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style4.xml" ContentType="application/vnd.ms-office.chartstyle+xml"/>
  <Override PartName="/xl/charts/colors4.xml" ContentType="application/vnd.ms-office.chartcolorstyle+xml"/>
  <Override PartName="/xl/charts/chart9.xml" ContentType="application/vnd.openxmlformats-officedocument.drawingml.chart+xml"/>
  <Override PartName="/xl/charts/style5.xml" ContentType="application/vnd.ms-office.chartstyle+xml"/>
  <Override PartName="/xl/charts/colors5.xml" ContentType="application/vnd.ms-office.chartcolorstyle+xml"/>
  <Override PartName="/xl/charts/chart10.xml" ContentType="application/vnd.openxmlformats-officedocument.drawingml.chart+xml"/>
  <Override PartName="/xl/charts/style6.xml" ContentType="application/vnd.ms-office.chartstyle+xml"/>
  <Override PartName="/xl/charts/colors6.xml" ContentType="application/vnd.ms-office.chartcolorstyle+xml"/>
  <Override PartName="/xl/charts/chart11.xml" ContentType="application/vnd.openxmlformats-officedocument.drawingml.chart+xml"/>
  <Override PartName="/xl/charts/style7.xml" ContentType="application/vnd.ms-office.chartstyle+xml"/>
  <Override PartName="/xl/charts/colors7.xml" ContentType="application/vnd.ms-office.chartcolorstyle+xml"/>
  <Override PartName="/xl/charts/chart12.xml" ContentType="application/vnd.openxmlformats-officedocument.drawingml.chart+xml"/>
  <Override PartName="/xl/charts/style8.xml" ContentType="application/vnd.ms-office.chartstyle+xml"/>
  <Override PartName="/xl/charts/colors8.xml" ContentType="application/vnd.ms-office.chartcolorstyle+xml"/>
  <Override PartName="/xl/charts/chart13.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4.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charts/chart15.xml" ContentType="application/vnd.openxmlformats-officedocument.drawingml.chart+xml"/>
  <Override PartName="/xl/charts/style11.xml" ContentType="application/vnd.ms-office.chartstyle+xml"/>
  <Override PartName="/xl/charts/colors11.xml" ContentType="application/vnd.ms-office.chartcolorstyle+xml"/>
  <Override PartName="/xl/charts/chart16.xml" ContentType="application/vnd.openxmlformats-officedocument.drawingml.chart+xml"/>
  <Override PartName="/xl/charts/style12.xml" ContentType="application/vnd.ms-office.chartstyle+xml"/>
  <Override PartName="/xl/charts/colors12.xml" ContentType="application/vnd.ms-office.chartcolorstyle+xml"/>
  <Override PartName="/xl/charts/chart17.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mc:AlternateContent xmlns:mc="http://schemas.openxmlformats.org/markup-compatibility/2006">
    <mc:Choice Requires="x15">
      <x15ac:absPath xmlns:x15ac="http://schemas.microsoft.com/office/spreadsheetml/2010/11/ac" url="C:\Models\SATIMGE\AFOLU\"/>
    </mc:Choice>
  </mc:AlternateContent>
  <xr:revisionPtr revIDLastSave="0" documentId="8_{7BC7C23F-6C42-4548-ABDA-5D9AF767FEA8}" xr6:coauthVersionLast="47" xr6:coauthVersionMax="47" xr10:uidLastSave="{00000000-0000-0000-0000-000000000000}"/>
  <bookViews>
    <workbookView xWindow="780" yWindow="780" windowWidth="21600" windowHeight="11385" activeTab="3" xr2:uid="{00000000-000D-0000-FFFF-FFFF00000000}"/>
  </bookViews>
  <sheets>
    <sheet name="Notes" sheetId="56" r:id="rId1"/>
    <sheet name="IndexG2E" sheetId="59" r:id="rId2"/>
    <sheet name="IndexE2G" sheetId="60" r:id="rId3"/>
    <sheet name="DriversCGE" sheetId="61" r:id="rId4"/>
    <sheet name="GHGSummary" sheetId="62" r:id="rId5"/>
    <sheet name="IPCC Categories" sheetId="35" r:id="rId6"/>
    <sheet name="Drivers" sheetId="47" r:id="rId7"/>
    <sheet name="Constants" sheetId="46" r:id="rId8"/>
    <sheet name="Levers &amp; variables" sheetId="58" r:id="rId9"/>
    <sheet name="Intermediate calculations" sheetId="50" r:id="rId10"/>
    <sheet name="Data" sheetId="57" r:id="rId11"/>
    <sheet name="BFAP verification" sheetId="55" state="hidden" r:id="rId12"/>
    <sheet name="Mitigation drivers" sheetId="51" r:id="rId13"/>
    <sheet name="Activity data" sheetId="36" r:id="rId14"/>
    <sheet name="EF" sheetId="33" r:id="rId15"/>
    <sheet name="Aggregated EF" sheetId="39" r:id="rId16"/>
    <sheet name="Emissions" sheetId="34" r:id="rId17"/>
    <sheet name="Emissions summary" sheetId="45" r:id="rId18"/>
  </sheets>
  <externalReferences>
    <externalReference r:id="rId19"/>
    <externalReference r:id="rId20"/>
    <externalReference r:id="rId21"/>
  </externalReferences>
  <definedNames>
    <definedName name="AllYears">OFFSET(#REF!,0,COUNTIF(#REF!,"a"),1,COUNTIF(#REF!,"x"))</definedName>
    <definedName name="CH4_GWP">'[1]Constants &amp; CF'!$E$8</definedName>
    <definedName name="CH4GWP">Constants!$B$3</definedName>
    <definedName name="CO2toC">Constants!$B$6</definedName>
    <definedName name="CoAccrate">'[2]Carbon stock data'!$H$91</definedName>
    <definedName name="CoFireloss">'[2]Carbon stock data'!$H$99</definedName>
    <definedName name="CompostN2O">EF!$H$78</definedName>
    <definedName name="CREF">EF!$H$194</definedName>
    <definedName name="CtoCO2">Constants!$B$5</definedName>
    <definedName name="CvAccrate">'[2]Carbon stock data'!$H$92</definedName>
    <definedName name="CvFireloss">'[2]Carbon stock data'!$H$100</definedName>
    <definedName name="DailyspreadN2O">EF!$H$77</definedName>
    <definedName name="DigesterN2OEF">EF!$H$82</definedName>
    <definedName name="DrylotN2O">EF!$H$75</definedName>
    <definedName name="FFCgain">'[2]Carbon stock data'!$H$4</definedName>
    <definedName name="FpCgain">'[2]Carbon stock data'!$H$7</definedName>
    <definedName name="FpDistloss">'[2]Carbon stock data'!$H$22</definedName>
    <definedName name="FpHarvestloss">'[2]Carbon stock data'!$H$14</definedName>
    <definedName name="FracGASF">EF!$H$196</definedName>
    <definedName name="FracGASM">EF!$H$197</definedName>
    <definedName name="FracLEACH">EF!$H$198</definedName>
    <definedName name="FracLEACHMM">EF!$H$203</definedName>
    <definedName name="FracLEACHUD">EF!$H$199</definedName>
    <definedName name="FSOMEF">EF!$H$193</definedName>
    <definedName name="FtCgain">'[2]Carbon stock data'!$H$5</definedName>
    <definedName name="FwCgain">'[2]Carbon stock data'!$H$6</definedName>
    <definedName name="FwFireloss">'[2]Carbon stock data'!$H$17</definedName>
    <definedName name="FwFuelloss">'[2]Carbon stock data'!$H$13</definedName>
    <definedName name="Ggtot">Constants!$B$13</definedName>
    <definedName name="GsAccrate">'[2]Carbon stock data'!$H$96</definedName>
    <definedName name="HistoricYears">OFFSET(#REF!,0,COUNTIF(#REF!,"a"),1,COUNTIF(#REF!,"x"))</definedName>
    <definedName name="InputData">OFFSET(#REF!,0,COUNTIF(#REF!,"a"),1,COUNTIF(#REF!,"x"))</definedName>
    <definedName name="kgtoGg">Constants!$B$9</definedName>
    <definedName name="kgtot">Constants!$B$10</definedName>
    <definedName name="LagoonN2O">EF!$H$73</definedName>
    <definedName name="LiquidN2O">EF!$H$74</definedName>
    <definedName name="ManureNEF">EF!$H$190</definedName>
    <definedName name="ManwithbedN2O">EF!$H$79</definedName>
    <definedName name="MMLeachEF">EF!$H$205</definedName>
    <definedName name="MMVolatEF">EF!$H$204</definedName>
    <definedName name="MSLeachEF">EF!$H$201</definedName>
    <definedName name="MSVolatEF">EF!$H$200</definedName>
    <definedName name="N2OGWP">Constants!$B$4</definedName>
    <definedName name="NtoN2O">Constants!$B$8</definedName>
    <definedName name="ONEF">EF!$H$189</definedName>
    <definedName name="PMwithlitterN2O">EF!$H$81</definedName>
    <definedName name="PMwithoutlitterN2O">EF!$H$80</definedName>
    <definedName name="ProjectedAD">OFFSET(#REF!,0,COUNTIF(#REF!,"a"),1,COUNTIF(#REF!,"x"))</definedName>
    <definedName name="Proxy1_historic">OFFSET(#REF!,0,COUNTIF(#REF!,"a"),1,COUNTIF(#REF!,"x"))</definedName>
    <definedName name="Proxy2_historic">OFFSET(#REF!,0,COUNTIF(#REF!,"a"),1,COUNTIF(#REF!,"x"))</definedName>
    <definedName name="Proxy3_historic">OFFSET(#REF!,0,COUNTIF(#REF!,"a"),1,COUNTIF(#REF!,"x"))</definedName>
    <definedName name="ProxyList">OFFSET(#REF!,0,0,COUNTA(#REF!,0)-1,1)</definedName>
    <definedName name="SNEF">EF!$H$188</definedName>
    <definedName name="SolidStorageN2O">EF!$H$76</definedName>
    <definedName name="SSAccrate">'[2]Carbon stock data'!$H$97</definedName>
    <definedName name="Test">OFFSET(#REF!,0,COUNTIF(#REF!,"a"),1,COUNTIF(#REF!,"x"))</definedName>
    <definedName name="tontoGg">[2]Constants!$B$8</definedName>
    <definedName name="tTest">OFFSET(#REF!,0,COUNTIF(#REF!,"a"),1,COUNTIF(#REF!,"x"))</definedName>
    <definedName name="ttoGg">Constants!$B$11</definedName>
    <definedName name="ttokg">Constants!$B$12</definedName>
    <definedName name="UDCPPEF">EF!$H$191</definedName>
    <definedName name="UDSOEF">EF!$H$192</definedName>
    <definedName name="WoodyCf">'[1]Constants &amp; CF'!$E$52</definedName>
    <definedName name="WoodyFraction">'[2]Carbon stock data'!$H$98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8" i="59" l="1"/>
  <c r="C7" i="59"/>
  <c r="AE24" i="36" l="1"/>
  <c r="AF24" i="36"/>
  <c r="AG24" i="36"/>
  <c r="AH24" i="36"/>
  <c r="AI24" i="36"/>
  <c r="AJ24" i="36"/>
  <c r="AK24" i="36"/>
  <c r="AL24" i="36"/>
  <c r="AM24" i="36"/>
  <c r="AN24" i="36"/>
  <c r="AO24" i="36"/>
  <c r="AP24" i="36"/>
  <c r="AQ24" i="36"/>
  <c r="AR24" i="36"/>
  <c r="AS24" i="36"/>
  <c r="AT24" i="36"/>
  <c r="AU24" i="36"/>
  <c r="AV24" i="36"/>
  <c r="AW24" i="36"/>
  <c r="AX24" i="36"/>
  <c r="AY24" i="36"/>
  <c r="AZ24" i="36"/>
  <c r="BA24" i="36"/>
  <c r="BB24" i="36"/>
  <c r="BC24" i="36"/>
  <c r="BD24" i="36"/>
  <c r="BE24" i="36"/>
  <c r="BF24" i="36"/>
  <c r="BG24" i="36"/>
  <c r="BH24" i="36"/>
  <c r="BI24" i="36"/>
  <c r="BJ24" i="36"/>
  <c r="BK24" i="36"/>
  <c r="BL24" i="36"/>
  <c r="BM24" i="36"/>
  <c r="BN24" i="36"/>
  <c r="BO24" i="36"/>
  <c r="BP24" i="36"/>
  <c r="AE25" i="36"/>
  <c r="AF25" i="36"/>
  <c r="AG25" i="36"/>
  <c r="AH25" i="36"/>
  <c r="AI25" i="36"/>
  <c r="AJ25" i="36"/>
  <c r="AK25" i="36"/>
  <c r="AL25" i="36"/>
  <c r="AM25" i="36"/>
  <c r="AN25" i="36"/>
  <c r="AO25" i="36"/>
  <c r="AP25" i="36"/>
  <c r="AQ25" i="36"/>
  <c r="AR25" i="36"/>
  <c r="AS25" i="36"/>
  <c r="AT25" i="36"/>
  <c r="AU25" i="36"/>
  <c r="AV25" i="36"/>
  <c r="AW25" i="36"/>
  <c r="AX25" i="36"/>
  <c r="AY25" i="36"/>
  <c r="AZ25" i="36"/>
  <c r="BA25" i="36"/>
  <c r="BB25" i="36"/>
  <c r="BC25" i="36"/>
  <c r="BD25" i="36"/>
  <c r="BE25" i="36"/>
  <c r="BF25" i="36"/>
  <c r="BG25" i="36"/>
  <c r="BH25" i="36"/>
  <c r="BI25" i="36"/>
  <c r="BJ25" i="36"/>
  <c r="BK25" i="36"/>
  <c r="BL25" i="36"/>
  <c r="BM25" i="36"/>
  <c r="BN25" i="36"/>
  <c r="BO25" i="36"/>
  <c r="BP25" i="36"/>
  <c r="AE26" i="36"/>
  <c r="AF26" i="36"/>
  <c r="AG26" i="36"/>
  <c r="AH26" i="36"/>
  <c r="AI26" i="36"/>
  <c r="AJ26" i="36"/>
  <c r="AK26" i="36"/>
  <c r="AL26" i="36"/>
  <c r="AM26" i="36"/>
  <c r="AN26" i="36"/>
  <c r="AO26" i="36"/>
  <c r="AP26" i="36"/>
  <c r="AQ26" i="36"/>
  <c r="AR26" i="36"/>
  <c r="AS26" i="36"/>
  <c r="AT26" i="36"/>
  <c r="AU26" i="36"/>
  <c r="AV26" i="36"/>
  <c r="AW26" i="36"/>
  <c r="AX26" i="36"/>
  <c r="AY26" i="36"/>
  <c r="AZ26" i="36"/>
  <c r="BA26" i="36"/>
  <c r="BB26" i="36"/>
  <c r="BC26" i="36"/>
  <c r="BD26" i="36"/>
  <c r="BE26" i="36"/>
  <c r="BF26" i="36"/>
  <c r="BG26" i="36"/>
  <c r="BH26" i="36"/>
  <c r="BI26" i="36"/>
  <c r="BJ26" i="36"/>
  <c r="BK26" i="36"/>
  <c r="BL26" i="36"/>
  <c r="BM26" i="36"/>
  <c r="BN26" i="36"/>
  <c r="BO26" i="36"/>
  <c r="BP26" i="36"/>
  <c r="AE27" i="36"/>
  <c r="AF27" i="36"/>
  <c r="AG27" i="36"/>
  <c r="AH27" i="36"/>
  <c r="AI27" i="36"/>
  <c r="AJ27" i="36"/>
  <c r="AK27" i="36"/>
  <c r="AL27" i="36"/>
  <c r="AM27" i="36"/>
  <c r="AN27" i="36"/>
  <c r="AO27" i="36"/>
  <c r="AP27" i="36"/>
  <c r="AQ27" i="36"/>
  <c r="AR27" i="36"/>
  <c r="AS27" i="36"/>
  <c r="AT27" i="36"/>
  <c r="AU27" i="36"/>
  <c r="AV27" i="36"/>
  <c r="AW27" i="36"/>
  <c r="AX27" i="36"/>
  <c r="AY27" i="36"/>
  <c r="AZ27" i="36"/>
  <c r="BA27" i="36"/>
  <c r="BB27" i="36"/>
  <c r="BC27" i="36"/>
  <c r="BD27" i="36"/>
  <c r="BE27" i="36"/>
  <c r="BF27" i="36"/>
  <c r="BG27" i="36"/>
  <c r="BH27" i="36"/>
  <c r="BI27" i="36"/>
  <c r="BJ27" i="36"/>
  <c r="BK27" i="36"/>
  <c r="BL27" i="36"/>
  <c r="BM27" i="36"/>
  <c r="BN27" i="36"/>
  <c r="BO27" i="36"/>
  <c r="BP27" i="36"/>
  <c r="AE28" i="36"/>
  <c r="AF28" i="36"/>
  <c r="AG28" i="36"/>
  <c r="AH28" i="36"/>
  <c r="AI28" i="36"/>
  <c r="AJ28" i="36"/>
  <c r="AK28" i="36"/>
  <c r="AL28" i="36"/>
  <c r="AM28" i="36"/>
  <c r="AN28" i="36"/>
  <c r="AO28" i="36"/>
  <c r="AP28" i="36"/>
  <c r="AQ28" i="36"/>
  <c r="AR28" i="36"/>
  <c r="AS28" i="36"/>
  <c r="AT28" i="36"/>
  <c r="AU28" i="36"/>
  <c r="AV28" i="36"/>
  <c r="AW28" i="36"/>
  <c r="AX28" i="36"/>
  <c r="AY28" i="36"/>
  <c r="AZ28" i="36"/>
  <c r="BA28" i="36"/>
  <c r="BB28" i="36"/>
  <c r="BC28" i="36"/>
  <c r="BD28" i="36"/>
  <c r="BE28" i="36"/>
  <c r="BF28" i="36"/>
  <c r="BG28" i="36"/>
  <c r="BH28" i="36"/>
  <c r="BI28" i="36"/>
  <c r="BJ28" i="36"/>
  <c r="BK28" i="36"/>
  <c r="BL28" i="36"/>
  <c r="BM28" i="36"/>
  <c r="BN28" i="36"/>
  <c r="BO28" i="36"/>
  <c r="BP28" i="36"/>
  <c r="AE29" i="36"/>
  <c r="AF29" i="36"/>
  <c r="AG29" i="36"/>
  <c r="AH29" i="36"/>
  <c r="AI29" i="36"/>
  <c r="AJ29" i="36"/>
  <c r="AK29" i="36"/>
  <c r="AL29" i="36"/>
  <c r="AM29" i="36"/>
  <c r="AN29" i="36"/>
  <c r="AO29" i="36"/>
  <c r="AP29" i="36"/>
  <c r="AQ29" i="36"/>
  <c r="AR29" i="36"/>
  <c r="AS29" i="36"/>
  <c r="AT29" i="36"/>
  <c r="AU29" i="36"/>
  <c r="AV29" i="36"/>
  <c r="AW29" i="36"/>
  <c r="AX29" i="36"/>
  <c r="AY29" i="36"/>
  <c r="AZ29" i="36"/>
  <c r="BA29" i="36"/>
  <c r="BB29" i="36"/>
  <c r="BC29" i="36"/>
  <c r="BD29" i="36"/>
  <c r="BE29" i="36"/>
  <c r="BF29" i="36"/>
  <c r="BG29" i="36"/>
  <c r="BH29" i="36"/>
  <c r="BI29" i="36"/>
  <c r="BJ29" i="36"/>
  <c r="BK29" i="36"/>
  <c r="BL29" i="36"/>
  <c r="BM29" i="36"/>
  <c r="BN29" i="36"/>
  <c r="BO29" i="36"/>
  <c r="BP29" i="36"/>
  <c r="AE30" i="36"/>
  <c r="AF30" i="36"/>
  <c r="AG30" i="36"/>
  <c r="AH30" i="36"/>
  <c r="AI30" i="36"/>
  <c r="AJ30" i="36"/>
  <c r="AK30" i="36"/>
  <c r="AL30" i="36"/>
  <c r="AM30" i="36"/>
  <c r="AN30" i="36"/>
  <c r="AO30" i="36"/>
  <c r="AP30" i="36"/>
  <c r="AQ30" i="36"/>
  <c r="AR30" i="36"/>
  <c r="AS30" i="36"/>
  <c r="AT30" i="36"/>
  <c r="AU30" i="36"/>
  <c r="AV30" i="36"/>
  <c r="AW30" i="36"/>
  <c r="AX30" i="36"/>
  <c r="AY30" i="36"/>
  <c r="AZ30" i="36"/>
  <c r="BA30" i="36"/>
  <c r="BB30" i="36"/>
  <c r="BC30" i="36"/>
  <c r="BD30" i="36"/>
  <c r="BE30" i="36"/>
  <c r="BF30" i="36"/>
  <c r="BG30" i="36"/>
  <c r="BH30" i="36"/>
  <c r="BI30" i="36"/>
  <c r="BJ30" i="36"/>
  <c r="BK30" i="36"/>
  <c r="BL30" i="36"/>
  <c r="BM30" i="36"/>
  <c r="BN30" i="36"/>
  <c r="BO30" i="36"/>
  <c r="BP30" i="36"/>
  <c r="AE31" i="36"/>
  <c r="AF31" i="36"/>
  <c r="AG31" i="36"/>
  <c r="AH31" i="36"/>
  <c r="AI31" i="36"/>
  <c r="AJ31" i="36"/>
  <c r="AK31" i="36"/>
  <c r="AL31" i="36"/>
  <c r="AM31" i="36"/>
  <c r="AN31" i="36"/>
  <c r="AO31" i="36"/>
  <c r="AP31" i="36"/>
  <c r="AQ31" i="36"/>
  <c r="AR31" i="36"/>
  <c r="AS31" i="36"/>
  <c r="AT31" i="36"/>
  <c r="AU31" i="36"/>
  <c r="AV31" i="36"/>
  <c r="AW31" i="36"/>
  <c r="AX31" i="36"/>
  <c r="AY31" i="36"/>
  <c r="AZ31" i="36"/>
  <c r="BA31" i="36"/>
  <c r="BB31" i="36"/>
  <c r="BC31" i="36"/>
  <c r="BD31" i="36"/>
  <c r="BE31" i="36"/>
  <c r="BF31" i="36"/>
  <c r="BG31" i="36"/>
  <c r="BH31" i="36"/>
  <c r="BI31" i="36"/>
  <c r="BJ31" i="36"/>
  <c r="BK31" i="36"/>
  <c r="BL31" i="36"/>
  <c r="BM31" i="36"/>
  <c r="BN31" i="36"/>
  <c r="BO31" i="36"/>
  <c r="BP31" i="36"/>
  <c r="AE32" i="36"/>
  <c r="AF32" i="36"/>
  <c r="AG32" i="36"/>
  <c r="AH32" i="36"/>
  <c r="AI32" i="36"/>
  <c r="AJ32" i="36"/>
  <c r="AK32" i="36"/>
  <c r="AL32" i="36"/>
  <c r="AM32" i="36"/>
  <c r="AN32" i="36"/>
  <c r="AO32" i="36"/>
  <c r="AP32" i="36"/>
  <c r="AQ32" i="36"/>
  <c r="AR32" i="36"/>
  <c r="AS32" i="36"/>
  <c r="AT32" i="36"/>
  <c r="AU32" i="36"/>
  <c r="AV32" i="36"/>
  <c r="AW32" i="36"/>
  <c r="AX32" i="36"/>
  <c r="AY32" i="36"/>
  <c r="AZ32" i="36"/>
  <c r="BA32" i="36"/>
  <c r="BB32" i="36"/>
  <c r="BC32" i="36"/>
  <c r="BD32" i="36"/>
  <c r="BE32" i="36"/>
  <c r="BF32" i="36"/>
  <c r="BG32" i="36"/>
  <c r="BH32" i="36"/>
  <c r="BI32" i="36"/>
  <c r="BJ32" i="36"/>
  <c r="BK32" i="36"/>
  <c r="BL32" i="36"/>
  <c r="BM32" i="36"/>
  <c r="BN32" i="36"/>
  <c r="BO32" i="36"/>
  <c r="BP32" i="36"/>
  <c r="AE33" i="36"/>
  <c r="AF33" i="36"/>
  <c r="AG33" i="36"/>
  <c r="AH33" i="36"/>
  <c r="AI33" i="36"/>
  <c r="AJ33" i="36"/>
  <c r="AK33" i="36"/>
  <c r="AL33" i="36"/>
  <c r="AM33" i="36"/>
  <c r="AN33" i="36"/>
  <c r="AO33" i="36"/>
  <c r="AP33" i="36"/>
  <c r="AQ33" i="36"/>
  <c r="AR33" i="36"/>
  <c r="AS33" i="36"/>
  <c r="AT33" i="36"/>
  <c r="AU33" i="36"/>
  <c r="AV33" i="36"/>
  <c r="AW33" i="36"/>
  <c r="AX33" i="36"/>
  <c r="AY33" i="36"/>
  <c r="AZ33" i="36"/>
  <c r="BA33" i="36"/>
  <c r="BB33" i="36"/>
  <c r="BC33" i="36"/>
  <c r="BD33" i="36"/>
  <c r="BE33" i="36"/>
  <c r="BF33" i="36"/>
  <c r="BG33" i="36"/>
  <c r="BH33" i="36"/>
  <c r="BI33" i="36"/>
  <c r="BJ33" i="36"/>
  <c r="BK33" i="36"/>
  <c r="BL33" i="36"/>
  <c r="BM33" i="36"/>
  <c r="BN33" i="36"/>
  <c r="BO33" i="36"/>
  <c r="BP33" i="36"/>
  <c r="AE34" i="36"/>
  <c r="AF34" i="36"/>
  <c r="AG34" i="36"/>
  <c r="AH34" i="36"/>
  <c r="AI34" i="36"/>
  <c r="AJ34" i="36"/>
  <c r="AK34" i="36"/>
  <c r="AL34" i="36"/>
  <c r="AM34" i="36"/>
  <c r="AN34" i="36"/>
  <c r="AO34" i="36"/>
  <c r="AP34" i="36"/>
  <c r="AQ34" i="36"/>
  <c r="AR34" i="36"/>
  <c r="AS34" i="36"/>
  <c r="AT34" i="36"/>
  <c r="AU34" i="36"/>
  <c r="AV34" i="36"/>
  <c r="AW34" i="36"/>
  <c r="AX34" i="36"/>
  <c r="AY34" i="36"/>
  <c r="AZ34" i="36"/>
  <c r="BA34" i="36"/>
  <c r="BB34" i="36"/>
  <c r="BC34" i="36"/>
  <c r="BD34" i="36"/>
  <c r="BE34" i="36"/>
  <c r="BF34" i="36"/>
  <c r="BG34" i="36"/>
  <c r="BH34" i="36"/>
  <c r="BI34" i="36"/>
  <c r="BJ34" i="36"/>
  <c r="BK34" i="36"/>
  <c r="BL34" i="36"/>
  <c r="BM34" i="36"/>
  <c r="BN34" i="36"/>
  <c r="BO34" i="36"/>
  <c r="BP34" i="36"/>
  <c r="AE35" i="36"/>
  <c r="AF35" i="36"/>
  <c r="AG35" i="36"/>
  <c r="AH35" i="36"/>
  <c r="AI35" i="36"/>
  <c r="AJ35" i="36"/>
  <c r="AK35" i="36"/>
  <c r="AL35" i="36"/>
  <c r="AM35" i="36"/>
  <c r="AN35" i="36"/>
  <c r="AO35" i="36"/>
  <c r="AP35" i="36"/>
  <c r="AQ35" i="36"/>
  <c r="AR35" i="36"/>
  <c r="AS35" i="36"/>
  <c r="AT35" i="36"/>
  <c r="AU35" i="36"/>
  <c r="AV35" i="36"/>
  <c r="AW35" i="36"/>
  <c r="AX35" i="36"/>
  <c r="AY35" i="36"/>
  <c r="AZ35" i="36"/>
  <c r="BA35" i="36"/>
  <c r="BB35" i="36"/>
  <c r="BC35" i="36"/>
  <c r="BD35" i="36"/>
  <c r="BE35" i="36"/>
  <c r="BF35" i="36"/>
  <c r="BG35" i="36"/>
  <c r="BH35" i="36"/>
  <c r="BI35" i="36"/>
  <c r="BJ35" i="36"/>
  <c r="BK35" i="36"/>
  <c r="BL35" i="36"/>
  <c r="BM35" i="36"/>
  <c r="BN35" i="36"/>
  <c r="BO35" i="36"/>
  <c r="BP35" i="36"/>
  <c r="AE36" i="36"/>
  <c r="AF36" i="36"/>
  <c r="AG36" i="36"/>
  <c r="AH36" i="36"/>
  <c r="AI36" i="36"/>
  <c r="AJ36" i="36"/>
  <c r="AK36" i="36"/>
  <c r="AL36" i="36"/>
  <c r="AM36" i="36"/>
  <c r="AN36" i="36"/>
  <c r="AO36" i="36"/>
  <c r="AP36" i="36"/>
  <c r="AQ36" i="36"/>
  <c r="AR36" i="36"/>
  <c r="AS36" i="36"/>
  <c r="AT36" i="36"/>
  <c r="AU36" i="36"/>
  <c r="AV36" i="36"/>
  <c r="AW36" i="36"/>
  <c r="AX36" i="36"/>
  <c r="AY36" i="36"/>
  <c r="AZ36" i="36"/>
  <c r="BA36" i="36"/>
  <c r="BB36" i="36"/>
  <c r="BC36" i="36"/>
  <c r="BD36" i="36"/>
  <c r="BE36" i="36"/>
  <c r="BF36" i="36"/>
  <c r="BG36" i="36"/>
  <c r="BH36" i="36"/>
  <c r="BI36" i="36"/>
  <c r="BJ36" i="36"/>
  <c r="BK36" i="36"/>
  <c r="BL36" i="36"/>
  <c r="BM36" i="36"/>
  <c r="BN36" i="36"/>
  <c r="BO36" i="36"/>
  <c r="BP36" i="36"/>
  <c r="AE37" i="36"/>
  <c r="AF37" i="36"/>
  <c r="AG37" i="36"/>
  <c r="AH37" i="36"/>
  <c r="AI37" i="36"/>
  <c r="AJ37" i="36"/>
  <c r="AK37" i="36"/>
  <c r="AL37" i="36"/>
  <c r="AM37" i="36"/>
  <c r="AN37" i="36"/>
  <c r="AO37" i="36"/>
  <c r="AP37" i="36"/>
  <c r="AQ37" i="36"/>
  <c r="AR37" i="36"/>
  <c r="AS37" i="36"/>
  <c r="AT37" i="36"/>
  <c r="AU37" i="36"/>
  <c r="AV37" i="36"/>
  <c r="AW37" i="36"/>
  <c r="AX37" i="36"/>
  <c r="AY37" i="36"/>
  <c r="AZ37" i="36"/>
  <c r="BA37" i="36"/>
  <c r="BB37" i="36"/>
  <c r="BC37" i="36"/>
  <c r="BD37" i="36"/>
  <c r="BE37" i="36"/>
  <c r="BF37" i="36"/>
  <c r="BG37" i="36"/>
  <c r="BH37" i="36"/>
  <c r="BI37" i="36"/>
  <c r="BJ37" i="36"/>
  <c r="BK37" i="36"/>
  <c r="BL37" i="36"/>
  <c r="BM37" i="36"/>
  <c r="BN37" i="36"/>
  <c r="BO37" i="36"/>
  <c r="BP37" i="36"/>
  <c r="AE38" i="36"/>
  <c r="AF38" i="36"/>
  <c r="AG38" i="36"/>
  <c r="AH38" i="36"/>
  <c r="AI38" i="36"/>
  <c r="AJ38" i="36"/>
  <c r="AK38" i="36"/>
  <c r="AL38" i="36"/>
  <c r="AM38" i="36"/>
  <c r="AN38" i="36"/>
  <c r="AO38" i="36"/>
  <c r="AP38" i="36"/>
  <c r="AQ38" i="36"/>
  <c r="AR38" i="36"/>
  <c r="AS38" i="36"/>
  <c r="AT38" i="36"/>
  <c r="AU38" i="36"/>
  <c r="AV38" i="36"/>
  <c r="AW38" i="36"/>
  <c r="AX38" i="36"/>
  <c r="AY38" i="36"/>
  <c r="AZ38" i="36"/>
  <c r="BA38" i="36"/>
  <c r="BB38" i="36"/>
  <c r="BC38" i="36"/>
  <c r="BD38" i="36"/>
  <c r="BE38" i="36"/>
  <c r="BF38" i="36"/>
  <c r="BG38" i="36"/>
  <c r="BH38" i="36"/>
  <c r="BI38" i="36"/>
  <c r="BJ38" i="36"/>
  <c r="BK38" i="36"/>
  <c r="BL38" i="36"/>
  <c r="BM38" i="36"/>
  <c r="BN38" i="36"/>
  <c r="BO38" i="36"/>
  <c r="BP38" i="36"/>
  <c r="AE39" i="36"/>
  <c r="AF39" i="36"/>
  <c r="AG39" i="36"/>
  <c r="AH39" i="36"/>
  <c r="AI39" i="36"/>
  <c r="AJ39" i="36"/>
  <c r="AK39" i="36"/>
  <c r="AL39" i="36"/>
  <c r="AM39" i="36"/>
  <c r="AN39" i="36"/>
  <c r="AO39" i="36"/>
  <c r="AP39" i="36"/>
  <c r="AQ39" i="36"/>
  <c r="AR39" i="36"/>
  <c r="AS39" i="36"/>
  <c r="AT39" i="36"/>
  <c r="AU39" i="36"/>
  <c r="AV39" i="36"/>
  <c r="AW39" i="36"/>
  <c r="AX39" i="36"/>
  <c r="AY39" i="36"/>
  <c r="AZ39" i="36"/>
  <c r="BA39" i="36"/>
  <c r="BB39" i="36"/>
  <c r="BC39" i="36"/>
  <c r="BD39" i="36"/>
  <c r="BE39" i="36"/>
  <c r="BF39" i="36"/>
  <c r="BG39" i="36"/>
  <c r="BH39" i="36"/>
  <c r="BI39" i="36"/>
  <c r="BJ39" i="36"/>
  <c r="BK39" i="36"/>
  <c r="BL39" i="36"/>
  <c r="BM39" i="36"/>
  <c r="BN39" i="36"/>
  <c r="BO39" i="36"/>
  <c r="BP39" i="36"/>
  <c r="AD25" i="36"/>
  <c r="AD26" i="36"/>
  <c r="AD27" i="36"/>
  <c r="AD28" i="36"/>
  <c r="AD29" i="36"/>
  <c r="AD30" i="36"/>
  <c r="AD31" i="36"/>
  <c r="AD32" i="36"/>
  <c r="AD33" i="36"/>
  <c r="AD34" i="36"/>
  <c r="AD35" i="36"/>
  <c r="AD36" i="36"/>
  <c r="AD37" i="36"/>
  <c r="AD38" i="36"/>
  <c r="AD39" i="36"/>
  <c r="AD24" i="36"/>
  <c r="D33" i="57" l="1"/>
  <c r="D35" i="57" s="1"/>
  <c r="E33" i="57"/>
  <c r="F33" i="57"/>
  <c r="G33" i="57"/>
  <c r="G35" i="57" s="1"/>
  <c r="H33" i="57"/>
  <c r="I33" i="57"/>
  <c r="J33" i="57"/>
  <c r="K33" i="57"/>
  <c r="K35" i="57" s="1"/>
  <c r="L33" i="57"/>
  <c r="M33" i="57"/>
  <c r="N33" i="57"/>
  <c r="N35" i="57" s="1"/>
  <c r="O33" i="57"/>
  <c r="O35" i="57" s="1"/>
  <c r="P33" i="57"/>
  <c r="P35" i="57" s="1"/>
  <c r="Q33" i="57"/>
  <c r="R33" i="57"/>
  <c r="S33" i="57"/>
  <c r="S35" i="57" s="1"/>
  <c r="T33" i="57"/>
  <c r="T35" i="57" s="1"/>
  <c r="U33" i="57"/>
  <c r="V33" i="57"/>
  <c r="W33" i="57"/>
  <c r="W35" i="57" s="1"/>
  <c r="X33" i="57"/>
  <c r="Y33" i="57"/>
  <c r="Y35" i="57" s="1"/>
  <c r="Z33" i="57"/>
  <c r="AA33" i="57"/>
  <c r="AA35" i="57" s="1"/>
  <c r="AB33" i="57"/>
  <c r="AB35" i="57" s="1"/>
  <c r="AC33" i="57"/>
  <c r="AD33" i="57"/>
  <c r="C33" i="57"/>
  <c r="C35" i="57"/>
  <c r="E35" i="57"/>
  <c r="F35" i="57"/>
  <c r="H35" i="57"/>
  <c r="I35" i="57"/>
  <c r="J35" i="57"/>
  <c r="L35" i="57"/>
  <c r="M35" i="57"/>
  <c r="Q35" i="57"/>
  <c r="R35" i="57"/>
  <c r="U35" i="57"/>
  <c r="V35" i="57"/>
  <c r="X35" i="57"/>
  <c r="Z35" i="57"/>
  <c r="AC35" i="57"/>
  <c r="AD35" i="57"/>
  <c r="AJ35" i="57" l="1"/>
  <c r="AK35" i="57"/>
  <c r="Y43" i="50" s="1"/>
  <c r="C31" i="57" l="1"/>
  <c r="D31" i="57"/>
  <c r="E31" i="57"/>
  <c r="F31" i="57"/>
  <c r="G31" i="57"/>
  <c r="H31" i="57"/>
  <c r="I31" i="57"/>
  <c r="J31" i="57"/>
  <c r="K31" i="57"/>
  <c r="L31" i="57"/>
  <c r="M31" i="57"/>
  <c r="N31" i="57"/>
  <c r="O31" i="57"/>
  <c r="P31" i="57"/>
  <c r="Q31" i="57"/>
  <c r="R31" i="57"/>
  <c r="S31" i="57"/>
  <c r="T31" i="57"/>
  <c r="U31" i="57"/>
  <c r="V31" i="57"/>
  <c r="W31" i="57"/>
  <c r="X31" i="57"/>
  <c r="Y31" i="57"/>
  <c r="Z31" i="57"/>
  <c r="AA31" i="57"/>
  <c r="AB31" i="57"/>
  <c r="AC31" i="57"/>
  <c r="AD31" i="57"/>
  <c r="BK64" i="50"/>
  <c r="BA64" i="50"/>
  <c r="AQ64" i="50"/>
  <c r="AG64" i="50"/>
  <c r="Y64" i="50"/>
  <c r="D124" i="34"/>
  <c r="D125" i="34"/>
  <c r="D126" i="34"/>
  <c r="D127" i="34"/>
  <c r="D128" i="34"/>
  <c r="D129" i="34"/>
  <c r="D130" i="34"/>
  <c r="D131" i="34"/>
  <c r="D132" i="34"/>
  <c r="D133" i="34"/>
  <c r="D134" i="34"/>
  <c r="C69" i="57"/>
  <c r="I5" i="36" l="1"/>
  <c r="J5" i="36"/>
  <c r="K5" i="36"/>
  <c r="L5" i="36"/>
  <c r="M5" i="36"/>
  <c r="N5" i="36"/>
  <c r="O5" i="36"/>
  <c r="P5" i="36"/>
  <c r="Q5" i="36"/>
  <c r="R5" i="36"/>
  <c r="S5" i="36"/>
  <c r="T5" i="36"/>
  <c r="U5" i="36"/>
  <c r="V5" i="36"/>
  <c r="W5" i="36"/>
  <c r="X5" i="36"/>
  <c r="Y5" i="36"/>
  <c r="Z5" i="36"/>
  <c r="AA5" i="36"/>
  <c r="AB5" i="36"/>
  <c r="AC5" i="36"/>
  <c r="I6" i="36"/>
  <c r="J6" i="36"/>
  <c r="K6" i="36"/>
  <c r="L6" i="36"/>
  <c r="M6" i="36"/>
  <c r="N6" i="36"/>
  <c r="O6" i="36"/>
  <c r="P6" i="36"/>
  <c r="Q6" i="36"/>
  <c r="R6" i="36"/>
  <c r="S6" i="36"/>
  <c r="T6" i="36"/>
  <c r="U6" i="36"/>
  <c r="V6" i="36"/>
  <c r="W6" i="36"/>
  <c r="X6" i="36"/>
  <c r="Y6" i="36"/>
  <c r="Z6" i="36"/>
  <c r="AA6" i="36"/>
  <c r="AB6" i="36"/>
  <c r="AC6" i="36"/>
  <c r="I8" i="36"/>
  <c r="J8" i="36"/>
  <c r="K8" i="36"/>
  <c r="L8" i="36"/>
  <c r="M8" i="36"/>
  <c r="N8" i="36"/>
  <c r="O8" i="36"/>
  <c r="P8" i="36"/>
  <c r="Q8" i="36"/>
  <c r="R8" i="36"/>
  <c r="S8" i="36"/>
  <c r="T8" i="36"/>
  <c r="U8" i="36"/>
  <c r="V8" i="36"/>
  <c r="W8" i="36"/>
  <c r="X8" i="36"/>
  <c r="Y8" i="36"/>
  <c r="Z8" i="36"/>
  <c r="AA8" i="36"/>
  <c r="AB8" i="36"/>
  <c r="AC8" i="36"/>
  <c r="I9" i="36"/>
  <c r="J9" i="36"/>
  <c r="K9" i="36"/>
  <c r="L9" i="36"/>
  <c r="M9" i="36"/>
  <c r="N9" i="36"/>
  <c r="O9" i="36"/>
  <c r="P9" i="36"/>
  <c r="Q9" i="36"/>
  <c r="R9" i="36"/>
  <c r="S9" i="36"/>
  <c r="T9" i="36"/>
  <c r="U9" i="36"/>
  <c r="V9" i="36"/>
  <c r="W9" i="36"/>
  <c r="X9" i="36"/>
  <c r="Y9" i="36"/>
  <c r="Z9" i="36"/>
  <c r="AA9" i="36"/>
  <c r="AB9" i="36"/>
  <c r="AC9" i="36"/>
  <c r="H8" i="36"/>
  <c r="H9" i="36"/>
  <c r="H6" i="36"/>
  <c r="H5" i="36"/>
  <c r="K7" i="36"/>
  <c r="L7" i="36"/>
  <c r="O7" i="36"/>
  <c r="P7" i="36"/>
  <c r="S7" i="36"/>
  <c r="T7" i="36"/>
  <c r="W7" i="36"/>
  <c r="X7" i="36"/>
  <c r="AA7" i="36"/>
  <c r="AB7" i="36"/>
  <c r="I7" i="36"/>
  <c r="M7" i="36"/>
  <c r="Q7" i="36"/>
  <c r="U7" i="36"/>
  <c r="Y7" i="36"/>
  <c r="AC7" i="36"/>
  <c r="J7" i="36"/>
  <c r="N7" i="36"/>
  <c r="R7" i="36"/>
  <c r="V7" i="36"/>
  <c r="Z7" i="36"/>
  <c r="C70" i="57"/>
  <c r="H7" i="36" l="1"/>
  <c r="H85" i="36"/>
  <c r="I85" i="36"/>
  <c r="J85" i="36"/>
  <c r="K85" i="36"/>
  <c r="L85" i="36"/>
  <c r="M85" i="36"/>
  <c r="N85" i="36"/>
  <c r="O85" i="36"/>
  <c r="P85" i="36"/>
  <c r="Q85" i="36"/>
  <c r="R85" i="36"/>
  <c r="S85" i="36"/>
  <c r="T85" i="36"/>
  <c r="U85" i="36"/>
  <c r="V85" i="36"/>
  <c r="W85" i="36"/>
  <c r="X85" i="36"/>
  <c r="Y85" i="36"/>
  <c r="Z85" i="36"/>
  <c r="AA85" i="36"/>
  <c r="AB85" i="36"/>
  <c r="AC85" i="36"/>
  <c r="AE43" i="36"/>
  <c r="AE84" i="36" s="1"/>
  <c r="AF43" i="36"/>
  <c r="AF84" i="36" s="1"/>
  <c r="AG43" i="36"/>
  <c r="AG84" i="36" s="1"/>
  <c r="AH43" i="36"/>
  <c r="AH84" i="36" s="1"/>
  <c r="AI43" i="36"/>
  <c r="AI84" i="36" s="1"/>
  <c r="AJ43" i="36"/>
  <c r="AJ84" i="36" s="1"/>
  <c r="AK43" i="36"/>
  <c r="AK84" i="36" s="1"/>
  <c r="AL43" i="36"/>
  <c r="AL84" i="36" s="1"/>
  <c r="AM43" i="36"/>
  <c r="AM84" i="36" s="1"/>
  <c r="AN43" i="36"/>
  <c r="AN84" i="36" s="1"/>
  <c r="AO43" i="36"/>
  <c r="AO84" i="36" s="1"/>
  <c r="AP43" i="36"/>
  <c r="AP84" i="36" s="1"/>
  <c r="AQ43" i="36"/>
  <c r="AQ84" i="36" s="1"/>
  <c r="AR43" i="36"/>
  <c r="AR84" i="36" s="1"/>
  <c r="AS43" i="36"/>
  <c r="AS84" i="36" s="1"/>
  <c r="AT43" i="36"/>
  <c r="AT84" i="36" s="1"/>
  <c r="AU43" i="36"/>
  <c r="AU84" i="36" s="1"/>
  <c r="AV43" i="36"/>
  <c r="AV84" i="36" s="1"/>
  <c r="AW43" i="36"/>
  <c r="AW84" i="36" s="1"/>
  <c r="AX43" i="36"/>
  <c r="AX84" i="36" s="1"/>
  <c r="AY43" i="36"/>
  <c r="AY84" i="36" s="1"/>
  <c r="AZ43" i="36"/>
  <c r="AZ84" i="36" s="1"/>
  <c r="BA43" i="36"/>
  <c r="BA84" i="36" s="1"/>
  <c r="BB43" i="36"/>
  <c r="BB84" i="36" s="1"/>
  <c r="BC43" i="36"/>
  <c r="BC84" i="36" s="1"/>
  <c r="BD43" i="36"/>
  <c r="BD84" i="36" s="1"/>
  <c r="BE43" i="36"/>
  <c r="BE84" i="36" s="1"/>
  <c r="BF43" i="36"/>
  <c r="BF84" i="36" s="1"/>
  <c r="BG43" i="36"/>
  <c r="BG84" i="36" s="1"/>
  <c r="BH43" i="36"/>
  <c r="BH84" i="36" s="1"/>
  <c r="BI43" i="36"/>
  <c r="BI84" i="36" s="1"/>
  <c r="BJ43" i="36"/>
  <c r="BJ84" i="36" s="1"/>
  <c r="BK43" i="36"/>
  <c r="BK84" i="36" s="1"/>
  <c r="BL43" i="36"/>
  <c r="BL84" i="36" s="1"/>
  <c r="BM43" i="36"/>
  <c r="BM84" i="36" s="1"/>
  <c r="BN43" i="36"/>
  <c r="BN84" i="36" s="1"/>
  <c r="BO43" i="36"/>
  <c r="BO84" i="36" s="1"/>
  <c r="BP43" i="36"/>
  <c r="BP84" i="36" s="1"/>
  <c r="AD43" i="36"/>
  <c r="AD84" i="36" s="1"/>
  <c r="AD42" i="36"/>
  <c r="AD83" i="36" s="1"/>
  <c r="C37" i="62" l="1"/>
  <c r="C14" i="45" l="1"/>
  <c r="C15" i="45"/>
  <c r="C16" i="45"/>
  <c r="C17" i="45"/>
  <c r="C18" i="45"/>
  <c r="C13" i="45"/>
  <c r="C12" i="45"/>
  <c r="A13" i="62" l="1"/>
  <c r="B13" i="62" s="1"/>
  <c r="A14" i="62"/>
  <c r="B14" i="62" s="1"/>
  <c r="A15" i="62"/>
  <c r="B15" i="62" s="1"/>
  <c r="A16" i="62"/>
  <c r="B16" i="62" s="1"/>
  <c r="A17" i="62"/>
  <c r="B17" i="62" s="1"/>
  <c r="A18" i="62"/>
  <c r="B18" i="62" s="1"/>
  <c r="A19" i="62"/>
  <c r="B19" i="62" s="1"/>
  <c r="C20" i="62"/>
  <c r="C25" i="62"/>
  <c r="C31" i="62"/>
  <c r="C39" i="62"/>
  <c r="C7" i="62"/>
  <c r="AB5" i="47" l="1"/>
  <c r="AC5" i="47"/>
  <c r="AD5" i="47"/>
  <c r="AE5" i="47"/>
  <c r="AF5" i="47"/>
  <c r="AG5" i="47"/>
  <c r="AH5" i="47"/>
  <c r="AI5" i="47"/>
  <c r="AJ5" i="47"/>
  <c r="AK5" i="47"/>
  <c r="AL5" i="47"/>
  <c r="AM5" i="47"/>
  <c r="AN5" i="47"/>
  <c r="AO5" i="47"/>
  <c r="AP5" i="47"/>
  <c r="AQ5" i="47"/>
  <c r="AR5" i="47"/>
  <c r="AS5" i="47"/>
  <c r="AT5" i="47"/>
  <c r="AU5" i="47"/>
  <c r="AV5" i="47"/>
  <c r="AW5" i="47"/>
  <c r="AX5" i="47"/>
  <c r="AY5" i="47"/>
  <c r="AZ5" i="47"/>
  <c r="BA5" i="47"/>
  <c r="BB5" i="47"/>
  <c r="BC5" i="47"/>
  <c r="BD5" i="47"/>
  <c r="BE5" i="47"/>
  <c r="BF5" i="47"/>
  <c r="BG5" i="47"/>
  <c r="BH5" i="47"/>
  <c r="BI5" i="47"/>
  <c r="BJ5" i="47"/>
  <c r="BK5" i="47"/>
  <c r="BL5" i="47"/>
  <c r="AA5" i="47"/>
  <c r="Z5" i="47"/>
  <c r="AA4" i="47"/>
  <c r="AB4" i="47"/>
  <c r="AC4" i="47"/>
  <c r="AD4" i="47"/>
  <c r="AE4" i="47"/>
  <c r="AF4" i="47"/>
  <c r="AG4" i="47"/>
  <c r="AH4" i="47"/>
  <c r="AI4" i="47"/>
  <c r="AJ4" i="47"/>
  <c r="AK4" i="47"/>
  <c r="AL4" i="47"/>
  <c r="AM4" i="47"/>
  <c r="AN4" i="47"/>
  <c r="AO4" i="47"/>
  <c r="AP4" i="47"/>
  <c r="AQ4" i="47"/>
  <c r="AR4" i="47"/>
  <c r="AS4" i="47"/>
  <c r="AT4" i="47"/>
  <c r="AU4" i="47"/>
  <c r="AV4" i="47"/>
  <c r="AW4" i="47"/>
  <c r="AX4" i="47"/>
  <c r="AY4" i="47"/>
  <c r="AZ4" i="47"/>
  <c r="BA4" i="47"/>
  <c r="BB4" i="47"/>
  <c r="BC4" i="47"/>
  <c r="BD4" i="47"/>
  <c r="BE4" i="47"/>
  <c r="BF4" i="47"/>
  <c r="BG4" i="47"/>
  <c r="BH4" i="47"/>
  <c r="BI4" i="47"/>
  <c r="BJ4" i="47"/>
  <c r="BK4" i="47"/>
  <c r="BL4" i="47"/>
  <c r="Z4" i="47"/>
  <c r="E6" i="62" l="1"/>
  <c r="F6" i="62" s="1"/>
  <c r="G6" i="62" s="1"/>
  <c r="H6" i="62" s="1"/>
  <c r="I6" i="62" s="1"/>
  <c r="J6" i="62" s="1"/>
  <c r="K6" i="62" s="1"/>
  <c r="L6" i="62" s="1"/>
  <c r="M6" i="62" s="1"/>
  <c r="N6" i="62" s="1"/>
  <c r="O6" i="62" s="1"/>
  <c r="P6" i="62" s="1"/>
  <c r="Q6" i="62" s="1"/>
  <c r="R6" i="62" s="1"/>
  <c r="S6" i="62" s="1"/>
  <c r="T6" i="62" s="1"/>
  <c r="U6" i="62" s="1"/>
  <c r="V6" i="62" s="1"/>
  <c r="W6" i="62" s="1"/>
  <c r="X6" i="62" s="1"/>
  <c r="Y6" i="62" s="1"/>
  <c r="Z6" i="62" s="1"/>
  <c r="AA6" i="62" s="1"/>
  <c r="AB6" i="62" s="1"/>
  <c r="AC6" i="62" s="1"/>
  <c r="AD6" i="62" s="1"/>
  <c r="AE6" i="62" s="1"/>
  <c r="AF6" i="62" s="1"/>
  <c r="AG6" i="62" s="1"/>
  <c r="AH6" i="62" s="1"/>
  <c r="AI6" i="62" s="1"/>
  <c r="AJ6" i="62" s="1"/>
  <c r="AK6" i="62" s="1"/>
  <c r="AL6" i="62" s="1"/>
  <c r="AM6" i="62" s="1"/>
  <c r="AN6" i="62" s="1"/>
  <c r="AO6" i="62" s="1"/>
  <c r="AP6" i="62" s="1"/>
  <c r="C7" i="60"/>
  <c r="C59" i="46" l="1"/>
  <c r="C60" i="46" s="1"/>
  <c r="C61" i="46" s="1"/>
  <c r="C62" i="46" s="1"/>
  <c r="AJ49" i="57"/>
  <c r="D38" i="57"/>
  <c r="E38" i="57"/>
  <c r="F38" i="57"/>
  <c r="G38" i="57"/>
  <c r="H38" i="57"/>
  <c r="I38" i="57"/>
  <c r="J38" i="57"/>
  <c r="K38" i="57"/>
  <c r="L38" i="57"/>
  <c r="M38" i="57"/>
  <c r="N38" i="57"/>
  <c r="O38" i="57"/>
  <c r="P38" i="57"/>
  <c r="Q38" i="57"/>
  <c r="R38" i="57"/>
  <c r="S38" i="57"/>
  <c r="T38" i="57"/>
  <c r="U38" i="57"/>
  <c r="V38" i="57"/>
  <c r="W38" i="57"/>
  <c r="X38" i="57"/>
  <c r="Y38" i="57"/>
  <c r="Z38" i="57"/>
  <c r="AA38" i="57"/>
  <c r="AB38" i="57"/>
  <c r="AC38" i="57"/>
  <c r="AD38" i="57"/>
  <c r="C38" i="57"/>
  <c r="C6" i="58" l="1"/>
  <c r="A6" i="58"/>
  <c r="U6" i="50" l="1"/>
  <c r="V6" i="50"/>
  <c r="W6" i="50"/>
  <c r="X6" i="50"/>
  <c r="U7" i="50"/>
  <c r="V7" i="50"/>
  <c r="W7" i="50"/>
  <c r="X7" i="50"/>
  <c r="U9" i="50"/>
  <c r="U10" i="50" s="1"/>
  <c r="V9" i="50"/>
  <c r="V10" i="50" s="1"/>
  <c r="W9" i="50"/>
  <c r="W10" i="50" s="1"/>
  <c r="X9" i="50"/>
  <c r="X10" i="50" s="1"/>
  <c r="U13" i="50"/>
  <c r="V13" i="50"/>
  <c r="W13" i="50"/>
  <c r="X13" i="50"/>
  <c r="U14" i="50"/>
  <c r="V14" i="50"/>
  <c r="W14" i="50"/>
  <c r="X14" i="50"/>
  <c r="U22" i="50"/>
  <c r="U18" i="50" s="1"/>
  <c r="V22" i="50"/>
  <c r="V18" i="50" s="1"/>
  <c r="W22" i="50"/>
  <c r="W18" i="50" s="1"/>
  <c r="X22" i="50"/>
  <c r="X18" i="50" s="1"/>
  <c r="U30" i="50"/>
  <c r="V30" i="50"/>
  <c r="W30" i="50"/>
  <c r="X30" i="50"/>
  <c r="U31" i="50"/>
  <c r="V31" i="50"/>
  <c r="W31" i="50"/>
  <c r="X31" i="50"/>
  <c r="U35" i="50"/>
  <c r="V35" i="50"/>
  <c r="W35" i="50"/>
  <c r="X35" i="50"/>
  <c r="U36" i="50"/>
  <c r="V36" i="50"/>
  <c r="W36" i="50"/>
  <c r="X36" i="50"/>
  <c r="U40" i="50"/>
  <c r="V40" i="50"/>
  <c r="W40" i="50"/>
  <c r="X40" i="50"/>
  <c r="U41" i="50"/>
  <c r="V41" i="50"/>
  <c r="W41" i="50"/>
  <c r="X41" i="50"/>
  <c r="U48" i="50"/>
  <c r="V48" i="50"/>
  <c r="W48" i="50"/>
  <c r="X48" i="50"/>
  <c r="R6" i="50"/>
  <c r="S6" i="50"/>
  <c r="T6" i="50"/>
  <c r="R7" i="50"/>
  <c r="S7" i="50"/>
  <c r="T7" i="50"/>
  <c r="R9" i="50"/>
  <c r="R10" i="50" s="1"/>
  <c r="S9" i="50"/>
  <c r="S10" i="50" s="1"/>
  <c r="T9" i="50"/>
  <c r="T10" i="50" s="1"/>
  <c r="R13" i="50"/>
  <c r="S13" i="50"/>
  <c r="T13" i="50"/>
  <c r="R14" i="50"/>
  <c r="S14" i="50"/>
  <c r="T14" i="50"/>
  <c r="R22" i="50"/>
  <c r="R18" i="50" s="1"/>
  <c r="S22" i="50"/>
  <c r="S18" i="50" s="1"/>
  <c r="T22" i="50"/>
  <c r="T19" i="50" s="1"/>
  <c r="R30" i="50"/>
  <c r="S30" i="50"/>
  <c r="T30" i="50"/>
  <c r="R31" i="50"/>
  <c r="S31" i="50"/>
  <c r="T31" i="50"/>
  <c r="R35" i="50"/>
  <c r="S35" i="50"/>
  <c r="T35" i="50"/>
  <c r="R36" i="50"/>
  <c r="S36" i="50"/>
  <c r="T36" i="50"/>
  <c r="R40" i="50"/>
  <c r="S40" i="50"/>
  <c r="T40" i="50"/>
  <c r="R41" i="50"/>
  <c r="S41" i="50"/>
  <c r="T41" i="50"/>
  <c r="R48" i="50"/>
  <c r="S48" i="50"/>
  <c r="T48" i="50"/>
  <c r="M6" i="50"/>
  <c r="N6" i="50"/>
  <c r="O6" i="50"/>
  <c r="P6" i="50"/>
  <c r="Q6" i="50"/>
  <c r="M7" i="50"/>
  <c r="N7" i="50"/>
  <c r="O7" i="50"/>
  <c r="P7" i="50"/>
  <c r="Q7" i="50"/>
  <c r="M9" i="50"/>
  <c r="M10" i="50" s="1"/>
  <c r="N9" i="50"/>
  <c r="N10" i="50" s="1"/>
  <c r="O9" i="50"/>
  <c r="P9" i="50"/>
  <c r="P10" i="50" s="1"/>
  <c r="Q9" i="50"/>
  <c r="Q10" i="50" s="1"/>
  <c r="O10" i="50"/>
  <c r="M13" i="50"/>
  <c r="N13" i="50"/>
  <c r="O13" i="50"/>
  <c r="P13" i="50"/>
  <c r="Q13" i="50"/>
  <c r="M14" i="50"/>
  <c r="N14" i="50"/>
  <c r="O14" i="50"/>
  <c r="P14" i="50"/>
  <c r="Q14" i="50"/>
  <c r="M22" i="50"/>
  <c r="M18" i="50" s="1"/>
  <c r="N22" i="50"/>
  <c r="N18" i="50" s="1"/>
  <c r="O22" i="50"/>
  <c r="O19" i="50" s="1"/>
  <c r="P22" i="50"/>
  <c r="P18" i="50" s="1"/>
  <c r="Q22" i="50"/>
  <c r="Q18" i="50" s="1"/>
  <c r="M30" i="50"/>
  <c r="N30" i="50"/>
  <c r="O30" i="50"/>
  <c r="P30" i="50"/>
  <c r="Q30" i="50"/>
  <c r="M31" i="50"/>
  <c r="N31" i="50"/>
  <c r="O31" i="50"/>
  <c r="P31" i="50"/>
  <c r="Q31" i="50"/>
  <c r="M35" i="50"/>
  <c r="N35" i="50"/>
  <c r="O35" i="50"/>
  <c r="P35" i="50"/>
  <c r="Q35" i="50"/>
  <c r="M36" i="50"/>
  <c r="N36" i="50"/>
  <c r="O36" i="50"/>
  <c r="P36" i="50"/>
  <c r="Q36" i="50"/>
  <c r="M40" i="50"/>
  <c r="N40" i="50"/>
  <c r="O40" i="50"/>
  <c r="P40" i="50"/>
  <c r="Q40" i="50"/>
  <c r="M41" i="50"/>
  <c r="N41" i="50"/>
  <c r="O41" i="50"/>
  <c r="P41" i="50"/>
  <c r="Q41" i="50"/>
  <c r="M48" i="50"/>
  <c r="N48" i="50"/>
  <c r="O48" i="50"/>
  <c r="P48" i="50"/>
  <c r="Q48" i="50"/>
  <c r="U23" i="50" l="1"/>
  <c r="U24" i="50" s="1"/>
  <c r="W23" i="50"/>
  <c r="W24" i="50" s="1"/>
  <c r="X23" i="50"/>
  <c r="X24" i="50" s="1"/>
  <c r="V23" i="50"/>
  <c r="V24" i="50" s="1"/>
  <c r="M19" i="50"/>
  <c r="M26" i="50" s="1"/>
  <c r="Q23" i="50"/>
  <c r="Q24" i="50" s="1"/>
  <c r="N23" i="50"/>
  <c r="N24" i="50" s="1"/>
  <c r="T23" i="50"/>
  <c r="T24" i="50" s="1"/>
  <c r="S23" i="50"/>
  <c r="S24" i="50" s="1"/>
  <c r="P23" i="50"/>
  <c r="P24" i="50" s="1"/>
  <c r="S19" i="50"/>
  <c r="S26" i="50" s="1"/>
  <c r="N19" i="50"/>
  <c r="N20" i="50" s="1"/>
  <c r="N21" i="50" s="1"/>
  <c r="M23" i="50"/>
  <c r="M24" i="50" s="1"/>
  <c r="Q19" i="50"/>
  <c r="X19" i="50"/>
  <c r="W19" i="50"/>
  <c r="V19" i="50"/>
  <c r="U19" i="50"/>
  <c r="T26" i="50"/>
  <c r="T20" i="50"/>
  <c r="T21" i="50" s="1"/>
  <c r="R23" i="50"/>
  <c r="R24" i="50" s="1"/>
  <c r="R19" i="50"/>
  <c r="T18" i="50"/>
  <c r="O20" i="50"/>
  <c r="O21" i="50" s="1"/>
  <c r="O26" i="50"/>
  <c r="O18" i="50"/>
  <c r="P19" i="50"/>
  <c r="O23" i="50"/>
  <c r="O24" i="50" s="1"/>
  <c r="AG63" i="50"/>
  <c r="AG65" i="50"/>
  <c r="M20" i="50" l="1"/>
  <c r="M21" i="50" s="1"/>
  <c r="S20" i="50"/>
  <c r="S21" i="50" s="1"/>
  <c r="N26" i="50"/>
  <c r="Q26" i="50"/>
  <c r="Q20" i="50"/>
  <c r="Q21" i="50" s="1"/>
  <c r="V20" i="50"/>
  <c r="V21" i="50" s="1"/>
  <c r="V26" i="50"/>
  <c r="W20" i="50"/>
  <c r="W21" i="50" s="1"/>
  <c r="W26" i="50"/>
  <c r="U20" i="50"/>
  <c r="U21" i="50" s="1"/>
  <c r="U26" i="50"/>
  <c r="X20" i="50"/>
  <c r="X21" i="50" s="1"/>
  <c r="X26" i="50"/>
  <c r="R20" i="50"/>
  <c r="R21" i="50" s="1"/>
  <c r="R26" i="50"/>
  <c r="P26" i="50"/>
  <c r="P20" i="50"/>
  <c r="P21" i="50" s="1"/>
  <c r="C20" i="46" l="1"/>
  <c r="C21" i="46" s="1"/>
  <c r="BK63" i="50"/>
  <c r="BK65" i="50"/>
  <c r="BA63" i="50"/>
  <c r="BA65" i="50"/>
  <c r="AQ63" i="50"/>
  <c r="AH63" i="50" s="1"/>
  <c r="AI63" i="50" s="1"/>
  <c r="AJ63" i="50" s="1"/>
  <c r="AK63" i="50" s="1"/>
  <c r="AL63" i="50" s="1"/>
  <c r="AM63" i="50" s="1"/>
  <c r="AN63" i="50" s="1"/>
  <c r="AO63" i="50" s="1"/>
  <c r="AP63" i="50" s="1"/>
  <c r="AH64" i="50"/>
  <c r="AI64" i="50" s="1"/>
  <c r="AJ64" i="50" s="1"/>
  <c r="AK64" i="50" s="1"/>
  <c r="AL64" i="50" s="1"/>
  <c r="AM64" i="50" s="1"/>
  <c r="AN64" i="50" s="1"/>
  <c r="AO64" i="50" s="1"/>
  <c r="AP64" i="50" s="1"/>
  <c r="AQ65" i="50"/>
  <c r="Y63" i="50"/>
  <c r="Z63" i="50" s="1"/>
  <c r="AA63" i="50" s="1"/>
  <c r="AB63" i="50" s="1"/>
  <c r="AC63" i="50" s="1"/>
  <c r="AD63" i="50" s="1"/>
  <c r="AE63" i="50" s="1"/>
  <c r="AF63" i="50" s="1"/>
  <c r="Z64" i="50"/>
  <c r="AA64" i="50" s="1"/>
  <c r="AB64" i="50" s="1"/>
  <c r="AC64" i="50" s="1"/>
  <c r="AD64" i="50" s="1"/>
  <c r="AE64" i="50" s="1"/>
  <c r="AF64" i="50" s="1"/>
  <c r="Y65" i="50"/>
  <c r="AH65" i="50" l="1"/>
  <c r="Z65" i="50"/>
  <c r="BB65" i="50"/>
  <c r="BB64" i="50"/>
  <c r="AR64" i="50"/>
  <c r="AR63" i="50"/>
  <c r="AS63" i="50" s="1"/>
  <c r="AT63" i="50" s="1"/>
  <c r="AU63" i="50" s="1"/>
  <c r="AV63" i="50" s="1"/>
  <c r="AW63" i="50" s="1"/>
  <c r="AX63" i="50" s="1"/>
  <c r="AY63" i="50" s="1"/>
  <c r="AZ63" i="50" s="1"/>
  <c r="BB63" i="50"/>
  <c r="BC63" i="50" s="1"/>
  <c r="BD63" i="50" s="1"/>
  <c r="BE63" i="50" s="1"/>
  <c r="BF63" i="50" s="1"/>
  <c r="BG63" i="50" s="1"/>
  <c r="BH63" i="50" s="1"/>
  <c r="BI63" i="50" s="1"/>
  <c r="BJ63" i="50" s="1"/>
  <c r="AR65" i="50"/>
  <c r="AK42" i="57"/>
  <c r="AJ42" i="57"/>
  <c r="D50" i="50"/>
  <c r="E50" i="50"/>
  <c r="F50" i="50"/>
  <c r="G50" i="50"/>
  <c r="H50" i="50"/>
  <c r="I50" i="50"/>
  <c r="J50" i="50"/>
  <c r="K50" i="50"/>
  <c r="L50" i="50"/>
  <c r="M50" i="50"/>
  <c r="N50" i="50"/>
  <c r="O50" i="50"/>
  <c r="P50" i="50"/>
  <c r="Q50" i="50"/>
  <c r="R50" i="50"/>
  <c r="S50" i="50"/>
  <c r="T50" i="50"/>
  <c r="U50" i="50"/>
  <c r="V50" i="50"/>
  <c r="W50" i="50"/>
  <c r="X50" i="50"/>
  <c r="D51" i="50"/>
  <c r="E51" i="50"/>
  <c r="F51" i="50"/>
  <c r="G51" i="50"/>
  <c r="H51" i="50"/>
  <c r="I51" i="50"/>
  <c r="J51" i="50"/>
  <c r="K51" i="50"/>
  <c r="L51" i="50"/>
  <c r="M51" i="50"/>
  <c r="N51" i="50"/>
  <c r="O51" i="50"/>
  <c r="P51" i="50"/>
  <c r="Q51" i="50"/>
  <c r="R51" i="50"/>
  <c r="S51" i="50"/>
  <c r="T51" i="50"/>
  <c r="U51" i="50"/>
  <c r="V51" i="50"/>
  <c r="W51" i="50"/>
  <c r="X51" i="50"/>
  <c r="D53" i="50"/>
  <c r="E53" i="50"/>
  <c r="F53" i="50"/>
  <c r="G53" i="50"/>
  <c r="H53" i="50"/>
  <c r="I53" i="50"/>
  <c r="J53" i="50"/>
  <c r="K53" i="50"/>
  <c r="L53" i="50"/>
  <c r="M53" i="50"/>
  <c r="N53" i="50"/>
  <c r="O53" i="50"/>
  <c r="P53" i="50"/>
  <c r="Q53" i="50"/>
  <c r="R53" i="50"/>
  <c r="S53" i="50"/>
  <c r="T53" i="50"/>
  <c r="U53" i="50"/>
  <c r="V53" i="50"/>
  <c r="W53" i="50"/>
  <c r="X53" i="50"/>
  <c r="D54" i="50"/>
  <c r="E54" i="50"/>
  <c r="F54" i="50"/>
  <c r="G54" i="50"/>
  <c r="H54" i="50"/>
  <c r="I54" i="50"/>
  <c r="J54" i="50"/>
  <c r="K54" i="50"/>
  <c r="L54" i="50"/>
  <c r="M54" i="50"/>
  <c r="N54" i="50"/>
  <c r="O54" i="50"/>
  <c r="P54" i="50"/>
  <c r="Q54" i="50"/>
  <c r="R54" i="50"/>
  <c r="S54" i="50"/>
  <c r="T54" i="50"/>
  <c r="U54" i="50"/>
  <c r="V54" i="50"/>
  <c r="W54" i="50"/>
  <c r="X54" i="50"/>
  <c r="D55" i="50"/>
  <c r="E55" i="50"/>
  <c r="F55" i="50"/>
  <c r="G55" i="50"/>
  <c r="H55" i="50"/>
  <c r="I55" i="50"/>
  <c r="J55" i="50"/>
  <c r="K55" i="50"/>
  <c r="L55" i="50"/>
  <c r="M55" i="50"/>
  <c r="N55" i="50"/>
  <c r="O55" i="50"/>
  <c r="P55" i="50"/>
  <c r="Q55" i="50"/>
  <c r="R55" i="50"/>
  <c r="S55" i="50"/>
  <c r="T55" i="50"/>
  <c r="U55" i="50"/>
  <c r="V55" i="50"/>
  <c r="W55" i="50"/>
  <c r="X55" i="50"/>
  <c r="C55" i="50"/>
  <c r="C54" i="50"/>
  <c r="C53" i="50"/>
  <c r="C51" i="50"/>
  <c r="C50" i="50"/>
  <c r="C29" i="46"/>
  <c r="C30" i="46" s="1"/>
  <c r="C31" i="46" s="1"/>
  <c r="C32" i="46" s="1"/>
  <c r="C33" i="46" s="1"/>
  <c r="C34" i="46" s="1"/>
  <c r="C35" i="46" s="1"/>
  <c r="C36" i="46" s="1"/>
  <c r="C37" i="46" s="1"/>
  <c r="C38" i="46" s="1"/>
  <c r="C39" i="46" s="1"/>
  <c r="C40" i="46" s="1"/>
  <c r="D37" i="57"/>
  <c r="E37" i="57"/>
  <c r="F37" i="57"/>
  <c r="G37" i="57"/>
  <c r="H37" i="57"/>
  <c r="I37" i="57"/>
  <c r="J37" i="57"/>
  <c r="K37" i="57"/>
  <c r="L37" i="57"/>
  <c r="M37" i="57"/>
  <c r="N37" i="57"/>
  <c r="O37" i="57"/>
  <c r="P37" i="57"/>
  <c r="Q37" i="57"/>
  <c r="R37" i="57"/>
  <c r="S37" i="57"/>
  <c r="T37" i="57"/>
  <c r="U37" i="57"/>
  <c r="V37" i="57"/>
  <c r="W37" i="57"/>
  <c r="X37" i="57"/>
  <c r="Y37" i="57"/>
  <c r="Z37" i="57"/>
  <c r="AA37" i="57"/>
  <c r="AB37" i="57"/>
  <c r="AC37" i="57"/>
  <c r="AD37" i="57"/>
  <c r="C37" i="57"/>
  <c r="M15" i="57"/>
  <c r="M11" i="50" s="1"/>
  <c r="N15" i="57"/>
  <c r="N11" i="50" s="1"/>
  <c r="O15" i="57"/>
  <c r="O11" i="50" s="1"/>
  <c r="P15" i="57"/>
  <c r="P11" i="50" s="1"/>
  <c r="Q15" i="57"/>
  <c r="Q11" i="50" s="1"/>
  <c r="R15" i="57"/>
  <c r="R11" i="50" s="1"/>
  <c r="S15" i="57"/>
  <c r="S11" i="50" s="1"/>
  <c r="T15" i="57"/>
  <c r="T11" i="50" s="1"/>
  <c r="U15" i="57"/>
  <c r="U11" i="50" s="1"/>
  <c r="V15" i="57"/>
  <c r="V11" i="50" s="1"/>
  <c r="W15" i="57"/>
  <c r="W11" i="50" s="1"/>
  <c r="X15" i="57"/>
  <c r="X11" i="50" s="1"/>
  <c r="D9" i="50"/>
  <c r="D10" i="50" s="1"/>
  <c r="D15" i="57" s="1"/>
  <c r="D11" i="50" s="1"/>
  <c r="E9" i="50"/>
  <c r="E10" i="50" s="1"/>
  <c r="E15" i="57" s="1"/>
  <c r="E11" i="50" s="1"/>
  <c r="F9" i="50"/>
  <c r="F10" i="50" s="1"/>
  <c r="F15" i="57" s="1"/>
  <c r="F11" i="50" s="1"/>
  <c r="G9" i="50"/>
  <c r="G10" i="50" s="1"/>
  <c r="G15" i="57" s="1"/>
  <c r="G11" i="50" s="1"/>
  <c r="H9" i="50"/>
  <c r="H10" i="50" s="1"/>
  <c r="H15" i="57" s="1"/>
  <c r="H11" i="50" s="1"/>
  <c r="I9" i="50"/>
  <c r="I10" i="50" s="1"/>
  <c r="I15" i="57" s="1"/>
  <c r="I11" i="50" s="1"/>
  <c r="J9" i="50"/>
  <c r="J10" i="50" s="1"/>
  <c r="J15" i="57" s="1"/>
  <c r="J11" i="50" s="1"/>
  <c r="K9" i="50"/>
  <c r="K10" i="50" s="1"/>
  <c r="K15" i="57" s="1"/>
  <c r="K11" i="50" s="1"/>
  <c r="L9" i="50"/>
  <c r="L10" i="50" s="1"/>
  <c r="L15" i="57" s="1"/>
  <c r="L11" i="50" s="1"/>
  <c r="C9" i="50"/>
  <c r="C10" i="50" s="1"/>
  <c r="D43" i="50"/>
  <c r="E43" i="50"/>
  <c r="F43" i="50"/>
  <c r="G43" i="50"/>
  <c r="H43" i="50"/>
  <c r="I43" i="50"/>
  <c r="J43" i="50"/>
  <c r="K43" i="50"/>
  <c r="L43" i="50"/>
  <c r="M43" i="50"/>
  <c r="N43" i="50"/>
  <c r="O43" i="50"/>
  <c r="P43" i="50"/>
  <c r="Q43" i="50"/>
  <c r="R43" i="50"/>
  <c r="S43" i="50"/>
  <c r="T43" i="50"/>
  <c r="U43" i="50"/>
  <c r="V43" i="50"/>
  <c r="W43" i="50"/>
  <c r="X43" i="50"/>
  <c r="C43" i="50"/>
  <c r="D30" i="57"/>
  <c r="D38" i="50" s="1"/>
  <c r="E30" i="57"/>
  <c r="E38" i="50" s="1"/>
  <c r="F30" i="57"/>
  <c r="F38" i="50" s="1"/>
  <c r="G30" i="57"/>
  <c r="G38" i="50" s="1"/>
  <c r="H30" i="57"/>
  <c r="H38" i="50" s="1"/>
  <c r="I30" i="57"/>
  <c r="I38" i="50" s="1"/>
  <c r="J30" i="57"/>
  <c r="J38" i="50" s="1"/>
  <c r="K30" i="57"/>
  <c r="L30" i="57"/>
  <c r="L38" i="50" s="1"/>
  <c r="M30" i="57"/>
  <c r="M38" i="50" s="1"/>
  <c r="N30" i="57"/>
  <c r="N38" i="50" s="1"/>
  <c r="O30" i="57"/>
  <c r="O38" i="50" s="1"/>
  <c r="P30" i="57"/>
  <c r="P38" i="50" s="1"/>
  <c r="Q30" i="57"/>
  <c r="Q38" i="50" s="1"/>
  <c r="R30" i="57"/>
  <c r="R38" i="50" s="1"/>
  <c r="S30" i="57"/>
  <c r="S38" i="50" s="1"/>
  <c r="T30" i="57"/>
  <c r="T38" i="50" s="1"/>
  <c r="U30" i="57"/>
  <c r="U38" i="50" s="1"/>
  <c r="V30" i="57"/>
  <c r="V38" i="50" s="1"/>
  <c r="W30" i="57"/>
  <c r="W38" i="50" s="1"/>
  <c r="X30" i="57"/>
  <c r="X38" i="50" s="1"/>
  <c r="Y30" i="57"/>
  <c r="Z30" i="57"/>
  <c r="AA30" i="57"/>
  <c r="AB30" i="57"/>
  <c r="AC30" i="57"/>
  <c r="AD30" i="57"/>
  <c r="C30" i="57"/>
  <c r="C38" i="50" s="1"/>
  <c r="D27" i="57"/>
  <c r="D33" i="50" s="1"/>
  <c r="E27" i="57"/>
  <c r="E33" i="50" s="1"/>
  <c r="F27" i="57"/>
  <c r="F33" i="50" s="1"/>
  <c r="G27" i="57"/>
  <c r="G33" i="50" s="1"/>
  <c r="H27" i="57"/>
  <c r="H33" i="50" s="1"/>
  <c r="I27" i="57"/>
  <c r="I33" i="50" s="1"/>
  <c r="J27" i="57"/>
  <c r="J33" i="50" s="1"/>
  <c r="K27" i="57"/>
  <c r="L27" i="57"/>
  <c r="L33" i="50" s="1"/>
  <c r="M27" i="57"/>
  <c r="M33" i="50" s="1"/>
  <c r="N27" i="57"/>
  <c r="N33" i="50" s="1"/>
  <c r="O27" i="57"/>
  <c r="O33" i="50" s="1"/>
  <c r="P27" i="57"/>
  <c r="P33" i="50" s="1"/>
  <c r="Q27" i="57"/>
  <c r="Q33" i="50" s="1"/>
  <c r="R27" i="57"/>
  <c r="R33" i="50" s="1"/>
  <c r="S27" i="57"/>
  <c r="S33" i="50" s="1"/>
  <c r="T27" i="57"/>
  <c r="T33" i="50" s="1"/>
  <c r="U27" i="57"/>
  <c r="U33" i="50" s="1"/>
  <c r="V27" i="57"/>
  <c r="V33" i="50" s="1"/>
  <c r="W27" i="57"/>
  <c r="W33" i="50" s="1"/>
  <c r="X27" i="57"/>
  <c r="X33" i="50" s="1"/>
  <c r="Y27" i="57"/>
  <c r="Z27" i="57"/>
  <c r="AA27" i="57"/>
  <c r="AB27" i="57"/>
  <c r="AC27" i="57"/>
  <c r="AD27" i="57"/>
  <c r="C27" i="57"/>
  <c r="C33" i="50" s="1"/>
  <c r="D24" i="57"/>
  <c r="D28" i="50" s="1"/>
  <c r="E24" i="57"/>
  <c r="E28" i="50" s="1"/>
  <c r="F24" i="57"/>
  <c r="F28" i="50" s="1"/>
  <c r="G24" i="57"/>
  <c r="G28" i="50" s="1"/>
  <c r="H24" i="57"/>
  <c r="H28" i="50" s="1"/>
  <c r="I24" i="57"/>
  <c r="I28" i="50" s="1"/>
  <c r="J24" i="57"/>
  <c r="J28" i="50" s="1"/>
  <c r="K24" i="57"/>
  <c r="L24" i="57"/>
  <c r="L28" i="50" s="1"/>
  <c r="M24" i="57"/>
  <c r="M28" i="50" s="1"/>
  <c r="N24" i="57"/>
  <c r="N28" i="50" s="1"/>
  <c r="O24" i="57"/>
  <c r="O28" i="50" s="1"/>
  <c r="P24" i="57"/>
  <c r="P28" i="50" s="1"/>
  <c r="Q24" i="57"/>
  <c r="Q28" i="50" s="1"/>
  <c r="R24" i="57"/>
  <c r="R28" i="50" s="1"/>
  <c r="S24" i="57"/>
  <c r="S28" i="50" s="1"/>
  <c r="T24" i="57"/>
  <c r="T28" i="50" s="1"/>
  <c r="U24" i="57"/>
  <c r="U28" i="50" s="1"/>
  <c r="V24" i="57"/>
  <c r="V28" i="50" s="1"/>
  <c r="W24" i="57"/>
  <c r="W28" i="50" s="1"/>
  <c r="X24" i="57"/>
  <c r="X28" i="50" s="1"/>
  <c r="Y24" i="57"/>
  <c r="Z24" i="57"/>
  <c r="AA24" i="57"/>
  <c r="AB24" i="57"/>
  <c r="AC24" i="57"/>
  <c r="AD24" i="57"/>
  <c r="C24" i="57"/>
  <c r="C28" i="50" s="1"/>
  <c r="AK24" i="57" l="1"/>
  <c r="AJ24" i="57"/>
  <c r="AI65" i="50"/>
  <c r="AJ65" i="50" s="1"/>
  <c r="BC65" i="50"/>
  <c r="AS65" i="50"/>
  <c r="AA65" i="50"/>
  <c r="C15" i="57"/>
  <c r="C11" i="50" s="1"/>
  <c r="AK37" i="57"/>
  <c r="AS64" i="50"/>
  <c r="BC64" i="50"/>
  <c r="AJ37" i="57"/>
  <c r="AK30" i="57"/>
  <c r="AK27" i="57"/>
  <c r="K28" i="50"/>
  <c r="K38" i="50"/>
  <c r="AJ27" i="57"/>
  <c r="K33" i="50"/>
  <c r="AJ30" i="57"/>
  <c r="D18" i="57"/>
  <c r="D16" i="50" s="1"/>
  <c r="E18" i="57"/>
  <c r="E16" i="50" s="1"/>
  <c r="F18" i="57"/>
  <c r="F16" i="50" s="1"/>
  <c r="G18" i="57"/>
  <c r="G16" i="50" s="1"/>
  <c r="H18" i="57"/>
  <c r="H16" i="50" s="1"/>
  <c r="I18" i="57"/>
  <c r="I16" i="50" s="1"/>
  <c r="J18" i="57"/>
  <c r="J16" i="50" s="1"/>
  <c r="K18" i="57"/>
  <c r="K16" i="50" s="1"/>
  <c r="L18" i="57"/>
  <c r="L16" i="50" s="1"/>
  <c r="M18" i="57"/>
  <c r="M16" i="50" s="1"/>
  <c r="N18" i="57"/>
  <c r="N16" i="50" s="1"/>
  <c r="O18" i="57"/>
  <c r="O16" i="50" s="1"/>
  <c r="P18" i="57"/>
  <c r="P16" i="50" s="1"/>
  <c r="Q18" i="57"/>
  <c r="Q16" i="50" s="1"/>
  <c r="R18" i="57"/>
  <c r="R16" i="50" s="1"/>
  <c r="S18" i="57"/>
  <c r="S16" i="50" s="1"/>
  <c r="T18" i="57"/>
  <c r="T16" i="50" s="1"/>
  <c r="U18" i="57"/>
  <c r="U16" i="50" s="1"/>
  <c r="V18" i="57"/>
  <c r="V16" i="50" s="1"/>
  <c r="W18" i="57"/>
  <c r="W16" i="50" s="1"/>
  <c r="X18" i="57"/>
  <c r="X16" i="50" s="1"/>
  <c r="Y18" i="57"/>
  <c r="Z18" i="57"/>
  <c r="AA18" i="57"/>
  <c r="AB18" i="57"/>
  <c r="AC18" i="57"/>
  <c r="AD18" i="57"/>
  <c r="C18" i="57"/>
  <c r="C16" i="50" s="1"/>
  <c r="BD65" i="50" l="1"/>
  <c r="AT65" i="50"/>
  <c r="AK65" i="50"/>
  <c r="AB65" i="50"/>
  <c r="Y28" i="50"/>
  <c r="BE33" i="50"/>
  <c r="AG33" i="50"/>
  <c r="BD64" i="50"/>
  <c r="AT64" i="50"/>
  <c r="AA33" i="50"/>
  <c r="AR33" i="50"/>
  <c r="AY33" i="50"/>
  <c r="Z33" i="50"/>
  <c r="BI28" i="50"/>
  <c r="AE28" i="50"/>
  <c r="AA28" i="50"/>
  <c r="AH28" i="50"/>
  <c r="AQ28" i="50"/>
  <c r="AW28" i="50"/>
  <c r="AM28" i="50"/>
  <c r="AV28" i="50"/>
  <c r="AL28" i="50"/>
  <c r="BF28" i="50"/>
  <c r="BC28" i="50"/>
  <c r="Z28" i="50"/>
  <c r="AH33" i="50"/>
  <c r="BH33" i="50"/>
  <c r="AR28" i="50"/>
  <c r="AK28" i="50"/>
  <c r="BK28" i="50"/>
  <c r="BH28" i="50"/>
  <c r="AX28" i="50"/>
  <c r="AJ28" i="50"/>
  <c r="AS28" i="50"/>
  <c r="AF28" i="50"/>
  <c r="BB28" i="50"/>
  <c r="AZ28" i="50"/>
  <c r="AG28" i="50"/>
  <c r="BA28" i="50"/>
  <c r="BG28" i="50"/>
  <c r="BD28" i="50"/>
  <c r="AP28" i="50"/>
  <c r="AB28" i="50"/>
  <c r="AI33" i="50"/>
  <c r="AX33" i="50"/>
  <c r="AO33" i="50"/>
  <c r="AM33" i="50"/>
  <c r="BC33" i="50"/>
  <c r="BA33" i="50"/>
  <c r="AL33" i="50"/>
  <c r="BB33" i="50"/>
  <c r="AF33" i="50"/>
  <c r="AV33" i="50"/>
  <c r="Y33" i="50"/>
  <c r="AS33" i="50"/>
  <c r="AB33" i="50"/>
  <c r="AQ33" i="50"/>
  <c r="BG33" i="50"/>
  <c r="BI33" i="50"/>
  <c r="AP33" i="50"/>
  <c r="BF33" i="50"/>
  <c r="AJ33" i="50"/>
  <c r="AZ33" i="50"/>
  <c r="AC33" i="50"/>
  <c r="AW33" i="50"/>
  <c r="AO28" i="50"/>
  <c r="BE28" i="50"/>
  <c r="AY28" i="50"/>
  <c r="AN28" i="50"/>
  <c r="AD28" i="50"/>
  <c r="AT28" i="50"/>
  <c r="BJ28" i="50"/>
  <c r="AU28" i="50"/>
  <c r="AE33" i="50"/>
  <c r="AU33" i="50"/>
  <c r="BK33" i="50"/>
  <c r="AD33" i="50"/>
  <c r="AT33" i="50"/>
  <c r="BJ33" i="50"/>
  <c r="AN33" i="50"/>
  <c r="BD33" i="50"/>
  <c r="AK33" i="50"/>
  <c r="AC28" i="50"/>
  <c r="AB43" i="50"/>
  <c r="AF43" i="50"/>
  <c r="AJ43" i="50"/>
  <c r="AN43" i="50"/>
  <c r="AR43" i="50"/>
  <c r="AV43" i="50"/>
  <c r="AZ43" i="50"/>
  <c r="BD43" i="50"/>
  <c r="BH43" i="50"/>
  <c r="BG43" i="50"/>
  <c r="AC43" i="50"/>
  <c r="AG43" i="50"/>
  <c r="AK43" i="50"/>
  <c r="AO43" i="50"/>
  <c r="AS43" i="50"/>
  <c r="AW43" i="50"/>
  <c r="BA43" i="50"/>
  <c r="BE43" i="50"/>
  <c r="BI43" i="50"/>
  <c r="AA43" i="50"/>
  <c r="AQ43" i="50"/>
  <c r="BC43" i="50"/>
  <c r="Z43" i="50"/>
  <c r="AD43" i="50"/>
  <c r="AH43" i="50"/>
  <c r="AL43" i="50"/>
  <c r="AP43" i="50"/>
  <c r="AT43" i="50"/>
  <c r="AX43" i="50"/>
  <c r="BB43" i="50"/>
  <c r="BF43" i="50"/>
  <c r="BJ43" i="50"/>
  <c r="AE43" i="50"/>
  <c r="AI43" i="50"/>
  <c r="AM43" i="50"/>
  <c r="AU43" i="50"/>
  <c r="AY43" i="50"/>
  <c r="BK43" i="50"/>
  <c r="AJ18" i="57"/>
  <c r="AK18" i="57"/>
  <c r="Z38" i="50"/>
  <c r="AD38" i="50"/>
  <c r="AH38" i="50"/>
  <c r="AL38" i="50"/>
  <c r="AP38" i="50"/>
  <c r="AT38" i="50"/>
  <c r="AX38" i="50"/>
  <c r="BB38" i="50"/>
  <c r="BF38" i="50"/>
  <c r="BJ38" i="50"/>
  <c r="AA38" i="50"/>
  <c r="AE38" i="50"/>
  <c r="AI38" i="50"/>
  <c r="AM38" i="50"/>
  <c r="AQ38" i="50"/>
  <c r="AU38" i="50"/>
  <c r="AY38" i="50"/>
  <c r="BC38" i="50"/>
  <c r="BG38" i="50"/>
  <c r="BK38" i="50"/>
  <c r="AC38" i="50"/>
  <c r="AG38" i="50"/>
  <c r="AK38" i="50"/>
  <c r="AS38" i="50"/>
  <c r="BA38" i="50"/>
  <c r="BI38" i="50"/>
  <c r="AB38" i="50"/>
  <c r="AF38" i="50"/>
  <c r="AJ38" i="50"/>
  <c r="AN38" i="50"/>
  <c r="AR38" i="50"/>
  <c r="AV38" i="50"/>
  <c r="AZ38" i="50"/>
  <c r="BD38" i="50"/>
  <c r="BH38" i="50"/>
  <c r="Y38" i="50"/>
  <c r="AO38" i="50"/>
  <c r="AW38" i="50"/>
  <c r="BE38" i="50"/>
  <c r="AI28" i="50"/>
  <c r="BE65" i="50" l="1"/>
  <c r="AU65" i="50"/>
  <c r="AL65" i="50"/>
  <c r="AC65" i="50"/>
  <c r="AU64" i="50"/>
  <c r="BE64" i="50"/>
  <c r="AF16" i="50"/>
  <c r="AO16" i="50"/>
  <c r="AP16" i="50"/>
  <c r="AV16" i="50"/>
  <c r="AT16" i="50"/>
  <c r="AX16" i="50"/>
  <c r="AC16" i="50"/>
  <c r="AR16" i="50"/>
  <c r="BK16" i="50"/>
  <c r="AU16" i="50"/>
  <c r="AE16" i="50"/>
  <c r="BF16" i="50"/>
  <c r="AH16" i="50"/>
  <c r="AI16" i="50"/>
  <c r="BA16" i="50"/>
  <c r="BJ16" i="50"/>
  <c r="AK16" i="50"/>
  <c r="AJ16" i="50"/>
  <c r="AS16" i="50"/>
  <c r="BH16" i="50"/>
  <c r="AL16" i="50"/>
  <c r="BG16" i="50"/>
  <c r="AQ16" i="50"/>
  <c r="BE16" i="50"/>
  <c r="AW16" i="50"/>
  <c r="AY16" i="50"/>
  <c r="AZ16" i="50"/>
  <c r="AB16" i="50"/>
  <c r="Z16" i="50"/>
  <c r="BI16" i="50"/>
  <c r="AN16" i="50"/>
  <c r="BB16" i="50"/>
  <c r="AG16" i="50"/>
  <c r="BC16" i="50"/>
  <c r="AM16" i="50"/>
  <c r="Y16" i="50"/>
  <c r="BD16" i="50"/>
  <c r="AA16" i="50"/>
  <c r="AD16" i="50"/>
  <c r="BF65" i="50" l="1"/>
  <c r="AV65" i="50"/>
  <c r="AM65" i="50"/>
  <c r="AD65" i="50"/>
  <c r="BF64" i="50"/>
  <c r="AV64" i="50"/>
  <c r="AJ17" i="57"/>
  <c r="AK17" i="57"/>
  <c r="BG65" i="50" l="1"/>
  <c r="AW65" i="50"/>
  <c r="AN65" i="50"/>
  <c r="AE65" i="50"/>
  <c r="AW64" i="50"/>
  <c r="BG64" i="50"/>
  <c r="BH65" i="50" l="1"/>
  <c r="AX65" i="50"/>
  <c r="AO65" i="50"/>
  <c r="AF65" i="50"/>
  <c r="BH64" i="50"/>
  <c r="AX64" i="50"/>
  <c r="C7" i="58"/>
  <c r="C8" i="58" s="1"/>
  <c r="BI65" i="50" l="1"/>
  <c r="AY65" i="50"/>
  <c r="AP65" i="50"/>
  <c r="AY64" i="50"/>
  <c r="BI64" i="50"/>
  <c r="X52" i="50"/>
  <c r="X56" i="50" s="1"/>
  <c r="BJ65" i="50" l="1"/>
  <c r="AZ65" i="50"/>
  <c r="BJ64" i="50"/>
  <c r="AZ64" i="50"/>
  <c r="X58" i="50"/>
  <c r="X59" i="50" s="1"/>
  <c r="Y4" i="50"/>
  <c r="Y4" i="57" s="1"/>
  <c r="Z4" i="50"/>
  <c r="Z4" i="57" s="1"/>
  <c r="AA4" i="50"/>
  <c r="AA4" i="57" s="1"/>
  <c r="AB4" i="50"/>
  <c r="AB4" i="57" s="1"/>
  <c r="AC4" i="50"/>
  <c r="AC4" i="57" s="1"/>
  <c r="AD4" i="50"/>
  <c r="AD4" i="57" s="1"/>
  <c r="AE4" i="50"/>
  <c r="AF4" i="50"/>
  <c r="AG4" i="50"/>
  <c r="AE4" i="57" s="1"/>
  <c r="AH4" i="50"/>
  <c r="AI4" i="50"/>
  <c r="AJ4" i="50"/>
  <c r="AK4" i="50"/>
  <c r="AL4" i="50"/>
  <c r="AM4" i="50"/>
  <c r="AN4" i="50"/>
  <c r="AO4" i="50"/>
  <c r="AP4" i="50"/>
  <c r="AQ4" i="50"/>
  <c r="AF4" i="57" s="1"/>
  <c r="AR4" i="50"/>
  <c r="AS4" i="50"/>
  <c r="AT4" i="50"/>
  <c r="AU4" i="50"/>
  <c r="AV4" i="50"/>
  <c r="AW4" i="50"/>
  <c r="AX4" i="50"/>
  <c r="AY4" i="50"/>
  <c r="AZ4" i="50"/>
  <c r="BA4" i="50"/>
  <c r="AG4" i="57" s="1"/>
  <c r="BB4" i="50"/>
  <c r="BC4" i="50"/>
  <c r="BD4" i="50"/>
  <c r="BE4" i="50"/>
  <c r="BF4" i="50"/>
  <c r="BG4" i="50"/>
  <c r="BH4" i="50"/>
  <c r="BI4" i="50"/>
  <c r="BJ4" i="50"/>
  <c r="BK4" i="50"/>
  <c r="AH4" i="57" s="1"/>
  <c r="AK44" i="57" l="1"/>
  <c r="AJ44" i="57"/>
  <c r="AJ57" i="57" l="1"/>
  <c r="AK57" i="57"/>
  <c r="AK63" i="57"/>
  <c r="AJ63" i="57"/>
  <c r="AK14" i="57"/>
  <c r="AJ14" i="57"/>
  <c r="AK54" i="57"/>
  <c r="AJ54" i="57"/>
  <c r="AE42" i="36"/>
  <c r="AD16" i="36"/>
  <c r="AE16" i="36" s="1"/>
  <c r="AF16" i="36" s="1"/>
  <c r="AG16" i="36" s="1"/>
  <c r="AH16" i="36" s="1"/>
  <c r="AI16" i="36" s="1"/>
  <c r="AK55" i="57"/>
  <c r="AJ60" i="57"/>
  <c r="AK65" i="57"/>
  <c r="AK66" i="57"/>
  <c r="AJ66" i="57"/>
  <c r="AK26" i="57"/>
  <c r="AJ26" i="57"/>
  <c r="W52" i="50"/>
  <c r="W56" i="50" s="1"/>
  <c r="AK56" i="57"/>
  <c r="AJ56" i="57"/>
  <c r="D12" i="57"/>
  <c r="E12" i="57"/>
  <c r="F12" i="57"/>
  <c r="G12" i="57"/>
  <c r="H12" i="57"/>
  <c r="I12" i="57"/>
  <c r="J12" i="57"/>
  <c r="K12" i="57"/>
  <c r="L12" i="57"/>
  <c r="M12" i="57"/>
  <c r="N12" i="57"/>
  <c r="O12" i="57"/>
  <c r="P12" i="57"/>
  <c r="Q12" i="57"/>
  <c r="R12" i="57"/>
  <c r="S12" i="57"/>
  <c r="T12" i="57"/>
  <c r="U12" i="57"/>
  <c r="V12" i="57"/>
  <c r="W12" i="57"/>
  <c r="X12" i="57"/>
  <c r="Y12" i="57"/>
  <c r="Z12" i="57"/>
  <c r="AA12" i="57"/>
  <c r="AB12" i="57"/>
  <c r="AC12" i="57"/>
  <c r="AD12" i="57"/>
  <c r="C12" i="57"/>
  <c r="D11" i="57"/>
  <c r="E11" i="57"/>
  <c r="F11" i="57"/>
  <c r="G11" i="57"/>
  <c r="H11" i="57"/>
  <c r="I11" i="57"/>
  <c r="J11" i="57"/>
  <c r="K11" i="57"/>
  <c r="L11" i="57"/>
  <c r="M11" i="57"/>
  <c r="N11" i="57"/>
  <c r="O11" i="57"/>
  <c r="P11" i="57"/>
  <c r="Q11" i="57"/>
  <c r="R11" i="57"/>
  <c r="S11" i="57"/>
  <c r="T11" i="57"/>
  <c r="U11" i="57"/>
  <c r="V11" i="57"/>
  <c r="W11" i="57"/>
  <c r="X11" i="57"/>
  <c r="Y11" i="57"/>
  <c r="Z11" i="57"/>
  <c r="AA11" i="57"/>
  <c r="AB11" i="57"/>
  <c r="AC11" i="57"/>
  <c r="AD11" i="57"/>
  <c r="C11" i="57"/>
  <c r="D10" i="57"/>
  <c r="E10" i="57"/>
  <c r="F10" i="57"/>
  <c r="G10" i="57"/>
  <c r="H10" i="57"/>
  <c r="I10" i="57"/>
  <c r="J10" i="57"/>
  <c r="K10" i="57"/>
  <c r="L10" i="57"/>
  <c r="M10" i="57"/>
  <c r="N10" i="57"/>
  <c r="O10" i="57"/>
  <c r="P10" i="57"/>
  <c r="Q10" i="57"/>
  <c r="R10" i="57"/>
  <c r="S10" i="57"/>
  <c r="T10" i="57"/>
  <c r="U10" i="57"/>
  <c r="V10" i="57"/>
  <c r="W10" i="57"/>
  <c r="X10" i="57"/>
  <c r="Y10" i="57"/>
  <c r="Z10" i="57"/>
  <c r="AA10" i="57"/>
  <c r="AB10" i="57"/>
  <c r="AC10" i="57"/>
  <c r="AD10" i="57"/>
  <c r="C10" i="57"/>
  <c r="D9" i="57"/>
  <c r="E9" i="57"/>
  <c r="F9" i="57"/>
  <c r="G9" i="57"/>
  <c r="H9" i="57"/>
  <c r="I9" i="57"/>
  <c r="J9" i="57"/>
  <c r="K9" i="57"/>
  <c r="L9" i="57"/>
  <c r="M9" i="57"/>
  <c r="N9" i="57"/>
  <c r="O9" i="57"/>
  <c r="P9" i="57"/>
  <c r="Q9" i="57"/>
  <c r="R9" i="57"/>
  <c r="S9" i="57"/>
  <c r="T9" i="57"/>
  <c r="U9" i="57"/>
  <c r="V9" i="57"/>
  <c r="W9" i="57"/>
  <c r="X9" i="57"/>
  <c r="Y9" i="57"/>
  <c r="Z9" i="57"/>
  <c r="AA9" i="57"/>
  <c r="AB9" i="57"/>
  <c r="AC9" i="57"/>
  <c r="AD9" i="57"/>
  <c r="C9" i="57"/>
  <c r="A20" i="57"/>
  <c r="B20" i="57"/>
  <c r="C20" i="57"/>
  <c r="D20" i="57"/>
  <c r="E20" i="57"/>
  <c r="F20" i="57"/>
  <c r="G20" i="57"/>
  <c r="H20" i="57"/>
  <c r="I20" i="57"/>
  <c r="J20" i="57"/>
  <c r="K20" i="57"/>
  <c r="K21" i="57" s="1"/>
  <c r="L20" i="57"/>
  <c r="M20" i="57"/>
  <c r="N20" i="57"/>
  <c r="O20" i="57"/>
  <c r="P20" i="57"/>
  <c r="Q20" i="57"/>
  <c r="R20" i="57"/>
  <c r="S20" i="57"/>
  <c r="T20" i="57"/>
  <c r="U20" i="57"/>
  <c r="V20" i="57"/>
  <c r="W20" i="57"/>
  <c r="X20" i="57"/>
  <c r="Y20" i="57"/>
  <c r="Z20" i="57"/>
  <c r="AA20" i="57"/>
  <c r="AB20" i="57"/>
  <c r="AC20" i="57"/>
  <c r="AD20" i="57"/>
  <c r="G22" i="57"/>
  <c r="G7" i="57" s="1"/>
  <c r="G5" i="57"/>
  <c r="K5" i="57"/>
  <c r="O5" i="57"/>
  <c r="S5" i="57"/>
  <c r="W5" i="57"/>
  <c r="AA5" i="57"/>
  <c r="C5" i="57"/>
  <c r="B19" i="57"/>
  <c r="A19" i="57"/>
  <c r="B44" i="57"/>
  <c r="A44" i="57"/>
  <c r="B43" i="57"/>
  <c r="A43" i="57"/>
  <c r="B41" i="57"/>
  <c r="A41" i="57"/>
  <c r="B39" i="57"/>
  <c r="B40" i="57"/>
  <c r="A39" i="57"/>
  <c r="A40" i="57"/>
  <c r="A13" i="57"/>
  <c r="B13" i="57"/>
  <c r="D5" i="57"/>
  <c r="E5" i="57"/>
  <c r="F5" i="57"/>
  <c r="H5" i="57"/>
  <c r="I5" i="57"/>
  <c r="J5" i="57"/>
  <c r="L5" i="57"/>
  <c r="M5" i="57"/>
  <c r="N5" i="57"/>
  <c r="P5" i="57"/>
  <c r="Q5" i="57"/>
  <c r="R5" i="57"/>
  <c r="T5" i="57"/>
  <c r="U5" i="57"/>
  <c r="V5" i="57"/>
  <c r="X5" i="57"/>
  <c r="Y5" i="57"/>
  <c r="Z5" i="57"/>
  <c r="AB5" i="57"/>
  <c r="AC5" i="57"/>
  <c r="AD5" i="57"/>
  <c r="B16" i="57"/>
  <c r="C6" i="57"/>
  <c r="D6" i="57"/>
  <c r="E6" i="57"/>
  <c r="F6" i="57"/>
  <c r="G6" i="57"/>
  <c r="H6" i="57"/>
  <c r="I6" i="57"/>
  <c r="J6" i="57"/>
  <c r="K6" i="57"/>
  <c r="L6" i="57"/>
  <c r="M6" i="57"/>
  <c r="N6" i="57"/>
  <c r="O6" i="57"/>
  <c r="P6" i="57"/>
  <c r="Q6" i="57"/>
  <c r="R6" i="57"/>
  <c r="S6" i="57"/>
  <c r="T6" i="57"/>
  <c r="U6" i="57"/>
  <c r="V6" i="57"/>
  <c r="W6" i="57"/>
  <c r="X6" i="57"/>
  <c r="Y6" i="57"/>
  <c r="Z6" i="57"/>
  <c r="AA6" i="57"/>
  <c r="AB6" i="57"/>
  <c r="AC6" i="57"/>
  <c r="B17" i="57"/>
  <c r="B22" i="57"/>
  <c r="B23" i="57"/>
  <c r="B25" i="57"/>
  <c r="B26" i="57"/>
  <c r="B28" i="57"/>
  <c r="B29" i="57"/>
  <c r="B31" i="57"/>
  <c r="B33" i="57"/>
  <c r="B36" i="57"/>
  <c r="A36" i="57"/>
  <c r="A33" i="57"/>
  <c r="A31" i="57"/>
  <c r="A29" i="57"/>
  <c r="A28" i="57"/>
  <c r="A26" i="57"/>
  <c r="A25" i="57"/>
  <c r="A23" i="57"/>
  <c r="A22" i="57"/>
  <c r="A17" i="57"/>
  <c r="A16" i="57"/>
  <c r="A14" i="57"/>
  <c r="B5" i="57"/>
  <c r="B6" i="57"/>
  <c r="B7" i="57"/>
  <c r="B8" i="57"/>
  <c r="B9" i="57"/>
  <c r="B10" i="57"/>
  <c r="B11" i="57"/>
  <c r="B12" i="57"/>
  <c r="A12" i="57"/>
  <c r="A11" i="57"/>
  <c r="A10" i="57"/>
  <c r="A9" i="57"/>
  <c r="A8" i="57"/>
  <c r="A7" i="57"/>
  <c r="A6" i="57"/>
  <c r="A5" i="57"/>
  <c r="B4" i="57"/>
  <c r="A4" i="57"/>
  <c r="AF42" i="36" l="1"/>
  <c r="AE83" i="36"/>
  <c r="W58" i="50"/>
  <c r="W59" i="50" s="1"/>
  <c r="V52" i="50"/>
  <c r="V56" i="50" s="1"/>
  <c r="U52" i="50"/>
  <c r="U56" i="50" s="1"/>
  <c r="N8" i="57"/>
  <c r="N21" i="57"/>
  <c r="N25" i="50" s="1"/>
  <c r="V8" i="57"/>
  <c r="V21" i="57"/>
  <c r="V25" i="50" s="1"/>
  <c r="J8" i="57"/>
  <c r="J21" i="57"/>
  <c r="J25" i="50" s="1"/>
  <c r="AC8" i="57"/>
  <c r="AC21" i="57"/>
  <c r="Y8" i="57"/>
  <c r="Y21" i="57"/>
  <c r="U8" i="57"/>
  <c r="U21" i="57"/>
  <c r="U25" i="50" s="1"/>
  <c r="Q8" i="57"/>
  <c r="Q21" i="57"/>
  <c r="Q25" i="50" s="1"/>
  <c r="M8" i="57"/>
  <c r="M21" i="57"/>
  <c r="M25" i="50" s="1"/>
  <c r="I8" i="57"/>
  <c r="I21" i="57"/>
  <c r="I25" i="50" s="1"/>
  <c r="E8" i="57"/>
  <c r="E21" i="57"/>
  <c r="E25" i="50" s="1"/>
  <c r="Z8" i="57"/>
  <c r="Z21" i="57"/>
  <c r="AB22" i="57"/>
  <c r="AB7" i="57" s="1"/>
  <c r="AB21" i="57"/>
  <c r="X22" i="57"/>
  <c r="X7" i="57" s="1"/>
  <c r="X21" i="57"/>
  <c r="X25" i="50" s="1"/>
  <c r="T22" i="57"/>
  <c r="T7" i="57" s="1"/>
  <c r="T21" i="57"/>
  <c r="T25" i="50" s="1"/>
  <c r="P22" i="57"/>
  <c r="P7" i="57" s="1"/>
  <c r="P21" i="57"/>
  <c r="P25" i="50" s="1"/>
  <c r="L22" i="57"/>
  <c r="L7" i="57" s="1"/>
  <c r="L21" i="57"/>
  <c r="L25" i="50" s="1"/>
  <c r="H22" i="57"/>
  <c r="H7" i="57" s="1"/>
  <c r="H21" i="57"/>
  <c r="H25" i="50" s="1"/>
  <c r="D22" i="57"/>
  <c r="D7" i="57" s="1"/>
  <c r="D21" i="57"/>
  <c r="D25" i="50" s="1"/>
  <c r="AD8" i="57"/>
  <c r="AD21" i="57"/>
  <c r="R8" i="57"/>
  <c r="R21" i="57"/>
  <c r="R25" i="50" s="1"/>
  <c r="F8" i="57"/>
  <c r="F21" i="57"/>
  <c r="F25" i="50" s="1"/>
  <c r="AA8" i="57"/>
  <c r="AA21" i="57"/>
  <c r="W8" i="57"/>
  <c r="W21" i="57"/>
  <c r="W25" i="50" s="1"/>
  <c r="S8" i="57"/>
  <c r="S21" i="57"/>
  <c r="S25" i="50" s="1"/>
  <c r="O8" i="57"/>
  <c r="O21" i="57"/>
  <c r="O25" i="50" s="1"/>
  <c r="K8" i="57"/>
  <c r="G8" i="57"/>
  <c r="G21" i="57"/>
  <c r="G25" i="50" s="1"/>
  <c r="C8" i="57"/>
  <c r="C21" i="57"/>
  <c r="C25" i="50" s="1"/>
  <c r="AJ59" i="57"/>
  <c r="S22" i="57"/>
  <c r="Z22" i="57"/>
  <c r="Z7" i="57" s="1"/>
  <c r="I22" i="57"/>
  <c r="I7" i="57" s="1"/>
  <c r="U22" i="57"/>
  <c r="U7" i="57" s="1"/>
  <c r="AK60" i="57"/>
  <c r="AJ55" i="57"/>
  <c r="AJ65" i="57"/>
  <c r="W22" i="57"/>
  <c r="W7" i="57" s="1"/>
  <c r="V22" i="57"/>
  <c r="V7" i="57" s="1"/>
  <c r="N22" i="57"/>
  <c r="N7" i="57" s="1"/>
  <c r="O22" i="57"/>
  <c r="O7" i="57" s="1"/>
  <c r="AD22" i="57"/>
  <c r="C22" i="57"/>
  <c r="C7" i="57" s="1"/>
  <c r="AA22" i="57"/>
  <c r="AA7" i="57" s="1"/>
  <c r="K22" i="57"/>
  <c r="K7" i="57" s="1"/>
  <c r="AK59" i="57"/>
  <c r="Y22" i="57"/>
  <c r="Y7" i="57" s="1"/>
  <c r="AC22" i="57"/>
  <c r="AC7" i="57" s="1"/>
  <c r="R22" i="57"/>
  <c r="R7" i="57" s="1"/>
  <c r="M22" i="57"/>
  <c r="M7" i="57" s="1"/>
  <c r="F22" i="57"/>
  <c r="F7" i="57" s="1"/>
  <c r="Q22" i="57"/>
  <c r="Q7" i="57" s="1"/>
  <c r="J22" i="57"/>
  <c r="J7" i="57" s="1"/>
  <c r="E22" i="57"/>
  <c r="E7" i="57" s="1"/>
  <c r="AB8" i="57"/>
  <c r="X8" i="57"/>
  <c r="T8" i="57"/>
  <c r="P8" i="57"/>
  <c r="L8" i="57"/>
  <c r="H8" i="57"/>
  <c r="D8" i="57"/>
  <c r="S7" i="57" l="1"/>
  <c r="AJ23" i="57"/>
  <c r="AK23" i="57"/>
  <c r="AG42" i="36"/>
  <c r="AF83" i="36"/>
  <c r="U58" i="50"/>
  <c r="U59" i="50" s="1"/>
  <c r="V58" i="50"/>
  <c r="V59" i="50" s="1"/>
  <c r="AK21" i="57"/>
  <c r="K25" i="50"/>
  <c r="AJ21" i="57"/>
  <c r="AD6" i="57"/>
  <c r="AH42" i="36" l="1"/>
  <c r="AG83" i="36"/>
  <c r="AA25" i="50"/>
  <c r="AE25" i="50"/>
  <c r="AI25" i="50"/>
  <c r="AM25" i="50"/>
  <c r="AQ25" i="50"/>
  <c r="AU25" i="50"/>
  <c r="AY25" i="50"/>
  <c r="BC25" i="50"/>
  <c r="BG25" i="50"/>
  <c r="BK25" i="50"/>
  <c r="AG25" i="50"/>
  <c r="AO25" i="50"/>
  <c r="AW25" i="50"/>
  <c r="BE25" i="50"/>
  <c r="Z25" i="50"/>
  <c r="AH25" i="50"/>
  <c r="AP25" i="50"/>
  <c r="AX25" i="50"/>
  <c r="BF25" i="50"/>
  <c r="AB25" i="50"/>
  <c r="AF25" i="50"/>
  <c r="AJ25" i="50"/>
  <c r="AN25" i="50"/>
  <c r="AR25" i="50"/>
  <c r="AV25" i="50"/>
  <c r="AZ25" i="50"/>
  <c r="BD25" i="50"/>
  <c r="BH25" i="50"/>
  <c r="Y25" i="50"/>
  <c r="AC25" i="50"/>
  <c r="AK25" i="50"/>
  <c r="AS25" i="50"/>
  <c r="BA25" i="50"/>
  <c r="BI25" i="50"/>
  <c r="AD25" i="50"/>
  <c r="AL25" i="50"/>
  <c r="AT25" i="50"/>
  <c r="BB25" i="50"/>
  <c r="BJ25" i="50"/>
  <c r="AD7" i="57"/>
  <c r="AI42" i="36" l="1"/>
  <c r="AI83" i="36" s="1"/>
  <c r="AH83" i="36"/>
  <c r="AJ16" i="36"/>
  <c r="AK16" i="36" s="1"/>
  <c r="AL16" i="36" s="1"/>
  <c r="AM16" i="36" s="1"/>
  <c r="AN16" i="36" s="1"/>
  <c r="AO16" i="36" s="1"/>
  <c r="AP16" i="36" s="1"/>
  <c r="AQ16" i="36" s="1"/>
  <c r="AR16" i="36" s="1"/>
  <c r="AS16" i="36" s="1"/>
  <c r="AT16" i="36" s="1"/>
  <c r="AU16" i="36" s="1"/>
  <c r="AV16" i="36" s="1"/>
  <c r="AW16" i="36" s="1"/>
  <c r="AX16" i="36" s="1"/>
  <c r="AY16" i="36" s="1"/>
  <c r="AZ16" i="36" s="1"/>
  <c r="BA16" i="36" s="1"/>
  <c r="BB16" i="36" s="1"/>
  <c r="BC16" i="36" s="1"/>
  <c r="BD16" i="36" s="1"/>
  <c r="BE16" i="36" s="1"/>
  <c r="BF16" i="36" s="1"/>
  <c r="BG16" i="36" s="1"/>
  <c r="BH16" i="36" s="1"/>
  <c r="BI16" i="36" s="1"/>
  <c r="BJ16" i="36" s="1"/>
  <c r="BK16" i="36" s="1"/>
  <c r="BL16" i="36" s="1"/>
  <c r="BM16" i="36" s="1"/>
  <c r="BN16" i="36" s="1"/>
  <c r="BO16" i="36" s="1"/>
  <c r="BP16" i="36" s="1"/>
  <c r="Y5" i="47" l="1"/>
  <c r="X4" i="50" s="1"/>
  <c r="X4" i="57" s="1"/>
  <c r="X5" i="47" l="1"/>
  <c r="W4" i="50" s="1"/>
  <c r="W4" i="57" s="1"/>
  <c r="W5" i="47" l="1"/>
  <c r="V4" i="50" s="1"/>
  <c r="V4" i="57" s="1"/>
  <c r="V5" i="47" l="1"/>
  <c r="U4" i="50" s="1"/>
  <c r="U4" i="57" s="1"/>
  <c r="D145" i="34"/>
  <c r="D146" i="34"/>
  <c r="D147" i="34"/>
  <c r="D148" i="34"/>
  <c r="D149" i="34"/>
  <c r="D150" i="34"/>
  <c r="D151" i="34"/>
  <c r="D152" i="34"/>
  <c r="D153" i="34"/>
  <c r="D154" i="34"/>
  <c r="D155" i="34"/>
  <c r="D144" i="34"/>
  <c r="E130" i="34"/>
  <c r="E131" i="34"/>
  <c r="E132" i="34"/>
  <c r="E133" i="34"/>
  <c r="E134" i="34"/>
  <c r="E124" i="34"/>
  <c r="E125" i="34"/>
  <c r="E126" i="34"/>
  <c r="E127" i="34"/>
  <c r="E128" i="34"/>
  <c r="U5" i="47" l="1"/>
  <c r="T4" i="50" s="1"/>
  <c r="T4" i="57" s="1"/>
  <c r="B6" i="46"/>
  <c r="AE89" i="36" l="1"/>
  <c r="AI89" i="36"/>
  <c r="AF89" i="36"/>
  <c r="AG89" i="36"/>
  <c r="AH89" i="36"/>
  <c r="AJ89" i="36"/>
  <c r="AD89" i="36"/>
  <c r="AE87" i="36"/>
  <c r="AQ87" i="36"/>
  <c r="BC87" i="36"/>
  <c r="BO87" i="36"/>
  <c r="AO88" i="36"/>
  <c r="BA88" i="36"/>
  <c r="BM88" i="36"/>
  <c r="AS89" i="36"/>
  <c r="BE89" i="36"/>
  <c r="AE90" i="36"/>
  <c r="AQ90" i="36"/>
  <c r="BC90" i="36"/>
  <c r="BO90" i="36"/>
  <c r="AO91" i="36"/>
  <c r="BA91" i="36"/>
  <c r="BM91" i="36"/>
  <c r="AM92" i="36"/>
  <c r="AY92" i="36"/>
  <c r="BK92" i="36"/>
  <c r="AK95" i="36"/>
  <c r="AW95" i="36"/>
  <c r="BI95" i="36"/>
  <c r="AI96" i="36"/>
  <c r="AU96" i="36"/>
  <c r="BG96" i="36"/>
  <c r="AG97" i="36"/>
  <c r="AS97" i="36"/>
  <c r="BE97" i="36"/>
  <c r="AE98" i="36"/>
  <c r="AQ98" i="36"/>
  <c r="BC98" i="36"/>
  <c r="BO98" i="36"/>
  <c r="BA95" i="36"/>
  <c r="AI98" i="36"/>
  <c r="AD96" i="36"/>
  <c r="AP96" i="36"/>
  <c r="AO89" i="36"/>
  <c r="AU92" i="36"/>
  <c r="BA97" i="36"/>
  <c r="BC89" i="36"/>
  <c r="BC97" i="36"/>
  <c r="AF87" i="36"/>
  <c r="AR87" i="36"/>
  <c r="BD87" i="36"/>
  <c r="BP87" i="36"/>
  <c r="AP88" i="36"/>
  <c r="BB88" i="36"/>
  <c r="BN88" i="36"/>
  <c r="AT89" i="36"/>
  <c r="BF89" i="36"/>
  <c r="AF90" i="36"/>
  <c r="AR90" i="36"/>
  <c r="BD90" i="36"/>
  <c r="BP90" i="36"/>
  <c r="AP91" i="36"/>
  <c r="BB91" i="36"/>
  <c r="BN91" i="36"/>
  <c r="AN92" i="36"/>
  <c r="AZ92" i="36"/>
  <c r="BL92" i="36"/>
  <c r="AL95" i="36"/>
  <c r="AX95" i="36"/>
  <c r="BJ95" i="36"/>
  <c r="AJ96" i="36"/>
  <c r="AV96" i="36"/>
  <c r="BH96" i="36"/>
  <c r="AH97" i="36"/>
  <c r="AT97" i="36"/>
  <c r="BF97" i="36"/>
  <c r="AF98" i="36"/>
  <c r="AR98" i="36"/>
  <c r="BD98" i="36"/>
  <c r="BP98" i="36"/>
  <c r="BO92" i="36"/>
  <c r="BK96" i="36"/>
  <c r="AU98" i="36"/>
  <c r="BB96" i="36"/>
  <c r="AW88" i="36"/>
  <c r="AM90" i="36"/>
  <c r="BI91" i="36"/>
  <c r="BE95" i="36"/>
  <c r="BO96" i="36"/>
  <c r="AD90" i="36"/>
  <c r="BK88" i="36"/>
  <c r="BM98" i="36"/>
  <c r="AG87" i="36"/>
  <c r="AS87" i="36"/>
  <c r="BE87" i="36"/>
  <c r="AE88" i="36"/>
  <c r="AQ88" i="36"/>
  <c r="BC88" i="36"/>
  <c r="BO88" i="36"/>
  <c r="AU89" i="36"/>
  <c r="BG89" i="36"/>
  <c r="AG90" i="36"/>
  <c r="AS90" i="36"/>
  <c r="BE90" i="36"/>
  <c r="AE91" i="36"/>
  <c r="AQ91" i="36"/>
  <c r="BC91" i="36"/>
  <c r="BO91" i="36"/>
  <c r="AO92" i="36"/>
  <c r="BA92" i="36"/>
  <c r="BM92" i="36"/>
  <c r="AM95" i="36"/>
  <c r="AY95" i="36"/>
  <c r="BK95" i="36"/>
  <c r="AK96" i="36"/>
  <c r="AW96" i="36"/>
  <c r="BI96" i="36"/>
  <c r="AI97" i="36"/>
  <c r="AU97" i="36"/>
  <c r="BG97" i="36"/>
  <c r="AG98" i="36"/>
  <c r="AS98" i="36"/>
  <c r="BE98" i="36"/>
  <c r="AD98" i="36"/>
  <c r="BC92" i="36"/>
  <c r="AW97" i="36"/>
  <c r="AL98" i="36"/>
  <c r="AD91" i="36"/>
  <c r="BK87" i="36"/>
  <c r="BK90" i="36"/>
  <c r="AG95" i="36"/>
  <c r="AO97" i="36"/>
  <c r="BK91" i="36"/>
  <c r="AS96" i="36"/>
  <c r="AH87" i="36"/>
  <c r="AT87" i="36"/>
  <c r="BF87" i="36"/>
  <c r="AF88" i="36"/>
  <c r="AR88" i="36"/>
  <c r="BD88" i="36"/>
  <c r="BP88" i="36"/>
  <c r="AV89" i="36"/>
  <c r="BH89" i="36"/>
  <c r="AH90" i="36"/>
  <c r="AT90" i="36"/>
  <c r="BF90" i="36"/>
  <c r="AF91" i="36"/>
  <c r="AR91" i="36"/>
  <c r="BD91" i="36"/>
  <c r="BP91" i="36"/>
  <c r="AP92" i="36"/>
  <c r="BB92" i="36"/>
  <c r="BN92" i="36"/>
  <c r="AN95" i="36"/>
  <c r="AZ95" i="36"/>
  <c r="BL95" i="36"/>
  <c r="AL96" i="36"/>
  <c r="AX96" i="36"/>
  <c r="BJ96" i="36"/>
  <c r="AJ97" i="36"/>
  <c r="AV97" i="36"/>
  <c r="BH97" i="36"/>
  <c r="AH98" i="36"/>
  <c r="AT98" i="36"/>
  <c r="BF98" i="36"/>
  <c r="AD97" i="36"/>
  <c r="AQ92" i="36"/>
  <c r="AK97" i="36"/>
  <c r="AX98" i="36"/>
  <c r="BJ98" i="36"/>
  <c r="AM87" i="36"/>
  <c r="AW91" i="36"/>
  <c r="AM98" i="36"/>
  <c r="AM91" i="36"/>
  <c r="AQ97" i="36"/>
  <c r="AI87" i="36"/>
  <c r="AU87" i="36"/>
  <c r="BG87" i="36"/>
  <c r="AG88" i="36"/>
  <c r="AS88" i="36"/>
  <c r="BE88" i="36"/>
  <c r="AK89" i="36"/>
  <c r="AW89" i="36"/>
  <c r="BI89" i="36"/>
  <c r="AI90" i="36"/>
  <c r="AU90" i="36"/>
  <c r="BG90" i="36"/>
  <c r="AG91" i="36"/>
  <c r="AS91" i="36"/>
  <c r="BE91" i="36"/>
  <c r="AE92" i="36"/>
  <c r="AO95" i="36"/>
  <c r="BM95" i="36"/>
  <c r="AM96" i="36"/>
  <c r="AY96" i="36"/>
  <c r="BI97" i="36"/>
  <c r="BG98" i="36"/>
  <c r="BL97" i="36"/>
  <c r="AY87" i="36"/>
  <c r="AK91" i="36"/>
  <c r="AQ96" i="36"/>
  <c r="AO90" i="36"/>
  <c r="AI95" i="36"/>
  <c r="AG96" i="36"/>
  <c r="AE97" i="36"/>
  <c r="AJ87" i="36"/>
  <c r="AV87" i="36"/>
  <c r="BH87" i="36"/>
  <c r="AH88" i="36"/>
  <c r="AT88" i="36"/>
  <c r="BF88" i="36"/>
  <c r="AL89" i="36"/>
  <c r="AX89" i="36"/>
  <c r="BJ89" i="36"/>
  <c r="AJ90" i="36"/>
  <c r="AV90" i="36"/>
  <c r="BH90" i="36"/>
  <c r="AH91" i="36"/>
  <c r="AT91" i="36"/>
  <c r="BF91" i="36"/>
  <c r="AF92" i="36"/>
  <c r="AR92" i="36"/>
  <c r="BD92" i="36"/>
  <c r="BP92" i="36"/>
  <c r="AP95" i="36"/>
  <c r="BB95" i="36"/>
  <c r="BN95" i="36"/>
  <c r="AN96" i="36"/>
  <c r="AZ96" i="36"/>
  <c r="BL96" i="36"/>
  <c r="AL97" i="36"/>
  <c r="AX97" i="36"/>
  <c r="BJ97" i="36"/>
  <c r="AJ98" i="36"/>
  <c r="AV98" i="36"/>
  <c r="BH98" i="36"/>
  <c r="AD95" i="36"/>
  <c r="BN96" i="36"/>
  <c r="BA89" i="36"/>
  <c r="AE96" i="36"/>
  <c r="BA90" i="36"/>
  <c r="BA98" i="36"/>
  <c r="AK87" i="36"/>
  <c r="AW87" i="36"/>
  <c r="BI87" i="36"/>
  <c r="AI88" i="36"/>
  <c r="AU88" i="36"/>
  <c r="BG88" i="36"/>
  <c r="AM89" i="36"/>
  <c r="AY89" i="36"/>
  <c r="BK89" i="36"/>
  <c r="AK90" i="36"/>
  <c r="AW90" i="36"/>
  <c r="BI90" i="36"/>
  <c r="AI91" i="36"/>
  <c r="AU91" i="36"/>
  <c r="BG91" i="36"/>
  <c r="AG92" i="36"/>
  <c r="AS92" i="36"/>
  <c r="BE92" i="36"/>
  <c r="AE95" i="36"/>
  <c r="AQ95" i="36"/>
  <c r="BC95" i="36"/>
  <c r="BO95" i="36"/>
  <c r="AO96" i="36"/>
  <c r="BA96" i="36"/>
  <c r="BM96" i="36"/>
  <c r="AM97" i="36"/>
  <c r="AY97" i="36"/>
  <c r="BK97" i="36"/>
  <c r="AK98" i="36"/>
  <c r="AW98" i="36"/>
  <c r="BI98" i="36"/>
  <c r="AD92" i="36"/>
  <c r="AJ91" i="36"/>
  <c r="BD95" i="36"/>
  <c r="AN97" i="36"/>
  <c r="BI88" i="36"/>
  <c r="BG92" i="36"/>
  <c r="BM97" i="36"/>
  <c r="AQ89" i="36"/>
  <c r="BO97" i="36"/>
  <c r="AL87" i="36"/>
  <c r="AX87" i="36"/>
  <c r="BJ87" i="36"/>
  <c r="AJ88" i="36"/>
  <c r="AV88" i="36"/>
  <c r="BH88" i="36"/>
  <c r="AN89" i="36"/>
  <c r="AZ89" i="36"/>
  <c r="BL89" i="36"/>
  <c r="AL90" i="36"/>
  <c r="AX90" i="36"/>
  <c r="BJ90" i="36"/>
  <c r="AV91" i="36"/>
  <c r="BH91" i="36"/>
  <c r="AH92" i="36"/>
  <c r="AT92" i="36"/>
  <c r="BF92" i="36"/>
  <c r="AF95" i="36"/>
  <c r="AR95" i="36"/>
  <c r="BP95" i="36"/>
  <c r="AZ97" i="36"/>
  <c r="AK88" i="36"/>
  <c r="AY90" i="36"/>
  <c r="AI92" i="36"/>
  <c r="AS95" i="36"/>
  <c r="BC96" i="36"/>
  <c r="BK98" i="36"/>
  <c r="AY88" i="36"/>
  <c r="AN87" i="36"/>
  <c r="AZ87" i="36"/>
  <c r="BL87" i="36"/>
  <c r="AL88" i="36"/>
  <c r="AX88" i="36"/>
  <c r="BJ88" i="36"/>
  <c r="AP89" i="36"/>
  <c r="BB89" i="36"/>
  <c r="BN89" i="36"/>
  <c r="AN90" i="36"/>
  <c r="AZ90" i="36"/>
  <c r="BL90" i="36"/>
  <c r="AL91" i="36"/>
  <c r="AX91" i="36"/>
  <c r="BJ91" i="36"/>
  <c r="AJ92" i="36"/>
  <c r="AV92" i="36"/>
  <c r="BH92" i="36"/>
  <c r="AH95" i="36"/>
  <c r="AT95" i="36"/>
  <c r="BF95" i="36"/>
  <c r="AF96" i="36"/>
  <c r="AR96" i="36"/>
  <c r="BD96" i="36"/>
  <c r="BP96" i="36"/>
  <c r="AP97" i="36"/>
  <c r="BB97" i="36"/>
  <c r="BN97" i="36"/>
  <c r="AN98" i="36"/>
  <c r="AZ98" i="36"/>
  <c r="BL98" i="36"/>
  <c r="AD88" i="36"/>
  <c r="AO87" i="36"/>
  <c r="BA87" i="36"/>
  <c r="BM87" i="36"/>
  <c r="AM88" i="36"/>
  <c r="BO89" i="36"/>
  <c r="AY91" i="36"/>
  <c r="AK92" i="36"/>
  <c r="AW92" i="36"/>
  <c r="BI92" i="36"/>
  <c r="AU95" i="36"/>
  <c r="BG95" i="36"/>
  <c r="BE96" i="36"/>
  <c r="AD87" i="36"/>
  <c r="AP87" i="36"/>
  <c r="BB87" i="36"/>
  <c r="BN87" i="36"/>
  <c r="AN88" i="36"/>
  <c r="AZ88" i="36"/>
  <c r="BL88" i="36"/>
  <c r="AR89" i="36"/>
  <c r="BD89" i="36"/>
  <c r="BP89" i="36"/>
  <c r="AP90" i="36"/>
  <c r="BB90" i="36"/>
  <c r="BN90" i="36"/>
  <c r="AN91" i="36"/>
  <c r="AZ91" i="36"/>
  <c r="BL91" i="36"/>
  <c r="AL92" i="36"/>
  <c r="AX92" i="36"/>
  <c r="BJ92" i="36"/>
  <c r="AJ95" i="36"/>
  <c r="AV95" i="36"/>
  <c r="BH95" i="36"/>
  <c r="AH96" i="36"/>
  <c r="AT96" i="36"/>
  <c r="BF96" i="36"/>
  <c r="AF97" i="36"/>
  <c r="AR97" i="36"/>
  <c r="BD97" i="36"/>
  <c r="BP97" i="36"/>
  <c r="AP98" i="36"/>
  <c r="BB98" i="36"/>
  <c r="BN98" i="36"/>
  <c r="BM89" i="36"/>
  <c r="AY98" i="36"/>
  <c r="BM90" i="36"/>
  <c r="AO98" i="36"/>
  <c r="H97" i="36"/>
  <c r="Z97" i="36"/>
  <c r="V97" i="36"/>
  <c r="R97" i="36"/>
  <c r="N97" i="36"/>
  <c r="J97" i="36"/>
  <c r="AC97" i="36"/>
  <c r="Y97" i="36"/>
  <c r="U97" i="36"/>
  <c r="Q97" i="36"/>
  <c r="M97" i="36"/>
  <c r="I97" i="36"/>
  <c r="AB97" i="36"/>
  <c r="X97" i="36"/>
  <c r="T97" i="36"/>
  <c r="P97" i="36"/>
  <c r="L97" i="36"/>
  <c r="AA97" i="36"/>
  <c r="W97" i="36"/>
  <c r="S97" i="36"/>
  <c r="O97" i="36"/>
  <c r="K97" i="36"/>
  <c r="T5" i="47"/>
  <c r="S4" i="50" s="1"/>
  <c r="S4" i="57" s="1"/>
  <c r="AJ232" i="51"/>
  <c r="AI232" i="51"/>
  <c r="AH232" i="51"/>
  <c r="AG232" i="51"/>
  <c r="AF232" i="51"/>
  <c r="AE232" i="51"/>
  <c r="AD232" i="51"/>
  <c r="AC232" i="51"/>
  <c r="AB232" i="51"/>
  <c r="AA232" i="51"/>
  <c r="Z232" i="51"/>
  <c r="Y232" i="51"/>
  <c r="X232" i="51"/>
  <c r="W232" i="51"/>
  <c r="V232" i="51"/>
  <c r="U232" i="51"/>
  <c r="T232" i="51"/>
  <c r="S232" i="51"/>
  <c r="R232" i="51"/>
  <c r="Q232" i="51"/>
  <c r="P232" i="51"/>
  <c r="O232" i="51"/>
  <c r="N232" i="51"/>
  <c r="M232" i="51"/>
  <c r="L232" i="51"/>
  <c r="K232" i="51"/>
  <c r="J232" i="51"/>
  <c r="I232" i="51"/>
  <c r="H232" i="51"/>
  <c r="G232" i="51"/>
  <c r="F232" i="51"/>
  <c r="E232" i="51"/>
  <c r="D232" i="51"/>
  <c r="C232" i="51"/>
  <c r="AJ220" i="51"/>
  <c r="AI220" i="51"/>
  <c r="AH220" i="51"/>
  <c r="AG220" i="51"/>
  <c r="AF220" i="51"/>
  <c r="AE220" i="51"/>
  <c r="AD220" i="51"/>
  <c r="AC220" i="51"/>
  <c r="AB220" i="51"/>
  <c r="AA220" i="51"/>
  <c r="Z220" i="51"/>
  <c r="Y220" i="51"/>
  <c r="X220" i="51"/>
  <c r="W220" i="51"/>
  <c r="V220" i="51"/>
  <c r="U220" i="51"/>
  <c r="T220" i="51"/>
  <c r="S220" i="51"/>
  <c r="R220" i="51"/>
  <c r="Q220" i="51"/>
  <c r="P220" i="51"/>
  <c r="O220" i="51"/>
  <c r="N220" i="51"/>
  <c r="M220" i="51"/>
  <c r="L220" i="51"/>
  <c r="K220" i="51"/>
  <c r="J220" i="51"/>
  <c r="I220" i="51"/>
  <c r="H220" i="51"/>
  <c r="G220" i="51"/>
  <c r="F220" i="51"/>
  <c r="E220" i="51"/>
  <c r="D220" i="51"/>
  <c r="C220" i="51"/>
  <c r="AJ208" i="51"/>
  <c r="AI208" i="51"/>
  <c r="AH208" i="51"/>
  <c r="AG208" i="51"/>
  <c r="AF208" i="51"/>
  <c r="AE208" i="51"/>
  <c r="AD208" i="51"/>
  <c r="AC208" i="51"/>
  <c r="AB208" i="51"/>
  <c r="AA208" i="51"/>
  <c r="Z208" i="51"/>
  <c r="Y208" i="51"/>
  <c r="X208" i="51"/>
  <c r="W208" i="51"/>
  <c r="V208" i="51"/>
  <c r="U208" i="51"/>
  <c r="T208" i="51"/>
  <c r="S208" i="51"/>
  <c r="R208" i="51"/>
  <c r="Q208" i="51"/>
  <c r="P208" i="51"/>
  <c r="O208" i="51"/>
  <c r="N208" i="51"/>
  <c r="M208" i="51"/>
  <c r="L208" i="51"/>
  <c r="K208" i="51"/>
  <c r="J208" i="51"/>
  <c r="I208" i="51"/>
  <c r="H208" i="51"/>
  <c r="G208" i="51"/>
  <c r="F208" i="51"/>
  <c r="E208" i="51"/>
  <c r="D208" i="51"/>
  <c r="C208" i="51"/>
  <c r="AJ196" i="51"/>
  <c r="AI196" i="51"/>
  <c r="AH196" i="51"/>
  <c r="AG196" i="51"/>
  <c r="AF196" i="51"/>
  <c r="AE196" i="51"/>
  <c r="AD196" i="51"/>
  <c r="AC196" i="51"/>
  <c r="AB196" i="51"/>
  <c r="AA196" i="51"/>
  <c r="Z196" i="51"/>
  <c r="Y196" i="51"/>
  <c r="X196" i="51"/>
  <c r="W196" i="51"/>
  <c r="V196" i="51"/>
  <c r="U196" i="51"/>
  <c r="T196" i="51"/>
  <c r="S196" i="51"/>
  <c r="R196" i="51"/>
  <c r="Q196" i="51"/>
  <c r="P196" i="51"/>
  <c r="O196" i="51"/>
  <c r="N196" i="51"/>
  <c r="M196" i="51"/>
  <c r="L196" i="51"/>
  <c r="K196" i="51"/>
  <c r="J196" i="51"/>
  <c r="I196" i="51"/>
  <c r="H196" i="51"/>
  <c r="G196" i="51"/>
  <c r="F196" i="51"/>
  <c r="E196" i="51"/>
  <c r="D196" i="51"/>
  <c r="C196" i="51"/>
  <c r="AJ183" i="51"/>
  <c r="AI183" i="51"/>
  <c r="AH183" i="51"/>
  <c r="AG183" i="51"/>
  <c r="AF183" i="51"/>
  <c r="AE183" i="51"/>
  <c r="AD183" i="51"/>
  <c r="AC183" i="51"/>
  <c r="AB183" i="51"/>
  <c r="AA183" i="51"/>
  <c r="Z183" i="51"/>
  <c r="Y183" i="51"/>
  <c r="X183" i="51"/>
  <c r="W183" i="51"/>
  <c r="V183" i="51"/>
  <c r="U183" i="51"/>
  <c r="T183" i="51"/>
  <c r="S183" i="51"/>
  <c r="R183" i="51"/>
  <c r="Q183" i="51"/>
  <c r="P183" i="51"/>
  <c r="O183" i="51"/>
  <c r="N183" i="51"/>
  <c r="M183" i="51"/>
  <c r="L183" i="51"/>
  <c r="K183" i="51"/>
  <c r="J183" i="51"/>
  <c r="I183" i="51"/>
  <c r="H183" i="51"/>
  <c r="G183" i="51"/>
  <c r="F183" i="51"/>
  <c r="E183" i="51"/>
  <c r="D183" i="51"/>
  <c r="C183" i="51"/>
  <c r="AJ171" i="51"/>
  <c r="AI171" i="51"/>
  <c r="AH171" i="51"/>
  <c r="AG171" i="51"/>
  <c r="AF171" i="51"/>
  <c r="AE171" i="51"/>
  <c r="AD171" i="51"/>
  <c r="AC171" i="51"/>
  <c r="AB171" i="51"/>
  <c r="AA171" i="51"/>
  <c r="Z171" i="51"/>
  <c r="Y171" i="51"/>
  <c r="X171" i="51"/>
  <c r="W171" i="51"/>
  <c r="V171" i="51"/>
  <c r="U171" i="51"/>
  <c r="T171" i="51"/>
  <c r="S171" i="51"/>
  <c r="R171" i="51"/>
  <c r="Q171" i="51"/>
  <c r="P171" i="51"/>
  <c r="O171" i="51"/>
  <c r="N171" i="51"/>
  <c r="M171" i="51"/>
  <c r="L171" i="51"/>
  <c r="K171" i="51"/>
  <c r="J171" i="51"/>
  <c r="I171" i="51"/>
  <c r="H171" i="51"/>
  <c r="G171" i="51"/>
  <c r="F171" i="51"/>
  <c r="E171" i="51"/>
  <c r="D171" i="51"/>
  <c r="C171" i="51"/>
  <c r="AJ158" i="51"/>
  <c r="AI158" i="51"/>
  <c r="AH158" i="51"/>
  <c r="AG158" i="51"/>
  <c r="AF158" i="51"/>
  <c r="AE158" i="51"/>
  <c r="AD158" i="51"/>
  <c r="AC158" i="51"/>
  <c r="AB158" i="51"/>
  <c r="AA158" i="51"/>
  <c r="Z158" i="51"/>
  <c r="Y158" i="51"/>
  <c r="X158" i="51"/>
  <c r="W158" i="51"/>
  <c r="V158" i="51"/>
  <c r="U158" i="51"/>
  <c r="T158" i="51"/>
  <c r="S158" i="51"/>
  <c r="R158" i="51"/>
  <c r="Q158" i="51"/>
  <c r="P158" i="51"/>
  <c r="O158" i="51"/>
  <c r="N158" i="51"/>
  <c r="M158" i="51"/>
  <c r="L158" i="51"/>
  <c r="K158" i="51"/>
  <c r="J158" i="51"/>
  <c r="I158" i="51"/>
  <c r="H158" i="51"/>
  <c r="G158" i="51"/>
  <c r="F158" i="51"/>
  <c r="E158" i="51"/>
  <c r="D158" i="51"/>
  <c r="C158" i="51"/>
  <c r="AJ146" i="51"/>
  <c r="AI146" i="51"/>
  <c r="AH146" i="51"/>
  <c r="AG146" i="51"/>
  <c r="AF146" i="51"/>
  <c r="AE146" i="51"/>
  <c r="AD146" i="51"/>
  <c r="AC146" i="51"/>
  <c r="AB146" i="51"/>
  <c r="AA146" i="51"/>
  <c r="Z146" i="51"/>
  <c r="Y146" i="51"/>
  <c r="X146" i="51"/>
  <c r="W146" i="51"/>
  <c r="V146" i="51"/>
  <c r="U146" i="51"/>
  <c r="T146" i="51"/>
  <c r="S146" i="51"/>
  <c r="R146" i="51"/>
  <c r="Q146" i="51"/>
  <c r="P146" i="51"/>
  <c r="O146" i="51"/>
  <c r="N146" i="51"/>
  <c r="M146" i="51"/>
  <c r="L146" i="51"/>
  <c r="K146" i="51"/>
  <c r="J146" i="51"/>
  <c r="I146" i="51"/>
  <c r="H146" i="51"/>
  <c r="G146" i="51"/>
  <c r="F146" i="51"/>
  <c r="E146" i="51"/>
  <c r="D146" i="51"/>
  <c r="C146" i="51"/>
  <c r="AJ133" i="51"/>
  <c r="AI133" i="51"/>
  <c r="AH133" i="51"/>
  <c r="AG133" i="51"/>
  <c r="AF133" i="51"/>
  <c r="AE133" i="51"/>
  <c r="AD133" i="51"/>
  <c r="AC133" i="51"/>
  <c r="AB133" i="51"/>
  <c r="AA133" i="51"/>
  <c r="Z133" i="51"/>
  <c r="Y133" i="51"/>
  <c r="X133" i="51"/>
  <c r="W133" i="51"/>
  <c r="V133" i="51"/>
  <c r="U133" i="51"/>
  <c r="T133" i="51"/>
  <c r="S133" i="51"/>
  <c r="R133" i="51"/>
  <c r="Q133" i="51"/>
  <c r="P133" i="51"/>
  <c r="O133" i="51"/>
  <c r="N133" i="51"/>
  <c r="M133" i="51"/>
  <c r="L133" i="51"/>
  <c r="K133" i="51"/>
  <c r="J133" i="51"/>
  <c r="I133" i="51"/>
  <c r="H133" i="51"/>
  <c r="G133" i="51"/>
  <c r="F133" i="51"/>
  <c r="E133" i="51"/>
  <c r="D133" i="51"/>
  <c r="C133" i="51"/>
  <c r="AJ121" i="51"/>
  <c r="AI121" i="51"/>
  <c r="AH121" i="51"/>
  <c r="AG121" i="51"/>
  <c r="AF121" i="51"/>
  <c r="AE121" i="51"/>
  <c r="AD121" i="51"/>
  <c r="AC121" i="51"/>
  <c r="AB121" i="51"/>
  <c r="AA121" i="51"/>
  <c r="Z121" i="51"/>
  <c r="Y121" i="51"/>
  <c r="X121" i="51"/>
  <c r="W121" i="51"/>
  <c r="V121" i="51"/>
  <c r="U121" i="51"/>
  <c r="T121" i="51"/>
  <c r="S121" i="51"/>
  <c r="R121" i="51"/>
  <c r="Q121" i="51"/>
  <c r="P121" i="51"/>
  <c r="O121" i="51"/>
  <c r="N121" i="51"/>
  <c r="M121" i="51"/>
  <c r="L121" i="51"/>
  <c r="K121" i="51"/>
  <c r="J121" i="51"/>
  <c r="I121" i="51"/>
  <c r="H121" i="51"/>
  <c r="G121" i="51"/>
  <c r="F121" i="51"/>
  <c r="E121" i="51"/>
  <c r="D121" i="51"/>
  <c r="C121" i="51"/>
  <c r="AJ108" i="51"/>
  <c r="AI108" i="51"/>
  <c r="AH108" i="51"/>
  <c r="AG108" i="51"/>
  <c r="AF108" i="51"/>
  <c r="AE108" i="51"/>
  <c r="AD108" i="51"/>
  <c r="AC108" i="51"/>
  <c r="AB108" i="51"/>
  <c r="AA108" i="51"/>
  <c r="Z108" i="51"/>
  <c r="Y108" i="51"/>
  <c r="X108" i="51"/>
  <c r="W108" i="51"/>
  <c r="V108" i="51"/>
  <c r="U108" i="51"/>
  <c r="T108" i="51"/>
  <c r="S108" i="51"/>
  <c r="R108" i="51"/>
  <c r="Q108" i="51"/>
  <c r="P108" i="51"/>
  <c r="O108" i="51"/>
  <c r="N108" i="51"/>
  <c r="M108" i="51"/>
  <c r="L108" i="51"/>
  <c r="K108" i="51"/>
  <c r="J108" i="51"/>
  <c r="I108" i="51"/>
  <c r="H108" i="51"/>
  <c r="G108" i="51"/>
  <c r="F108" i="51"/>
  <c r="E108" i="51"/>
  <c r="D108" i="51"/>
  <c r="C108" i="51"/>
  <c r="AJ84" i="51"/>
  <c r="AI84" i="51"/>
  <c r="AH84" i="51"/>
  <c r="AG84" i="51"/>
  <c r="AF84" i="51"/>
  <c r="AE84" i="51"/>
  <c r="AD84" i="51"/>
  <c r="AC84" i="51"/>
  <c r="AB84" i="51"/>
  <c r="AA84" i="51"/>
  <c r="Z84" i="51"/>
  <c r="Y84" i="51"/>
  <c r="X84" i="51"/>
  <c r="W84" i="51"/>
  <c r="V84" i="51"/>
  <c r="U84" i="51"/>
  <c r="T84" i="51"/>
  <c r="S84" i="51"/>
  <c r="R84" i="51"/>
  <c r="Q84" i="51"/>
  <c r="P84" i="51"/>
  <c r="O84" i="51"/>
  <c r="N84" i="51"/>
  <c r="M84" i="51"/>
  <c r="L84" i="51"/>
  <c r="K84" i="51"/>
  <c r="J84" i="51"/>
  <c r="I84" i="51"/>
  <c r="H84" i="51"/>
  <c r="G84" i="51"/>
  <c r="F84" i="51"/>
  <c r="E84" i="51"/>
  <c r="D84" i="51"/>
  <c r="C84" i="51"/>
  <c r="AJ72" i="51"/>
  <c r="AI72" i="51"/>
  <c r="AH72"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J60" i="51"/>
  <c r="AI60" i="51"/>
  <c r="AH60"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J47" i="51"/>
  <c r="AI47" i="51"/>
  <c r="AH47"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J35" i="51"/>
  <c r="AI35" i="51"/>
  <c r="AH35"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D23" i="51"/>
  <c r="E23" i="51"/>
  <c r="F23" i="51"/>
  <c r="G23" i="51"/>
  <c r="H23" i="51"/>
  <c r="I23" i="51"/>
  <c r="J23" i="51"/>
  <c r="K23" i="51"/>
  <c r="L23" i="51"/>
  <c r="M23" i="51"/>
  <c r="N23" i="51"/>
  <c r="O23" i="51"/>
  <c r="P23" i="51"/>
  <c r="Q23" i="51"/>
  <c r="R23" i="51"/>
  <c r="S23" i="51"/>
  <c r="T23" i="51"/>
  <c r="U23" i="51"/>
  <c r="V23" i="51"/>
  <c r="W23" i="51"/>
  <c r="X23" i="51"/>
  <c r="Y23" i="51"/>
  <c r="Z23" i="51"/>
  <c r="AA23" i="51"/>
  <c r="AB23" i="51"/>
  <c r="AC23" i="51"/>
  <c r="AD23" i="51"/>
  <c r="AE23" i="51"/>
  <c r="AF23" i="51"/>
  <c r="AG23" i="51"/>
  <c r="AH23" i="51"/>
  <c r="AI23" i="51"/>
  <c r="AJ23" i="51"/>
  <c r="C23" i="51"/>
  <c r="AJ54" i="33"/>
  <c r="AK54" i="33"/>
  <c r="AL54" i="33"/>
  <c r="AM54" i="33"/>
  <c r="AN54" i="33"/>
  <c r="AO54" i="33"/>
  <c r="AJ55" i="33"/>
  <c r="AK55" i="33"/>
  <c r="AL55" i="33"/>
  <c r="AM55" i="33"/>
  <c r="AN55" i="33"/>
  <c r="AO55" i="33"/>
  <c r="AJ56" i="33"/>
  <c r="AK56" i="33"/>
  <c r="AL56" i="33"/>
  <c r="AM56" i="33"/>
  <c r="AN56" i="33"/>
  <c r="AO56" i="33"/>
  <c r="AJ57" i="33"/>
  <c r="AK57" i="33"/>
  <c r="AL57" i="33"/>
  <c r="AM57" i="33"/>
  <c r="AN57" i="33"/>
  <c r="AO57" i="33"/>
  <c r="AJ58" i="33"/>
  <c r="AK58" i="33"/>
  <c r="AL58" i="33"/>
  <c r="AM58" i="33"/>
  <c r="AN58" i="33"/>
  <c r="AO58" i="33"/>
  <c r="AJ59" i="33"/>
  <c r="AK59" i="33"/>
  <c r="AL59" i="33"/>
  <c r="AM59" i="33"/>
  <c r="AN59" i="33"/>
  <c r="AO59" i="33"/>
  <c r="AJ60" i="33"/>
  <c r="AK60" i="33"/>
  <c r="AL60" i="33"/>
  <c r="AM60" i="33"/>
  <c r="AN60" i="33"/>
  <c r="AO60" i="33"/>
  <c r="AJ61" i="33"/>
  <c r="AK61" i="33"/>
  <c r="AL61" i="33"/>
  <c r="AM61" i="33"/>
  <c r="AN61" i="33"/>
  <c r="AO61" i="33"/>
  <c r="AJ62" i="33"/>
  <c r="AK62" i="33"/>
  <c r="AL62" i="33"/>
  <c r="AM62" i="33"/>
  <c r="AN62" i="33"/>
  <c r="AO62" i="33"/>
  <c r="AJ63" i="33"/>
  <c r="AK63" i="33"/>
  <c r="AL63" i="33"/>
  <c r="AM63" i="33"/>
  <c r="AN63" i="33"/>
  <c r="AO63" i="33"/>
  <c r="AJ64" i="33"/>
  <c r="AK64" i="33"/>
  <c r="AL64" i="33"/>
  <c r="AM64" i="33"/>
  <c r="AN64" i="33"/>
  <c r="AO64" i="33"/>
  <c r="AJ65" i="33"/>
  <c r="AK65" i="33"/>
  <c r="AL65" i="33"/>
  <c r="AM65" i="33"/>
  <c r="AN65" i="33"/>
  <c r="AO65" i="33"/>
  <c r="AJ66" i="33"/>
  <c r="AK66" i="33"/>
  <c r="AL66" i="33"/>
  <c r="AM66" i="33"/>
  <c r="AN66" i="33"/>
  <c r="AO66" i="33"/>
  <c r="AJ67" i="33"/>
  <c r="AK67" i="33"/>
  <c r="AL67" i="33"/>
  <c r="AM67" i="33"/>
  <c r="AN67" i="33"/>
  <c r="AO67" i="33"/>
  <c r="AJ68" i="33"/>
  <c r="AK68" i="33"/>
  <c r="AL68" i="33"/>
  <c r="AM68" i="33"/>
  <c r="AN68" i="33"/>
  <c r="AO68" i="33"/>
  <c r="AJ69" i="33"/>
  <c r="AK69" i="33"/>
  <c r="AL69" i="33"/>
  <c r="AM69" i="33"/>
  <c r="AN69" i="33"/>
  <c r="AO69" i="33"/>
  <c r="AJ70" i="33"/>
  <c r="AK70" i="33"/>
  <c r="AL70" i="33"/>
  <c r="AM70" i="33"/>
  <c r="AN70" i="33"/>
  <c r="AO70" i="33"/>
  <c r="AJ71" i="33"/>
  <c r="AK71" i="33"/>
  <c r="AL71" i="33"/>
  <c r="AM71" i="33"/>
  <c r="AN71" i="33"/>
  <c r="AO71" i="33"/>
  <c r="I54" i="33"/>
  <c r="J54" i="33"/>
  <c r="K54" i="33"/>
  <c r="L54" i="33"/>
  <c r="M54" i="33"/>
  <c r="N54" i="33"/>
  <c r="O54" i="33"/>
  <c r="P54" i="33"/>
  <c r="Q54" i="33"/>
  <c r="R54" i="33"/>
  <c r="S54" i="33"/>
  <c r="T54" i="33"/>
  <c r="U54" i="33"/>
  <c r="V54" i="33"/>
  <c r="W54" i="33"/>
  <c r="X54" i="33"/>
  <c r="Y54" i="33"/>
  <c r="Z54" i="33"/>
  <c r="AA54" i="33"/>
  <c r="AB54" i="33"/>
  <c r="AC54" i="33"/>
  <c r="AD54" i="33"/>
  <c r="AE54" i="33"/>
  <c r="AF54" i="33"/>
  <c r="AG54" i="33"/>
  <c r="AH54" i="33"/>
  <c r="AI54" i="33"/>
  <c r="I55" i="33"/>
  <c r="J55" i="33"/>
  <c r="K55" i="33"/>
  <c r="L55" i="33"/>
  <c r="M55" i="33"/>
  <c r="N55" i="33"/>
  <c r="O55" i="33"/>
  <c r="P55" i="33"/>
  <c r="Q55" i="33"/>
  <c r="R55" i="33"/>
  <c r="S55" i="33"/>
  <c r="T55" i="33"/>
  <c r="U55" i="33"/>
  <c r="V55" i="33"/>
  <c r="W55" i="33"/>
  <c r="X55" i="33"/>
  <c r="Y55" i="33"/>
  <c r="Z55" i="33"/>
  <c r="AA55" i="33"/>
  <c r="AB55" i="33"/>
  <c r="AC55" i="33"/>
  <c r="AD55" i="33"/>
  <c r="AE55" i="33"/>
  <c r="AF55" i="33"/>
  <c r="AG55" i="33"/>
  <c r="AH55" i="33"/>
  <c r="AI55" i="33"/>
  <c r="I56" i="33"/>
  <c r="J56" i="33"/>
  <c r="K56" i="33"/>
  <c r="L56" i="33"/>
  <c r="M56" i="33"/>
  <c r="N56" i="33"/>
  <c r="O56" i="33"/>
  <c r="P56" i="33"/>
  <c r="Q56" i="33"/>
  <c r="R56" i="33"/>
  <c r="S56" i="33"/>
  <c r="T56" i="33"/>
  <c r="U56" i="33"/>
  <c r="V56" i="33"/>
  <c r="W56" i="33"/>
  <c r="X56" i="33"/>
  <c r="Y56" i="33"/>
  <c r="Z56" i="33"/>
  <c r="AA56" i="33"/>
  <c r="AB56" i="33"/>
  <c r="AC56" i="33"/>
  <c r="AD56" i="33"/>
  <c r="AE56" i="33"/>
  <c r="AF56" i="33"/>
  <c r="AG56" i="33"/>
  <c r="AH56" i="33"/>
  <c r="AI56" i="33"/>
  <c r="I57" i="33"/>
  <c r="J57" i="33"/>
  <c r="K57" i="33"/>
  <c r="L57" i="33"/>
  <c r="M57" i="33"/>
  <c r="N57" i="33"/>
  <c r="O57" i="33"/>
  <c r="P57" i="33"/>
  <c r="Q57" i="33"/>
  <c r="R57" i="33"/>
  <c r="S57" i="33"/>
  <c r="T57" i="33"/>
  <c r="U57" i="33"/>
  <c r="V57" i="33"/>
  <c r="W57" i="33"/>
  <c r="X57" i="33"/>
  <c r="Y57" i="33"/>
  <c r="Z57" i="33"/>
  <c r="AA57" i="33"/>
  <c r="AB57" i="33"/>
  <c r="AC57" i="33"/>
  <c r="AD57" i="33"/>
  <c r="AE57" i="33"/>
  <c r="AF57" i="33"/>
  <c r="AG57" i="33"/>
  <c r="AH57" i="33"/>
  <c r="AI57" i="33"/>
  <c r="I58" i="33"/>
  <c r="J58" i="33"/>
  <c r="K58" i="33"/>
  <c r="L58" i="33"/>
  <c r="M58" i="33"/>
  <c r="N58" i="33"/>
  <c r="O58" i="33"/>
  <c r="P58" i="33"/>
  <c r="Q58" i="33"/>
  <c r="R58" i="33"/>
  <c r="S58" i="33"/>
  <c r="T58" i="33"/>
  <c r="U58" i="33"/>
  <c r="V58" i="33"/>
  <c r="W58" i="33"/>
  <c r="X58" i="33"/>
  <c r="Y58" i="33"/>
  <c r="Z58" i="33"/>
  <c r="AA58" i="33"/>
  <c r="AB58" i="33"/>
  <c r="AC58" i="33"/>
  <c r="AD58" i="33"/>
  <c r="AE58" i="33"/>
  <c r="AF58" i="33"/>
  <c r="AG58" i="33"/>
  <c r="AH58" i="33"/>
  <c r="AI58" i="33"/>
  <c r="I59" i="33"/>
  <c r="J59" i="33"/>
  <c r="K59" i="33"/>
  <c r="L59" i="33"/>
  <c r="M59" i="33"/>
  <c r="N59" i="33"/>
  <c r="O59" i="33"/>
  <c r="P59" i="33"/>
  <c r="Q59" i="33"/>
  <c r="R59" i="33"/>
  <c r="S59" i="33"/>
  <c r="T59" i="33"/>
  <c r="U59" i="33"/>
  <c r="V59" i="33"/>
  <c r="W59" i="33"/>
  <c r="X59" i="33"/>
  <c r="Y59" i="33"/>
  <c r="Z59" i="33"/>
  <c r="AA59" i="33"/>
  <c r="AB59" i="33"/>
  <c r="AC59" i="33"/>
  <c r="AD59" i="33"/>
  <c r="AE59" i="33"/>
  <c r="AF59" i="33"/>
  <c r="AG59" i="33"/>
  <c r="AH59" i="33"/>
  <c r="AI59" i="33"/>
  <c r="I60" i="33"/>
  <c r="J60" i="33"/>
  <c r="K60" i="33"/>
  <c r="L60" i="33"/>
  <c r="M60" i="33"/>
  <c r="N60" i="33"/>
  <c r="O60" i="33"/>
  <c r="P60" i="33"/>
  <c r="Q60" i="33"/>
  <c r="R60" i="33"/>
  <c r="S60" i="33"/>
  <c r="T60" i="33"/>
  <c r="U60" i="33"/>
  <c r="V60" i="33"/>
  <c r="W60" i="33"/>
  <c r="X60" i="33"/>
  <c r="Y60" i="33"/>
  <c r="Z60" i="33"/>
  <c r="AA60" i="33"/>
  <c r="AB60" i="33"/>
  <c r="AC60" i="33"/>
  <c r="AD60" i="33"/>
  <c r="AE60" i="33"/>
  <c r="AF60" i="33"/>
  <c r="AG60" i="33"/>
  <c r="AH60" i="33"/>
  <c r="AI60" i="33"/>
  <c r="I61" i="33"/>
  <c r="J61" i="33"/>
  <c r="K61" i="33"/>
  <c r="L61" i="33"/>
  <c r="M61" i="33"/>
  <c r="N61" i="33"/>
  <c r="O61" i="33"/>
  <c r="P61" i="33"/>
  <c r="Q61" i="33"/>
  <c r="R61" i="33"/>
  <c r="S61" i="33"/>
  <c r="T61" i="33"/>
  <c r="U61" i="33"/>
  <c r="V61" i="33"/>
  <c r="W61" i="33"/>
  <c r="X61" i="33"/>
  <c r="Y61" i="33"/>
  <c r="Z61" i="33"/>
  <c r="AA61" i="33"/>
  <c r="AB61" i="33"/>
  <c r="AC61" i="33"/>
  <c r="AD61" i="33"/>
  <c r="AE61" i="33"/>
  <c r="AF61" i="33"/>
  <c r="AG61" i="33"/>
  <c r="AH61" i="33"/>
  <c r="AI61" i="33"/>
  <c r="I62" i="33"/>
  <c r="J62" i="33"/>
  <c r="K62" i="33"/>
  <c r="L62" i="33"/>
  <c r="M62" i="33"/>
  <c r="N62" i="33"/>
  <c r="O62" i="33"/>
  <c r="P62" i="33"/>
  <c r="Q62" i="33"/>
  <c r="R62" i="33"/>
  <c r="S62" i="33"/>
  <c r="T62" i="33"/>
  <c r="U62" i="33"/>
  <c r="V62" i="33"/>
  <c r="W62" i="33"/>
  <c r="X62" i="33"/>
  <c r="Y62" i="33"/>
  <c r="Z62" i="33"/>
  <c r="AA62" i="33"/>
  <c r="AB62" i="33"/>
  <c r="AC62" i="33"/>
  <c r="AD62" i="33"/>
  <c r="AE62" i="33"/>
  <c r="AF62" i="33"/>
  <c r="AG62" i="33"/>
  <c r="AH62" i="33"/>
  <c r="AI62" i="33"/>
  <c r="I63" i="33"/>
  <c r="J63" i="33"/>
  <c r="K63" i="33"/>
  <c r="L63" i="33"/>
  <c r="M63" i="33"/>
  <c r="N63" i="33"/>
  <c r="O63" i="33"/>
  <c r="P63" i="33"/>
  <c r="Q63" i="33"/>
  <c r="R63" i="33"/>
  <c r="S63" i="33"/>
  <c r="T63" i="33"/>
  <c r="U63" i="33"/>
  <c r="V63" i="33"/>
  <c r="W63" i="33"/>
  <c r="X63" i="33"/>
  <c r="Y63" i="33"/>
  <c r="Z63" i="33"/>
  <c r="AA63" i="33"/>
  <c r="AB63" i="33"/>
  <c r="AC63" i="33"/>
  <c r="AD63" i="33"/>
  <c r="AE63" i="33"/>
  <c r="AF63" i="33"/>
  <c r="AG63" i="33"/>
  <c r="AH63" i="33"/>
  <c r="AI63" i="33"/>
  <c r="I64" i="33"/>
  <c r="J64" i="33"/>
  <c r="K64" i="33"/>
  <c r="L64" i="33"/>
  <c r="M64" i="33"/>
  <c r="N64" i="33"/>
  <c r="O64" i="33"/>
  <c r="P64" i="33"/>
  <c r="Q64" i="33"/>
  <c r="R64" i="33"/>
  <c r="S64" i="33"/>
  <c r="T64" i="33"/>
  <c r="U64" i="33"/>
  <c r="V64" i="33"/>
  <c r="W64" i="33"/>
  <c r="X64" i="33"/>
  <c r="Y64" i="33"/>
  <c r="Z64" i="33"/>
  <c r="AA64" i="33"/>
  <c r="AB64" i="33"/>
  <c r="AC64" i="33"/>
  <c r="AD64" i="33"/>
  <c r="AE64" i="33"/>
  <c r="AF64" i="33"/>
  <c r="AG64" i="33"/>
  <c r="AH64" i="33"/>
  <c r="AI64" i="33"/>
  <c r="I65" i="33"/>
  <c r="J65" i="33"/>
  <c r="K65" i="33"/>
  <c r="L65" i="33"/>
  <c r="M65" i="33"/>
  <c r="N65" i="33"/>
  <c r="O65" i="33"/>
  <c r="P65" i="33"/>
  <c r="Q65" i="33"/>
  <c r="R65" i="33"/>
  <c r="S65" i="33"/>
  <c r="T65" i="33"/>
  <c r="U65" i="33"/>
  <c r="V65" i="33"/>
  <c r="W65" i="33"/>
  <c r="X65" i="33"/>
  <c r="Y65" i="33"/>
  <c r="Z65" i="33"/>
  <c r="AA65" i="33"/>
  <c r="AB65" i="33"/>
  <c r="AC65" i="33"/>
  <c r="AD65" i="33"/>
  <c r="AE65" i="33"/>
  <c r="AF65" i="33"/>
  <c r="AG65" i="33"/>
  <c r="AH65" i="33"/>
  <c r="AI65" i="33"/>
  <c r="I66" i="33"/>
  <c r="J66" i="33"/>
  <c r="K66" i="33"/>
  <c r="L66" i="33"/>
  <c r="M66" i="33"/>
  <c r="N66" i="33"/>
  <c r="O66" i="33"/>
  <c r="P66" i="33"/>
  <c r="Q66" i="33"/>
  <c r="R66" i="33"/>
  <c r="S66" i="33"/>
  <c r="T66" i="33"/>
  <c r="U66" i="33"/>
  <c r="V66" i="33"/>
  <c r="W66" i="33"/>
  <c r="X66" i="33"/>
  <c r="Y66" i="33"/>
  <c r="Z66" i="33"/>
  <c r="AA66" i="33"/>
  <c r="AB66" i="33"/>
  <c r="AC66" i="33"/>
  <c r="AD66" i="33"/>
  <c r="AE66" i="33"/>
  <c r="AF66" i="33"/>
  <c r="AG66" i="33"/>
  <c r="AH66" i="33"/>
  <c r="AI66" i="33"/>
  <c r="I67" i="33"/>
  <c r="J67" i="33"/>
  <c r="K67" i="33"/>
  <c r="L67" i="33"/>
  <c r="M67" i="33"/>
  <c r="N67" i="33"/>
  <c r="O67" i="33"/>
  <c r="P67" i="33"/>
  <c r="Q67" i="33"/>
  <c r="R67" i="33"/>
  <c r="S67" i="33"/>
  <c r="T67" i="33"/>
  <c r="U67" i="33"/>
  <c r="V67" i="33"/>
  <c r="W67" i="33"/>
  <c r="X67" i="33"/>
  <c r="Y67" i="33"/>
  <c r="Z67" i="33"/>
  <c r="AA67" i="33"/>
  <c r="AB67" i="33"/>
  <c r="AC67" i="33"/>
  <c r="AD67" i="33"/>
  <c r="AE67" i="33"/>
  <c r="AF67" i="33"/>
  <c r="AG67" i="33"/>
  <c r="AH67" i="33"/>
  <c r="AI67" i="33"/>
  <c r="I68" i="33"/>
  <c r="J68" i="33"/>
  <c r="K68" i="33"/>
  <c r="L68" i="33"/>
  <c r="M68" i="33"/>
  <c r="N68" i="33"/>
  <c r="O68" i="33"/>
  <c r="P68" i="33"/>
  <c r="Q68" i="33"/>
  <c r="R68" i="33"/>
  <c r="S68" i="33"/>
  <c r="T68" i="33"/>
  <c r="U68" i="33"/>
  <c r="V68" i="33"/>
  <c r="W68" i="33"/>
  <c r="X68" i="33"/>
  <c r="Y68" i="33"/>
  <c r="Z68" i="33"/>
  <c r="AA68" i="33"/>
  <c r="AB68" i="33"/>
  <c r="AC68" i="33"/>
  <c r="AD68" i="33"/>
  <c r="AE68" i="33"/>
  <c r="AF68" i="33"/>
  <c r="AG68" i="33"/>
  <c r="AH68" i="33"/>
  <c r="AI68" i="33"/>
  <c r="I69" i="33"/>
  <c r="J69" i="33"/>
  <c r="K69" i="33"/>
  <c r="L69" i="33"/>
  <c r="M69" i="33"/>
  <c r="N69" i="33"/>
  <c r="O69" i="33"/>
  <c r="P69" i="33"/>
  <c r="Q69" i="33"/>
  <c r="R69" i="33"/>
  <c r="S69" i="33"/>
  <c r="T69" i="33"/>
  <c r="U69" i="33"/>
  <c r="V69" i="33"/>
  <c r="W69" i="33"/>
  <c r="X69" i="33"/>
  <c r="Y69" i="33"/>
  <c r="Z69" i="33"/>
  <c r="AA69" i="33"/>
  <c r="AB69" i="33"/>
  <c r="AC69" i="33"/>
  <c r="AD69" i="33"/>
  <c r="AE69" i="33"/>
  <c r="AF69" i="33"/>
  <c r="AG69" i="33"/>
  <c r="AH69" i="33"/>
  <c r="AI69" i="33"/>
  <c r="I70" i="33"/>
  <c r="J70" i="33"/>
  <c r="K70" i="33"/>
  <c r="L70" i="33"/>
  <c r="M70" i="33"/>
  <c r="N70" i="33"/>
  <c r="O70" i="33"/>
  <c r="P70" i="33"/>
  <c r="Q70" i="33"/>
  <c r="R70" i="33"/>
  <c r="S70" i="33"/>
  <c r="T70" i="33"/>
  <c r="U70" i="33"/>
  <c r="V70" i="33"/>
  <c r="W70" i="33"/>
  <c r="X70" i="33"/>
  <c r="Y70" i="33"/>
  <c r="Z70" i="33"/>
  <c r="AA70" i="33"/>
  <c r="AB70" i="33"/>
  <c r="AC70" i="33"/>
  <c r="AD70" i="33"/>
  <c r="AE70" i="33"/>
  <c r="AF70" i="33"/>
  <c r="AG70" i="33"/>
  <c r="AH70" i="33"/>
  <c r="AI70" i="33"/>
  <c r="I71" i="33"/>
  <c r="J71" i="33"/>
  <c r="K71" i="33"/>
  <c r="L71" i="33"/>
  <c r="M71" i="33"/>
  <c r="N71" i="33"/>
  <c r="O71" i="33"/>
  <c r="P71" i="33"/>
  <c r="Q71" i="33"/>
  <c r="R71" i="33"/>
  <c r="S71" i="33"/>
  <c r="T71" i="33"/>
  <c r="U71" i="33"/>
  <c r="V71" i="33"/>
  <c r="W71" i="33"/>
  <c r="X71" i="33"/>
  <c r="Y71" i="33"/>
  <c r="Z71" i="33"/>
  <c r="AA71" i="33"/>
  <c r="AB71" i="33"/>
  <c r="AC71" i="33"/>
  <c r="AD71" i="33"/>
  <c r="AE71" i="33"/>
  <c r="AF71" i="33"/>
  <c r="AG71" i="33"/>
  <c r="AH71" i="33"/>
  <c r="AI71" i="33"/>
  <c r="H71" i="33"/>
  <c r="H70" i="33"/>
  <c r="H69" i="33"/>
  <c r="H68" i="33"/>
  <c r="H67" i="33"/>
  <c r="H66" i="33"/>
  <c r="H65" i="33"/>
  <c r="H64" i="33"/>
  <c r="H63" i="33"/>
  <c r="H62" i="33"/>
  <c r="S5" i="47" l="1"/>
  <c r="R4" i="50" s="1"/>
  <c r="R4" i="57" s="1"/>
  <c r="H61" i="33"/>
  <c r="H60" i="33"/>
  <c r="H59" i="33"/>
  <c r="H58" i="33"/>
  <c r="H57" i="33"/>
  <c r="H56" i="33"/>
  <c r="H55" i="33"/>
  <c r="H54" i="33"/>
  <c r="AJ9" i="57" l="1"/>
  <c r="AK12" i="57"/>
  <c r="AJ12" i="57"/>
  <c r="AK9" i="57"/>
  <c r="R5" i="47"/>
  <c r="Q4" i="50" s="1"/>
  <c r="Q4" i="57" s="1"/>
  <c r="D48" i="50"/>
  <c r="E48" i="50"/>
  <c r="F48" i="50"/>
  <c r="G48" i="50"/>
  <c r="H48" i="50"/>
  <c r="I48" i="50"/>
  <c r="J48" i="50"/>
  <c r="K48" i="50"/>
  <c r="L48" i="50"/>
  <c r="C48" i="50"/>
  <c r="AJ42" i="36"/>
  <c r="AE29" i="50" l="1"/>
  <c r="AK42" i="36"/>
  <c r="AJ83" i="36"/>
  <c r="Y47" i="50"/>
  <c r="BI47" i="50"/>
  <c r="AE47" i="50"/>
  <c r="AM47" i="50"/>
  <c r="Z47" i="50"/>
  <c r="AI47" i="50"/>
  <c r="AA47" i="50"/>
  <c r="BC47" i="50"/>
  <c r="AD47" i="50"/>
  <c r="AQ47" i="50"/>
  <c r="AB47" i="50"/>
  <c r="BK47" i="50"/>
  <c r="AH47" i="50"/>
  <c r="AF47" i="50"/>
  <c r="AC47" i="50"/>
  <c r="AL47" i="50"/>
  <c r="AY47" i="50"/>
  <c r="AJ47" i="50"/>
  <c r="AP47" i="50"/>
  <c r="AT47" i="50"/>
  <c r="AO47" i="50"/>
  <c r="AU47" i="50"/>
  <c r="AG47" i="50"/>
  <c r="BG47" i="50"/>
  <c r="AR47" i="50"/>
  <c r="AW47" i="50"/>
  <c r="AX47" i="50"/>
  <c r="AV47" i="50"/>
  <c r="AS47" i="50"/>
  <c r="AN47" i="50"/>
  <c r="AK47" i="50"/>
  <c r="AZ47" i="50"/>
  <c r="BF47" i="50"/>
  <c r="BB47" i="50"/>
  <c r="BD47" i="50"/>
  <c r="BA47" i="50"/>
  <c r="BJ47" i="50"/>
  <c r="BH47" i="50"/>
  <c r="BE47" i="50"/>
  <c r="AG29" i="50"/>
  <c r="AR29" i="50"/>
  <c r="BJ29" i="50"/>
  <c r="BH29" i="50"/>
  <c r="BG29" i="50"/>
  <c r="BK29" i="50"/>
  <c r="AT29" i="50"/>
  <c r="BD29" i="50"/>
  <c r="AC29" i="50"/>
  <c r="AD29" i="50"/>
  <c r="AB29" i="50"/>
  <c r="AX29" i="50"/>
  <c r="BA29" i="50"/>
  <c r="Y29" i="50"/>
  <c r="AA29" i="50"/>
  <c r="AH29" i="50"/>
  <c r="AK29" i="50"/>
  <c r="AI29" i="50"/>
  <c r="AF29" i="50"/>
  <c r="AM29" i="50"/>
  <c r="BE29" i="50"/>
  <c r="AQ29" i="50"/>
  <c r="BB29" i="50"/>
  <c r="AO29" i="50"/>
  <c r="AN29" i="50"/>
  <c r="BC29" i="50"/>
  <c r="AU29" i="50"/>
  <c r="AL29" i="50"/>
  <c r="AZ29" i="50"/>
  <c r="BF29" i="50"/>
  <c r="BI29" i="50"/>
  <c r="AP29" i="50"/>
  <c r="AS29" i="50"/>
  <c r="AW29" i="50"/>
  <c r="Z29" i="50"/>
  <c r="AY29" i="50"/>
  <c r="AJ29" i="50"/>
  <c r="AV29" i="50"/>
  <c r="Q5" i="47"/>
  <c r="P4" i="50" s="1"/>
  <c r="P4" i="57" s="1"/>
  <c r="D41" i="50"/>
  <c r="E41" i="50"/>
  <c r="F41" i="50"/>
  <c r="G41" i="50"/>
  <c r="H41" i="50"/>
  <c r="I41" i="50"/>
  <c r="J41" i="50"/>
  <c r="K41" i="50"/>
  <c r="L41" i="50"/>
  <c r="C41" i="50"/>
  <c r="D36" i="50"/>
  <c r="E36" i="50"/>
  <c r="F36" i="50"/>
  <c r="G36" i="50"/>
  <c r="H36" i="50"/>
  <c r="I36" i="50"/>
  <c r="J36" i="50"/>
  <c r="K36" i="50"/>
  <c r="L36" i="50"/>
  <c r="C36" i="50"/>
  <c r="D31" i="50"/>
  <c r="E31" i="50"/>
  <c r="F31" i="50"/>
  <c r="G31" i="50"/>
  <c r="H31" i="50"/>
  <c r="I31" i="50"/>
  <c r="J31" i="50"/>
  <c r="K31" i="50"/>
  <c r="L31" i="50"/>
  <c r="C31" i="50"/>
  <c r="D22" i="50"/>
  <c r="D18" i="50" s="1"/>
  <c r="D52" i="50" s="1"/>
  <c r="D56" i="50" s="1"/>
  <c r="E22" i="50"/>
  <c r="E18" i="50" s="1"/>
  <c r="E52" i="50" s="1"/>
  <c r="E56" i="50" s="1"/>
  <c r="F22" i="50"/>
  <c r="F18" i="50" s="1"/>
  <c r="F52" i="50" s="1"/>
  <c r="F56" i="50" s="1"/>
  <c r="G22" i="50"/>
  <c r="G18" i="50" s="1"/>
  <c r="G52" i="50" s="1"/>
  <c r="G56" i="50" s="1"/>
  <c r="H22" i="50"/>
  <c r="H18" i="50" s="1"/>
  <c r="H52" i="50" s="1"/>
  <c r="H56" i="50" s="1"/>
  <c r="I22" i="50"/>
  <c r="I18" i="50" s="1"/>
  <c r="I52" i="50" s="1"/>
  <c r="I56" i="50" s="1"/>
  <c r="J22" i="50"/>
  <c r="J18" i="50" s="1"/>
  <c r="J52" i="50" s="1"/>
  <c r="J56" i="50" s="1"/>
  <c r="K22" i="50"/>
  <c r="K18" i="50" s="1"/>
  <c r="K52" i="50" s="1"/>
  <c r="K56" i="50" s="1"/>
  <c r="L22" i="50"/>
  <c r="L18" i="50" s="1"/>
  <c r="L52" i="50" s="1"/>
  <c r="L56" i="50" s="1"/>
  <c r="M52" i="50"/>
  <c r="M56" i="50" s="1"/>
  <c r="N52" i="50"/>
  <c r="N56" i="50" s="1"/>
  <c r="O52" i="50"/>
  <c r="O56" i="50" s="1"/>
  <c r="P52" i="50"/>
  <c r="P56" i="50" s="1"/>
  <c r="Q52" i="50"/>
  <c r="Q56" i="50" s="1"/>
  <c r="R52" i="50"/>
  <c r="R56" i="50" s="1"/>
  <c r="S52" i="50"/>
  <c r="S56" i="50" s="1"/>
  <c r="T52" i="50"/>
  <c r="T56" i="50" s="1"/>
  <c r="C22" i="50"/>
  <c r="C18" i="50" s="1"/>
  <c r="C52" i="50" s="1"/>
  <c r="C56" i="50" s="1"/>
  <c r="D14" i="50"/>
  <c r="E14" i="50"/>
  <c r="F14" i="50"/>
  <c r="G14" i="50"/>
  <c r="H14" i="50"/>
  <c r="I14" i="50"/>
  <c r="J14" i="50"/>
  <c r="K14" i="50"/>
  <c r="L14" i="50"/>
  <c r="C14" i="50"/>
  <c r="D6" i="50"/>
  <c r="E6" i="50"/>
  <c r="F6" i="50"/>
  <c r="G6" i="50"/>
  <c r="H6" i="50"/>
  <c r="I6" i="50"/>
  <c r="J6" i="50"/>
  <c r="K6" i="50"/>
  <c r="L6" i="50"/>
  <c r="C6" i="50"/>
  <c r="AL42" i="36" l="1"/>
  <c r="AK83" i="36"/>
  <c r="T58" i="50"/>
  <c r="T59" i="50" s="1"/>
  <c r="P58" i="50"/>
  <c r="P59" i="50" s="1"/>
  <c r="L58" i="50"/>
  <c r="L59" i="50" s="1"/>
  <c r="H58" i="50"/>
  <c r="H59" i="50" s="1"/>
  <c r="D58" i="50"/>
  <c r="D59" i="50" s="1"/>
  <c r="S58" i="50"/>
  <c r="S59" i="50" s="1"/>
  <c r="O58" i="50"/>
  <c r="O59" i="50" s="1"/>
  <c r="K58" i="50"/>
  <c r="K59" i="50" s="1"/>
  <c r="G58" i="50"/>
  <c r="G59" i="50" s="1"/>
  <c r="R58" i="50"/>
  <c r="R59" i="50" s="1"/>
  <c r="N58" i="50"/>
  <c r="N59" i="50" s="1"/>
  <c r="J58" i="50"/>
  <c r="J59" i="50" s="1"/>
  <c r="F58" i="50"/>
  <c r="F59" i="50" s="1"/>
  <c r="C58" i="50"/>
  <c r="C59" i="50" s="1"/>
  <c r="Q58" i="50"/>
  <c r="Q59" i="50" s="1"/>
  <c r="M58" i="50"/>
  <c r="M59" i="50" s="1"/>
  <c r="I58" i="50"/>
  <c r="I59" i="50" s="1"/>
  <c r="E58" i="50"/>
  <c r="E59" i="50" s="1"/>
  <c r="J19" i="50"/>
  <c r="J20" i="50" s="1"/>
  <c r="J21" i="50" s="1"/>
  <c r="F19" i="50"/>
  <c r="F20" i="50" s="1"/>
  <c r="F21" i="50" s="1"/>
  <c r="K19" i="50"/>
  <c r="K20" i="50" s="1"/>
  <c r="K21" i="50" s="1"/>
  <c r="C19" i="50"/>
  <c r="C20" i="50" s="1"/>
  <c r="C21" i="50" s="1"/>
  <c r="I19" i="50"/>
  <c r="I20" i="50" s="1"/>
  <c r="I21" i="50" s="1"/>
  <c r="E19" i="50"/>
  <c r="E20" i="50" s="1"/>
  <c r="E21" i="50" s="1"/>
  <c r="G19" i="50"/>
  <c r="G20" i="50" s="1"/>
  <c r="G21" i="50" s="1"/>
  <c r="L19" i="50"/>
  <c r="L20" i="50" s="1"/>
  <c r="L21" i="50" s="1"/>
  <c r="H19" i="50"/>
  <c r="H20" i="50" s="1"/>
  <c r="H21" i="50" s="1"/>
  <c r="D19" i="50"/>
  <c r="D20" i="50" s="1"/>
  <c r="D21" i="50" s="1"/>
  <c r="P5" i="47"/>
  <c r="O4" i="50" s="1"/>
  <c r="O4" i="57" s="1"/>
  <c r="C23" i="50"/>
  <c r="C24" i="50" s="1"/>
  <c r="K23" i="50"/>
  <c r="K24" i="50" s="1"/>
  <c r="G23" i="50"/>
  <c r="G24" i="50" s="1"/>
  <c r="L23" i="50"/>
  <c r="L24" i="50" s="1"/>
  <c r="D23" i="50"/>
  <c r="D24" i="50" s="1"/>
  <c r="J23" i="50"/>
  <c r="J24" i="50" s="1"/>
  <c r="F23" i="50"/>
  <c r="F24" i="50" s="1"/>
  <c r="H23" i="50"/>
  <c r="H24" i="50" s="1"/>
  <c r="I23" i="50"/>
  <c r="I24" i="50" s="1"/>
  <c r="E23" i="50"/>
  <c r="E24" i="50" s="1"/>
  <c r="AM42" i="36" l="1"/>
  <c r="AL83" i="36"/>
  <c r="O5" i="47"/>
  <c r="N4" i="50" s="1"/>
  <c r="N4" i="57" s="1"/>
  <c r="AN42" i="36" l="1"/>
  <c r="AM83" i="36"/>
  <c r="N5" i="47"/>
  <c r="M4" i="50" s="1"/>
  <c r="M4" i="57" s="1"/>
  <c r="G76" i="45"/>
  <c r="H76" i="45"/>
  <c r="I76" i="45"/>
  <c r="J76" i="45"/>
  <c r="K76" i="45"/>
  <c r="L76" i="45"/>
  <c r="M76" i="45"/>
  <c r="N76" i="45"/>
  <c r="O76" i="45"/>
  <c r="P76" i="45"/>
  <c r="Q76" i="45"/>
  <c r="R76" i="45"/>
  <c r="S76" i="45"/>
  <c r="T76" i="45"/>
  <c r="U76" i="45"/>
  <c r="V76" i="45"/>
  <c r="W76" i="45"/>
  <c r="X76" i="45"/>
  <c r="Y76" i="45"/>
  <c r="Z76" i="45"/>
  <c r="AA76" i="45"/>
  <c r="AB76" i="45"/>
  <c r="AC76" i="45"/>
  <c r="AD76" i="45"/>
  <c r="AE76" i="45"/>
  <c r="AF76" i="45"/>
  <c r="AG76" i="45"/>
  <c r="F76" i="45"/>
  <c r="D123" i="34"/>
  <c r="E123" i="34" s="1"/>
  <c r="B144" i="34"/>
  <c r="B145" i="34" s="1"/>
  <c r="B146" i="34" s="1"/>
  <c r="B147" i="34" s="1"/>
  <c r="B148" i="34" s="1"/>
  <c r="B149" i="34" s="1"/>
  <c r="B150" i="34" s="1"/>
  <c r="B151" i="34" s="1"/>
  <c r="B152" i="34" s="1"/>
  <c r="B153" i="34" s="1"/>
  <c r="B154" i="34" s="1"/>
  <c r="B155" i="34" s="1"/>
  <c r="H135" i="46"/>
  <c r="C132" i="46"/>
  <c r="C133" i="46" s="1"/>
  <c r="C134" i="46" s="1"/>
  <c r="C135" i="46" s="1"/>
  <c r="B132" i="46"/>
  <c r="B133" i="46" s="1"/>
  <c r="B134" i="46" s="1"/>
  <c r="B135" i="46" s="1"/>
  <c r="A132" i="46"/>
  <c r="A133" i="46" s="1"/>
  <c r="A134" i="46" s="1"/>
  <c r="A135" i="46" s="1"/>
  <c r="B87" i="36"/>
  <c r="B95" i="36" s="1"/>
  <c r="B97" i="36" s="1"/>
  <c r="A87" i="36"/>
  <c r="A93" i="36" s="1"/>
  <c r="B5" i="46"/>
  <c r="B8" i="46"/>
  <c r="X123" i="34" l="1"/>
  <c r="M123" i="34"/>
  <c r="Y123" i="34"/>
  <c r="Q124" i="34"/>
  <c r="I125" i="34"/>
  <c r="U125" i="34"/>
  <c r="M126" i="34"/>
  <c r="Y126" i="34"/>
  <c r="Q127" i="34"/>
  <c r="I128" i="34"/>
  <c r="U128" i="34"/>
  <c r="M132" i="34"/>
  <c r="Y132" i="34"/>
  <c r="Q134" i="34"/>
  <c r="AC124" i="34"/>
  <c r="AB124" i="34"/>
  <c r="R123" i="34"/>
  <c r="J127" i="34"/>
  <c r="V134" i="34"/>
  <c r="W127" i="34"/>
  <c r="N123" i="34"/>
  <c r="Z123" i="34"/>
  <c r="R124" i="34"/>
  <c r="J125" i="34"/>
  <c r="V125" i="34"/>
  <c r="N126" i="34"/>
  <c r="Z126" i="34"/>
  <c r="R127" i="34"/>
  <c r="J128" i="34"/>
  <c r="V128" i="34"/>
  <c r="N132" i="34"/>
  <c r="Z132" i="34"/>
  <c r="R134" i="34"/>
  <c r="AC125" i="34"/>
  <c r="AB123" i="34"/>
  <c r="V124" i="34"/>
  <c r="R126" i="34"/>
  <c r="J134" i="34"/>
  <c r="K124" i="34"/>
  <c r="AB125" i="34"/>
  <c r="O123" i="34"/>
  <c r="AA123" i="34"/>
  <c r="S124" i="34"/>
  <c r="K125" i="34"/>
  <c r="W125" i="34"/>
  <c r="O126" i="34"/>
  <c r="AA126" i="34"/>
  <c r="S127" i="34"/>
  <c r="K128" i="34"/>
  <c r="W128" i="34"/>
  <c r="O132" i="34"/>
  <c r="AA132" i="34"/>
  <c r="S134" i="34"/>
  <c r="AC126" i="34"/>
  <c r="AC132" i="34"/>
  <c r="J124" i="34"/>
  <c r="V127" i="34"/>
  <c r="R132" i="34"/>
  <c r="S123" i="34"/>
  <c r="AA125" i="34"/>
  <c r="S126" i="34"/>
  <c r="AA128" i="34"/>
  <c r="S132" i="34"/>
  <c r="AC123" i="34"/>
  <c r="P123" i="34"/>
  <c r="H124" i="34"/>
  <c r="T124" i="34"/>
  <c r="L125" i="34"/>
  <c r="X125" i="34"/>
  <c r="P126" i="34"/>
  <c r="H127" i="34"/>
  <c r="T127" i="34"/>
  <c r="L128" i="34"/>
  <c r="X128" i="34"/>
  <c r="P132" i="34"/>
  <c r="H134" i="34"/>
  <c r="T134" i="34"/>
  <c r="AC127" i="34"/>
  <c r="AC134" i="34"/>
  <c r="N125" i="34"/>
  <c r="Z128" i="34"/>
  <c r="AB132" i="34"/>
  <c r="O125" i="34"/>
  <c r="O128" i="34"/>
  <c r="K134" i="34"/>
  <c r="Q123" i="34"/>
  <c r="I124" i="34"/>
  <c r="U124" i="34"/>
  <c r="M125" i="34"/>
  <c r="Y125" i="34"/>
  <c r="Q126" i="34"/>
  <c r="I127" i="34"/>
  <c r="U127" i="34"/>
  <c r="M128" i="34"/>
  <c r="Y128" i="34"/>
  <c r="Q132" i="34"/>
  <c r="I134" i="34"/>
  <c r="U134" i="34"/>
  <c r="AC128" i="34"/>
  <c r="AB134" i="34"/>
  <c r="Z125" i="34"/>
  <c r="N128" i="34"/>
  <c r="W124" i="34"/>
  <c r="K127" i="34"/>
  <c r="W134" i="34"/>
  <c r="H123" i="34"/>
  <c r="T123" i="34"/>
  <c r="L124" i="34"/>
  <c r="X124" i="34"/>
  <c r="P125" i="34"/>
  <c r="H126" i="34"/>
  <c r="T126" i="34"/>
  <c r="L127" i="34"/>
  <c r="X127" i="34"/>
  <c r="P128" i="34"/>
  <c r="H132" i="34"/>
  <c r="T132" i="34"/>
  <c r="L134" i="34"/>
  <c r="X134" i="34"/>
  <c r="O124" i="34"/>
  <c r="W126" i="34"/>
  <c r="S128" i="34"/>
  <c r="AA134" i="34"/>
  <c r="L126" i="34"/>
  <c r="H128" i="34"/>
  <c r="L132" i="34"/>
  <c r="I123" i="34"/>
  <c r="U123" i="34"/>
  <c r="M124" i="34"/>
  <c r="Y124" i="34"/>
  <c r="Q125" i="34"/>
  <c r="I126" i="34"/>
  <c r="U126" i="34"/>
  <c r="M127" i="34"/>
  <c r="Y127" i="34"/>
  <c r="Q128" i="34"/>
  <c r="I132" i="34"/>
  <c r="U132" i="34"/>
  <c r="M134" i="34"/>
  <c r="Y134" i="34"/>
  <c r="AB128" i="34"/>
  <c r="AB127" i="34"/>
  <c r="K123" i="34"/>
  <c r="W123" i="34"/>
  <c r="S125" i="34"/>
  <c r="K126" i="34"/>
  <c r="O127" i="34"/>
  <c r="AA127" i="34"/>
  <c r="K132" i="34"/>
  <c r="O134" i="34"/>
  <c r="L123" i="34"/>
  <c r="P124" i="34"/>
  <c r="H125" i="34"/>
  <c r="T125" i="34"/>
  <c r="X126" i="34"/>
  <c r="T128" i="34"/>
  <c r="X132" i="34"/>
  <c r="J123" i="34"/>
  <c r="V123" i="34"/>
  <c r="N124" i="34"/>
  <c r="Z124" i="34"/>
  <c r="R125" i="34"/>
  <c r="J126" i="34"/>
  <c r="V126" i="34"/>
  <c r="N127" i="34"/>
  <c r="Z127" i="34"/>
  <c r="R128" i="34"/>
  <c r="J132" i="34"/>
  <c r="V132" i="34"/>
  <c r="N134" i="34"/>
  <c r="Z134" i="34"/>
  <c r="AA124" i="34"/>
  <c r="W132" i="34"/>
  <c r="AB126" i="34"/>
  <c r="P127" i="34"/>
  <c r="P134" i="34"/>
  <c r="AL132" i="34"/>
  <c r="BG127" i="34"/>
  <c r="BO123" i="34"/>
  <c r="BE133" i="34"/>
  <c r="BM132" i="34"/>
  <c r="AY126" i="34"/>
  <c r="AY134" i="34"/>
  <c r="AJ133" i="34"/>
  <c r="AL128" i="34"/>
  <c r="BF124" i="34"/>
  <c r="AE132" i="34"/>
  <c r="AH125" i="34"/>
  <c r="AE125" i="34"/>
  <c r="AD134" i="34"/>
  <c r="AU124" i="34"/>
  <c r="AR127" i="34"/>
  <c r="BG128" i="34"/>
  <c r="AV128" i="34"/>
  <c r="AW124" i="34"/>
  <c r="BK133" i="34"/>
  <c r="BO132" i="34"/>
  <c r="BC126" i="34"/>
  <c r="AS134" i="34"/>
  <c r="AY127" i="34"/>
  <c r="AQ126" i="34"/>
  <c r="AU134" i="34"/>
  <c r="AN132" i="34"/>
  <c r="BK127" i="34"/>
  <c r="AP124" i="34"/>
  <c r="AI132" i="34"/>
  <c r="AD124" i="34"/>
  <c r="AG126" i="34"/>
  <c r="AJ123" i="34"/>
  <c r="BN125" i="34"/>
  <c r="AV127" i="34"/>
  <c r="BK128" i="34"/>
  <c r="AN124" i="34"/>
  <c r="BC125" i="34"/>
  <c r="AZ128" i="34"/>
  <c r="AL123" i="34"/>
  <c r="BA124" i="34"/>
  <c r="BG133" i="34"/>
  <c r="AU126" i="34"/>
  <c r="AO134" i="34"/>
  <c r="BL134" i="34"/>
  <c r="AW133" i="34"/>
  <c r="BE132" i="34"/>
  <c r="BM128" i="34"/>
  <c r="BP125" i="34"/>
  <c r="AQ134" i="34"/>
  <c r="AJ132" i="34"/>
  <c r="BC127" i="34"/>
  <c r="AH124" i="34"/>
  <c r="AI127" i="34"/>
  <c r="AN123" i="34"/>
  <c r="BC124" i="34"/>
  <c r="AK126" i="34"/>
  <c r="AR124" i="34"/>
  <c r="BG125" i="34"/>
  <c r="BD128" i="34"/>
  <c r="BE124" i="34"/>
  <c r="AY123" i="34"/>
  <c r="BC133" i="34"/>
  <c r="AM126" i="34"/>
  <c r="BP126" i="34"/>
  <c r="BA132" i="34"/>
  <c r="BH125" i="34"/>
  <c r="AM134" i="34"/>
  <c r="AU127" i="34"/>
  <c r="AE124" i="34"/>
  <c r="AE134" i="34"/>
  <c r="AD126" i="34"/>
  <c r="AH127" i="34"/>
  <c r="AR123" i="34"/>
  <c r="BD127" i="34"/>
  <c r="AV124" i="34"/>
  <c r="BK125" i="34"/>
  <c r="BH128" i="34"/>
  <c r="AT123" i="34"/>
  <c r="BI124" i="34"/>
  <c r="BN134" i="34"/>
  <c r="AY133" i="34"/>
  <c r="BI128" i="34"/>
  <c r="BL125" i="34"/>
  <c r="BH126" i="34"/>
  <c r="BD134" i="34"/>
  <c r="AO133" i="34"/>
  <c r="AW128" i="34"/>
  <c r="AS125" i="34"/>
  <c r="BP133" i="34"/>
  <c r="AM127" i="34"/>
  <c r="AI124" i="34"/>
  <c r="AI134" i="34"/>
  <c r="AF127" i="34"/>
  <c r="AF128" i="34"/>
  <c r="AE133" i="34"/>
  <c r="AV123" i="34"/>
  <c r="BK124" i="34"/>
  <c r="AS126" i="34"/>
  <c r="AK123" i="34"/>
  <c r="AZ124" i="34"/>
  <c r="BO125" i="34"/>
  <c r="AW127" i="34"/>
  <c r="BL128" i="34"/>
  <c r="BM124" i="34"/>
  <c r="BJ134" i="34"/>
  <c r="AU133" i="34"/>
  <c r="AY132" i="34"/>
  <c r="BA128" i="34"/>
  <c r="BA125" i="34"/>
  <c r="BJ133" i="34"/>
  <c r="AZ134" i="34"/>
  <c r="AK133" i="34"/>
  <c r="AS132" i="34"/>
  <c r="AO128" i="34"/>
  <c r="BJ124" i="34"/>
  <c r="BL133" i="34"/>
  <c r="AG125" i="34"/>
  <c r="AG134" i="34"/>
  <c r="AZ123" i="34"/>
  <c r="BO124" i="34"/>
  <c r="AW126" i="34"/>
  <c r="AO123" i="34"/>
  <c r="AL126" i="34"/>
  <c r="AJ125" i="34"/>
  <c r="AQ133" i="34"/>
  <c r="AU132" i="34"/>
  <c r="AS128" i="34"/>
  <c r="AK125" i="34"/>
  <c r="BF133" i="34"/>
  <c r="BJ132" i="34"/>
  <c r="AR126" i="34"/>
  <c r="AV134" i="34"/>
  <c r="AO132" i="34"/>
  <c r="BN127" i="34"/>
  <c r="AT124" i="34"/>
  <c r="BH133" i="34"/>
  <c r="BP132" i="34"/>
  <c r="BD126" i="34"/>
  <c r="AE126" i="34"/>
  <c r="AG124" i="34"/>
  <c r="AF123" i="34"/>
  <c r="BD123" i="34"/>
  <c r="BA126" i="34"/>
  <c r="BP127" i="34"/>
  <c r="BH124" i="34"/>
  <c r="AP126" i="34"/>
  <c r="BF123" i="34"/>
  <c r="AN125" i="34"/>
  <c r="AM133" i="34"/>
  <c r="AK128" i="34"/>
  <c r="BB124" i="34"/>
  <c r="BB133" i="34"/>
  <c r="BF132" i="34"/>
  <c r="AJ126" i="34"/>
  <c r="AR134" i="34"/>
  <c r="AK132" i="34"/>
  <c r="BF127" i="34"/>
  <c r="BL132" i="34"/>
  <c r="AV126" i="34"/>
  <c r="AI126" i="34"/>
  <c r="AI125" i="34"/>
  <c r="AF125" i="34"/>
  <c r="BH123" i="34"/>
  <c r="AP125" i="34"/>
  <c r="AM128" i="34"/>
  <c r="AW123" i="34"/>
  <c r="BL124" i="34"/>
  <c r="AT126" i="34"/>
  <c r="BI127" i="34"/>
  <c r="AR125" i="34"/>
  <c r="AX134" i="34"/>
  <c r="AM132" i="34"/>
  <c r="BJ127" i="34"/>
  <c r="AL124" i="34"/>
  <c r="BM134" i="34"/>
  <c r="AX133" i="34"/>
  <c r="BB132" i="34"/>
  <c r="BF128" i="34"/>
  <c r="BI125" i="34"/>
  <c r="AN134" i="34"/>
  <c r="AX127" i="34"/>
  <c r="BO134" i="34"/>
  <c r="AZ133" i="34"/>
  <c r="BH132" i="34"/>
  <c r="AN126" i="34"/>
  <c r="AG127" i="34"/>
  <c r="AE127" i="34"/>
  <c r="AH134" i="34"/>
  <c r="AD133" i="34"/>
  <c r="AH126" i="34"/>
  <c r="BL123" i="34"/>
  <c r="AT125" i="34"/>
  <c r="BI126" i="34"/>
  <c r="AQ128" i="34"/>
  <c r="BA123" i="34"/>
  <c r="AY48" i="45" s="1"/>
  <c r="BP124" i="34"/>
  <c r="AX126" i="34"/>
  <c r="BM127" i="34"/>
  <c r="BN123" i="34"/>
  <c r="AV125" i="34"/>
  <c r="AT134" i="34"/>
  <c r="BB127" i="34"/>
  <c r="BC123" i="34"/>
  <c r="BI134" i="34"/>
  <c r="AT133" i="34"/>
  <c r="AX132" i="34"/>
  <c r="AX128" i="34"/>
  <c r="AW125" i="34"/>
  <c r="AJ134" i="34"/>
  <c r="AP127" i="34"/>
  <c r="BK134" i="34"/>
  <c r="AV133" i="34"/>
  <c r="BD132" i="34"/>
  <c r="BJ128" i="34"/>
  <c r="BM125" i="34"/>
  <c r="AE128" i="34"/>
  <c r="AG128" i="34"/>
  <c r="AH123" i="34"/>
  <c r="AH133" i="34"/>
  <c r="AH128" i="34"/>
  <c r="BP123" i="34"/>
  <c r="AX125" i="34"/>
  <c r="BM126" i="34"/>
  <c r="AU128" i="34"/>
  <c r="BE123" i="34"/>
  <c r="AM125" i="34"/>
  <c r="BB126" i="34"/>
  <c r="AJ128" i="34"/>
  <c r="AK124" i="34"/>
  <c r="AZ125" i="34"/>
  <c r="AP134" i="34"/>
  <c r="AT127" i="34"/>
  <c r="BE134" i="34"/>
  <c r="AP133" i="34"/>
  <c r="AT132" i="34"/>
  <c r="AP128" i="34"/>
  <c r="BN124" i="34"/>
  <c r="BM133" i="34"/>
  <c r="BO126" i="34"/>
  <c r="BG134" i="34"/>
  <c r="AR133" i="34"/>
  <c r="AZ132" i="34"/>
  <c r="BB128" i="34"/>
  <c r="BE125" i="34"/>
  <c r="AI128" i="34"/>
  <c r="AF124" i="34"/>
  <c r="AF134" i="34"/>
  <c r="AD132" i="34"/>
  <c r="AM124" i="34"/>
  <c r="BB125" i="34"/>
  <c r="AJ127" i="34"/>
  <c r="AY128" i="34"/>
  <c r="BI123" i="34"/>
  <c r="AQ125" i="34"/>
  <c r="BF126" i="34"/>
  <c r="AN128" i="34"/>
  <c r="AO124" i="34"/>
  <c r="BD125" i="34"/>
  <c r="AL134" i="34"/>
  <c r="AL127" i="34"/>
  <c r="BA134" i="34"/>
  <c r="AL133" i="34"/>
  <c r="AP132" i="34"/>
  <c r="BO127" i="34"/>
  <c r="AX124" i="34"/>
  <c r="BI133" i="34"/>
  <c r="BG126" i="34"/>
  <c r="BC134" i="34"/>
  <c r="AN133" i="34"/>
  <c r="AV132" i="34"/>
  <c r="AG132" i="34"/>
  <c r="AD125" i="34"/>
  <c r="AH132" i="34"/>
  <c r="AQ124" i="34"/>
  <c r="BC128" i="34"/>
  <c r="AU125" i="34"/>
  <c r="BJ126" i="34"/>
  <c r="AR128" i="34"/>
  <c r="AS124" i="34"/>
  <c r="AM123" i="34"/>
  <c r="BO133" i="34"/>
  <c r="BO128" i="34"/>
  <c r="BJ125" i="34"/>
  <c r="BA133" i="34"/>
  <c r="AQ123" i="34"/>
  <c r="BP128" i="34"/>
  <c r="AE123" i="34"/>
  <c r="BF125" i="34"/>
  <c r="U133" i="34"/>
  <c r="V133" i="34"/>
  <c r="AS123" i="34"/>
  <c r="BN128" i="34"/>
  <c r="BD133" i="34"/>
  <c r="AO126" i="34"/>
  <c r="AS133" i="34"/>
  <c r="AF133" i="34"/>
  <c r="AL125" i="34"/>
  <c r="AZ127" i="34"/>
  <c r="AA133" i="34"/>
  <c r="Z133" i="34"/>
  <c r="M133" i="34"/>
  <c r="BB123" i="34"/>
  <c r="BL127" i="34"/>
  <c r="BE127" i="34"/>
  <c r="BA127" i="34"/>
  <c r="AN127" i="34"/>
  <c r="AK127" i="34"/>
  <c r="AR132" i="34"/>
  <c r="BN133" i="34"/>
  <c r="Y133" i="34"/>
  <c r="T133" i="34"/>
  <c r="BL126" i="34"/>
  <c r="BG123" i="34"/>
  <c r="BM123" i="34"/>
  <c r="AP123" i="34"/>
  <c r="AN48" i="45" s="1"/>
  <c r="AI123" i="34"/>
  <c r="AG133" i="34"/>
  <c r="H133" i="34"/>
  <c r="AY124" i="34"/>
  <c r="AF132" i="34"/>
  <c r="BD124" i="34"/>
  <c r="BB134" i="34"/>
  <c r="AC133" i="34"/>
  <c r="BP134" i="34"/>
  <c r="AZ126" i="34"/>
  <c r="AU123" i="34"/>
  <c r="AO125" i="34"/>
  <c r="AT128" i="34"/>
  <c r="BK126" i="34"/>
  <c r="BJ123" i="34"/>
  <c r="BC132" i="34"/>
  <c r="AD127" i="34"/>
  <c r="BK123" i="34"/>
  <c r="K133" i="34"/>
  <c r="L133" i="34"/>
  <c r="AS127" i="34"/>
  <c r="BN132" i="34"/>
  <c r="Q133" i="34"/>
  <c r="AJ124" i="34"/>
  <c r="AI133" i="34"/>
  <c r="BH127" i="34"/>
  <c r="AW132" i="34"/>
  <c r="AO127" i="34"/>
  <c r="I133" i="34"/>
  <c r="P133" i="34"/>
  <c r="X133" i="34"/>
  <c r="AD128" i="34"/>
  <c r="AQ127" i="34"/>
  <c r="AQ132" i="34"/>
  <c r="AX123" i="34"/>
  <c r="BE126" i="34"/>
  <c r="BN126" i="34"/>
  <c r="O133" i="34"/>
  <c r="J133" i="34"/>
  <c r="AW134" i="34"/>
  <c r="AY125" i="34"/>
  <c r="BK132" i="34"/>
  <c r="BF134" i="34"/>
  <c r="BE128" i="34"/>
  <c r="AK134" i="34"/>
  <c r="S133" i="34"/>
  <c r="N133" i="34"/>
  <c r="AB133" i="34"/>
  <c r="Z48" i="45" s="1"/>
  <c r="BG124" i="34"/>
  <c r="AF126" i="34"/>
  <c r="BI132" i="34"/>
  <c r="BH134" i="34"/>
  <c r="BG132" i="34"/>
  <c r="AG123" i="34"/>
  <c r="W133" i="34"/>
  <c r="R133" i="34"/>
  <c r="H131" i="34"/>
  <c r="T131" i="34"/>
  <c r="M129" i="34"/>
  <c r="Y129" i="34"/>
  <c r="Q130" i="34"/>
  <c r="I131" i="34"/>
  <c r="U131" i="34"/>
  <c r="AJ129" i="34"/>
  <c r="AV129" i="34"/>
  <c r="BH129" i="34"/>
  <c r="AF130" i="34"/>
  <c r="AR130" i="34"/>
  <c r="BD130" i="34"/>
  <c r="BP130" i="34"/>
  <c r="V130" i="34"/>
  <c r="AK130" i="34"/>
  <c r="AA131" i="34"/>
  <c r="BN129" i="34"/>
  <c r="AI129" i="34"/>
  <c r="N129" i="34"/>
  <c r="Z129" i="34"/>
  <c r="R130" i="34"/>
  <c r="J131" i="34"/>
  <c r="V131" i="34"/>
  <c r="AK129" i="34"/>
  <c r="AW129" i="34"/>
  <c r="BI129" i="34"/>
  <c r="AG130" i="34"/>
  <c r="AS130" i="34"/>
  <c r="BE130" i="34"/>
  <c r="AC131" i="34"/>
  <c r="J130" i="34"/>
  <c r="BM129" i="34"/>
  <c r="S129" i="34"/>
  <c r="AD129" i="34"/>
  <c r="BJ130" i="34"/>
  <c r="AU129" i="34"/>
  <c r="O129" i="34"/>
  <c r="AA129" i="34"/>
  <c r="S130" i="34"/>
  <c r="K131" i="34"/>
  <c r="W131" i="34"/>
  <c r="AL129" i="34"/>
  <c r="AX129" i="34"/>
  <c r="BJ129" i="34"/>
  <c r="AH130" i="34"/>
  <c r="AT130" i="34"/>
  <c r="BF130" i="34"/>
  <c r="R129" i="34"/>
  <c r="BA129" i="34"/>
  <c r="AW130" i="34"/>
  <c r="O131" i="34"/>
  <c r="AP129" i="34"/>
  <c r="AX130" i="34"/>
  <c r="BO130" i="34"/>
  <c r="P129" i="34"/>
  <c r="H130" i="34"/>
  <c r="T130" i="34"/>
  <c r="L131" i="34"/>
  <c r="X131" i="34"/>
  <c r="AM129" i="34"/>
  <c r="AY129" i="34"/>
  <c r="BK129" i="34"/>
  <c r="AI130" i="34"/>
  <c r="AU130" i="34"/>
  <c r="BG130" i="34"/>
  <c r="Z131" i="34"/>
  <c r="AC129" i="34"/>
  <c r="K130" i="34"/>
  <c r="BB129" i="34"/>
  <c r="AB131" i="34"/>
  <c r="AE130" i="34"/>
  <c r="Q129" i="34"/>
  <c r="I130" i="34"/>
  <c r="U130" i="34"/>
  <c r="M131" i="34"/>
  <c r="Y131" i="34"/>
  <c r="AN129" i="34"/>
  <c r="AZ129" i="34"/>
  <c r="BL129" i="34"/>
  <c r="AJ130" i="34"/>
  <c r="AV130" i="34"/>
  <c r="BH130" i="34"/>
  <c r="N131" i="34"/>
  <c r="AO129" i="34"/>
  <c r="BI130" i="34"/>
  <c r="W130" i="34"/>
  <c r="AL130" i="34"/>
  <c r="H129" i="34"/>
  <c r="T129" i="34"/>
  <c r="L130" i="34"/>
  <c r="X130" i="34"/>
  <c r="P131" i="34"/>
  <c r="AE129" i="34"/>
  <c r="AQ129" i="34"/>
  <c r="BC129" i="34"/>
  <c r="BO129" i="34"/>
  <c r="AM130" i="34"/>
  <c r="AY130" i="34"/>
  <c r="BK130" i="34"/>
  <c r="AB130" i="34"/>
  <c r="O130" i="34"/>
  <c r="S131" i="34"/>
  <c r="BF129" i="34"/>
  <c r="AP130" i="34"/>
  <c r="L129" i="34"/>
  <c r="BG129" i="34"/>
  <c r="I129" i="34"/>
  <c r="U129" i="34"/>
  <c r="M130" i="34"/>
  <c r="Y130" i="34"/>
  <c r="Q131" i="34"/>
  <c r="AF129" i="34"/>
  <c r="AR129" i="34"/>
  <c r="BD129" i="34"/>
  <c r="BP129" i="34"/>
  <c r="AN130" i="34"/>
  <c r="AZ130" i="34"/>
  <c r="BL130" i="34"/>
  <c r="AB129" i="34"/>
  <c r="BA130" i="34"/>
  <c r="K129" i="34"/>
  <c r="AA130" i="34"/>
  <c r="AH129" i="34"/>
  <c r="AD130" i="34"/>
  <c r="BN130" i="34"/>
  <c r="P130" i="34"/>
  <c r="AQ130" i="34"/>
  <c r="J129" i="34"/>
  <c r="V129" i="34"/>
  <c r="N130" i="34"/>
  <c r="Z130" i="34"/>
  <c r="R131" i="34"/>
  <c r="AG129" i="34"/>
  <c r="AS129" i="34"/>
  <c r="BE129" i="34"/>
  <c r="AC130" i="34"/>
  <c r="AO130" i="34"/>
  <c r="BM130" i="34"/>
  <c r="W129" i="34"/>
  <c r="AT129" i="34"/>
  <c r="BB130" i="34"/>
  <c r="X129" i="34"/>
  <c r="BC130" i="34"/>
  <c r="BK131" i="34"/>
  <c r="AV131" i="34"/>
  <c r="BO131" i="34"/>
  <c r="AJ131" i="34"/>
  <c r="BE131" i="34"/>
  <c r="BM131" i="34"/>
  <c r="AI131" i="34"/>
  <c r="AZ131" i="34"/>
  <c r="BH131" i="34"/>
  <c r="AT131" i="34"/>
  <c r="AO131" i="34"/>
  <c r="AW131" i="34"/>
  <c r="AF131" i="34"/>
  <c r="AH131" i="34"/>
  <c r="AM131" i="34"/>
  <c r="AR131" i="34"/>
  <c r="BN131" i="34"/>
  <c r="AK131" i="34"/>
  <c r="AU131" i="34"/>
  <c r="BP131" i="34"/>
  <c r="BI131" i="34"/>
  <c r="AY131" i="34"/>
  <c r="BL131" i="34"/>
  <c r="BD131" i="34"/>
  <c r="AE131" i="34"/>
  <c r="BC131" i="34"/>
  <c r="BF131" i="34"/>
  <c r="AG131" i="34"/>
  <c r="BG131" i="34"/>
  <c r="BA131" i="34"/>
  <c r="AX131" i="34"/>
  <c r="AN131" i="34"/>
  <c r="AD131" i="34"/>
  <c r="BJ131" i="34"/>
  <c r="AQ131" i="34"/>
  <c r="AS131" i="34"/>
  <c r="AP131" i="34"/>
  <c r="AL131" i="34"/>
  <c r="BB131" i="34"/>
  <c r="AK5" i="57"/>
  <c r="AJ5" i="57"/>
  <c r="AJ7" i="57"/>
  <c r="AK7" i="57"/>
  <c r="AO42" i="36"/>
  <c r="AN83" i="36"/>
  <c r="AK11" i="57"/>
  <c r="AK10" i="57"/>
  <c r="AJ10" i="57"/>
  <c r="AJ11" i="57"/>
  <c r="AK8" i="57"/>
  <c r="AJ8" i="57"/>
  <c r="AJ6" i="57"/>
  <c r="AK6" i="57"/>
  <c r="T144" i="34"/>
  <c r="J144" i="34"/>
  <c r="O144" i="34"/>
  <c r="V144" i="34"/>
  <c r="AA144" i="34"/>
  <c r="J145" i="34"/>
  <c r="N145" i="34"/>
  <c r="R145" i="34"/>
  <c r="V145" i="34"/>
  <c r="Z145" i="34"/>
  <c r="K146" i="34"/>
  <c r="O146" i="34"/>
  <c r="S146" i="34"/>
  <c r="W146" i="34"/>
  <c r="AA146" i="34"/>
  <c r="L147" i="34"/>
  <c r="P147" i="34"/>
  <c r="T147" i="34"/>
  <c r="X147" i="34"/>
  <c r="AB147" i="34"/>
  <c r="I148" i="34"/>
  <c r="M148" i="34"/>
  <c r="Q148" i="34"/>
  <c r="U148" i="34"/>
  <c r="Y148" i="34"/>
  <c r="AC148" i="34"/>
  <c r="J149" i="34"/>
  <c r="N149" i="34"/>
  <c r="R149" i="34"/>
  <c r="V149" i="34"/>
  <c r="Z149" i="34"/>
  <c r="K150" i="34"/>
  <c r="O150" i="34"/>
  <c r="S150" i="34"/>
  <c r="W150" i="34"/>
  <c r="AA150" i="34"/>
  <c r="AE150" i="34"/>
  <c r="AI150" i="34"/>
  <c r="AM150" i="34"/>
  <c r="AQ150" i="34"/>
  <c r="AU150" i="34"/>
  <c r="AY150" i="34"/>
  <c r="BC150" i="34"/>
  <c r="BG150" i="34"/>
  <c r="BK150" i="34"/>
  <c r="BO150" i="34"/>
  <c r="K151" i="34"/>
  <c r="O151" i="34"/>
  <c r="S151" i="34"/>
  <c r="W151" i="34"/>
  <c r="AA151" i="34"/>
  <c r="AE151" i="34"/>
  <c r="AI151" i="34"/>
  <c r="AM151" i="34"/>
  <c r="AQ151" i="34"/>
  <c r="AU151" i="34"/>
  <c r="AY151" i="34"/>
  <c r="BC151" i="34"/>
  <c r="BG151" i="34"/>
  <c r="BK151" i="34"/>
  <c r="BO151" i="34"/>
  <c r="AC144" i="34"/>
  <c r="Q144" i="34"/>
  <c r="K144" i="34"/>
  <c r="P144" i="34"/>
  <c r="W144" i="34"/>
  <c r="AB144" i="34"/>
  <c r="K145" i="34"/>
  <c r="O145" i="34"/>
  <c r="S145" i="34"/>
  <c r="W145" i="34"/>
  <c r="AA145" i="34"/>
  <c r="L146" i="34"/>
  <c r="P146" i="34"/>
  <c r="T146" i="34"/>
  <c r="X146" i="34"/>
  <c r="AB146" i="34"/>
  <c r="I147" i="34"/>
  <c r="M147" i="34"/>
  <c r="Q147" i="34"/>
  <c r="U147" i="34"/>
  <c r="Y147" i="34"/>
  <c r="AC147" i="34"/>
  <c r="J148" i="34"/>
  <c r="N148" i="34"/>
  <c r="R148" i="34"/>
  <c r="V148" i="34"/>
  <c r="Z148" i="34"/>
  <c r="K149" i="34"/>
  <c r="O149" i="34"/>
  <c r="S149" i="34"/>
  <c r="W149" i="34"/>
  <c r="AA149" i="34"/>
  <c r="L150" i="34"/>
  <c r="P150" i="34"/>
  <c r="T150" i="34"/>
  <c r="X150" i="34"/>
  <c r="AB150" i="34"/>
  <c r="AF150" i="34"/>
  <c r="AJ150" i="34"/>
  <c r="AN150" i="34"/>
  <c r="AR150" i="34"/>
  <c r="AV150" i="34"/>
  <c r="AZ150" i="34"/>
  <c r="BD150" i="34"/>
  <c r="BH150" i="34"/>
  <c r="BL150" i="34"/>
  <c r="BP150" i="34"/>
  <c r="L151" i="34"/>
  <c r="P151" i="34"/>
  <c r="T151" i="34"/>
  <c r="X151" i="34"/>
  <c r="AB151" i="34"/>
  <c r="AF151" i="34"/>
  <c r="AJ151" i="34"/>
  <c r="AN151" i="34"/>
  <c r="AR151" i="34"/>
  <c r="AV151" i="34"/>
  <c r="AZ151" i="34"/>
  <c r="BD151" i="34"/>
  <c r="BH151" i="34"/>
  <c r="BL151" i="34"/>
  <c r="BP151" i="34"/>
  <c r="L152" i="34"/>
  <c r="P152" i="34"/>
  <c r="T152" i="34"/>
  <c r="X152" i="34"/>
  <c r="AB152" i="34"/>
  <c r="I153" i="34"/>
  <c r="M153" i="34"/>
  <c r="Q153" i="34"/>
  <c r="U153" i="34"/>
  <c r="Y153" i="34"/>
  <c r="AC153" i="34"/>
  <c r="J155" i="34"/>
  <c r="Y144" i="34"/>
  <c r="M144" i="34"/>
  <c r="L144" i="34"/>
  <c r="R144" i="34"/>
  <c r="X144" i="34"/>
  <c r="L145" i="34"/>
  <c r="P145" i="34"/>
  <c r="T145" i="34"/>
  <c r="X145" i="34"/>
  <c r="AB145" i="34"/>
  <c r="I146" i="34"/>
  <c r="M146" i="34"/>
  <c r="Q146" i="34"/>
  <c r="U146" i="34"/>
  <c r="Y146" i="34"/>
  <c r="AC146" i="34"/>
  <c r="J147" i="34"/>
  <c r="N147" i="34"/>
  <c r="R147" i="34"/>
  <c r="V147" i="34"/>
  <c r="Z147" i="34"/>
  <c r="K148" i="34"/>
  <c r="O148" i="34"/>
  <c r="S148" i="34"/>
  <c r="W148" i="34"/>
  <c r="AA148" i="34"/>
  <c r="L149" i="34"/>
  <c r="P149" i="34"/>
  <c r="T149" i="34"/>
  <c r="X149" i="34"/>
  <c r="AB149" i="34"/>
  <c r="I150" i="34"/>
  <c r="M150" i="34"/>
  <c r="Q150" i="34"/>
  <c r="U150" i="34"/>
  <c r="Y150" i="34"/>
  <c r="AC150" i="34"/>
  <c r="AG150" i="34"/>
  <c r="AK150" i="34"/>
  <c r="AO150" i="34"/>
  <c r="AS150" i="34"/>
  <c r="AW150" i="34"/>
  <c r="BA150" i="34"/>
  <c r="BE150" i="34"/>
  <c r="BI150" i="34"/>
  <c r="BM150" i="34"/>
  <c r="I151" i="34"/>
  <c r="M151" i="34"/>
  <c r="Q151" i="34"/>
  <c r="U151" i="34"/>
  <c r="Y151" i="34"/>
  <c r="AC151" i="34"/>
  <c r="AG151" i="34"/>
  <c r="AK151" i="34"/>
  <c r="AO151" i="34"/>
  <c r="AS151" i="34"/>
  <c r="AW151" i="34"/>
  <c r="BA151" i="34"/>
  <c r="BE151" i="34"/>
  <c r="BI151" i="34"/>
  <c r="BM151" i="34"/>
  <c r="I152" i="34"/>
  <c r="M152" i="34"/>
  <c r="Q152" i="34"/>
  <c r="U152" i="34"/>
  <c r="Y152" i="34"/>
  <c r="AC152" i="34"/>
  <c r="J153" i="34"/>
  <c r="N153" i="34"/>
  <c r="R153" i="34"/>
  <c r="V153" i="34"/>
  <c r="U144" i="34"/>
  <c r="Z144" i="34"/>
  <c r="Q145" i="34"/>
  <c r="V146" i="34"/>
  <c r="K147" i="34"/>
  <c r="AA147" i="34"/>
  <c r="P148" i="34"/>
  <c r="U149" i="34"/>
  <c r="J150" i="34"/>
  <c r="Z150" i="34"/>
  <c r="AP150" i="34"/>
  <c r="BF150" i="34"/>
  <c r="N151" i="34"/>
  <c r="AD151" i="34"/>
  <c r="AT151" i="34"/>
  <c r="BJ151" i="34"/>
  <c r="N152" i="34"/>
  <c r="V152" i="34"/>
  <c r="K153" i="34"/>
  <c r="S153" i="34"/>
  <c r="Z153" i="34"/>
  <c r="I155" i="34"/>
  <c r="N155" i="34"/>
  <c r="R155" i="34"/>
  <c r="V155" i="34"/>
  <c r="Z155" i="34"/>
  <c r="H147" i="34"/>
  <c r="H151" i="34"/>
  <c r="I144" i="34"/>
  <c r="U145" i="34"/>
  <c r="J146" i="34"/>
  <c r="Z146" i="34"/>
  <c r="O147" i="34"/>
  <c r="T148" i="34"/>
  <c r="I149" i="34"/>
  <c r="Y149" i="34"/>
  <c r="N150" i="34"/>
  <c r="AD150" i="34"/>
  <c r="AT150" i="34"/>
  <c r="BJ150" i="34"/>
  <c r="R151" i="34"/>
  <c r="AH151" i="34"/>
  <c r="AX151" i="34"/>
  <c r="BN151" i="34"/>
  <c r="O152" i="34"/>
  <c r="W152" i="34"/>
  <c r="L153" i="34"/>
  <c r="T153" i="34"/>
  <c r="AA153" i="34"/>
  <c r="K155" i="34"/>
  <c r="O155" i="34"/>
  <c r="S155" i="34"/>
  <c r="W155" i="34"/>
  <c r="AA155" i="34"/>
  <c r="H148" i="34"/>
  <c r="H152" i="34"/>
  <c r="N144" i="34"/>
  <c r="I145" i="34"/>
  <c r="Y145" i="34"/>
  <c r="N146" i="34"/>
  <c r="S147" i="34"/>
  <c r="X148" i="34"/>
  <c r="M149" i="34"/>
  <c r="AC149" i="34"/>
  <c r="R150" i="34"/>
  <c r="AH150" i="34"/>
  <c r="AX150" i="34"/>
  <c r="BN150" i="34"/>
  <c r="V151" i="34"/>
  <c r="AL151" i="34"/>
  <c r="BB151" i="34"/>
  <c r="J152" i="34"/>
  <c r="R152" i="34"/>
  <c r="Z152" i="34"/>
  <c r="O153" i="34"/>
  <c r="W153" i="34"/>
  <c r="AB153" i="34"/>
  <c r="L155" i="34"/>
  <c r="P155" i="34"/>
  <c r="T155" i="34"/>
  <c r="X155" i="34"/>
  <c r="AB155" i="34"/>
  <c r="H145" i="34"/>
  <c r="H149" i="34"/>
  <c r="H153" i="34"/>
  <c r="S144" i="34"/>
  <c r="M145" i="34"/>
  <c r="AC145" i="34"/>
  <c r="R146" i="34"/>
  <c r="W147" i="34"/>
  <c r="L148" i="34"/>
  <c r="AB148" i="34"/>
  <c r="Q149" i="34"/>
  <c r="V150" i="34"/>
  <c r="AL150" i="34"/>
  <c r="BB150" i="34"/>
  <c r="J151" i="34"/>
  <c r="Z151" i="34"/>
  <c r="AP151" i="34"/>
  <c r="BF151" i="34"/>
  <c r="K152" i="34"/>
  <c r="S152" i="34"/>
  <c r="AA152" i="34"/>
  <c r="P153" i="34"/>
  <c r="X153" i="34"/>
  <c r="M155" i="34"/>
  <c r="Q155" i="34"/>
  <c r="U155" i="34"/>
  <c r="Y155" i="34"/>
  <c r="AC155" i="34"/>
  <c r="H146" i="34"/>
  <c r="H150" i="34"/>
  <c r="H155" i="34"/>
  <c r="BG144" i="34"/>
  <c r="H154" i="34"/>
  <c r="AP152" i="34"/>
  <c r="AZ146" i="34"/>
  <c r="BC147" i="34"/>
  <c r="BP152" i="34"/>
  <c r="AU154" i="34"/>
  <c r="AQ144" i="34"/>
  <c r="BN144" i="34"/>
  <c r="AU147" i="34"/>
  <c r="AQ154" i="34"/>
  <c r="AK145" i="34"/>
  <c r="BK147" i="34"/>
  <c r="AM153" i="34"/>
  <c r="AY154" i="34"/>
  <c r="AM144" i="34"/>
  <c r="AK149" i="34"/>
  <c r="BG153" i="34"/>
  <c r="AL155" i="34"/>
  <c r="AN146" i="34"/>
  <c r="AX144" i="34"/>
  <c r="AV149" i="34"/>
  <c r="AX147" i="34"/>
  <c r="AZ145" i="34"/>
  <c r="BG149" i="34"/>
  <c r="BI147" i="34"/>
  <c r="BK145" i="34"/>
  <c r="AD155" i="34"/>
  <c r="AD154" i="34"/>
  <c r="AD149" i="34"/>
  <c r="AI153" i="34"/>
  <c r="BM146" i="34"/>
  <c r="BB152" i="34"/>
  <c r="AB154" i="34"/>
  <c r="BK155" i="34"/>
  <c r="AO149" i="34"/>
  <c r="BI153" i="34"/>
  <c r="AJ155" i="34"/>
  <c r="AZ147" i="34"/>
  <c r="BO152" i="34"/>
  <c r="AT154" i="34"/>
  <c r="BJ144" i="34"/>
  <c r="BH149" i="34"/>
  <c r="BJ147" i="34"/>
  <c r="BL145" i="34"/>
  <c r="AL152" i="34"/>
  <c r="AN148" i="34"/>
  <c r="AP146" i="34"/>
  <c r="AR144" i="34"/>
  <c r="AE144" i="34"/>
  <c r="AH155" i="34"/>
  <c r="AI155" i="34"/>
  <c r="BF145" i="34"/>
  <c r="AK152" i="34"/>
  <c r="P154" i="34"/>
  <c r="AY155" i="34"/>
  <c r="AX148" i="34"/>
  <c r="AW153" i="34"/>
  <c r="BE154" i="34"/>
  <c r="BI146" i="34"/>
  <c r="AZ152" i="34"/>
  <c r="Z154" i="34"/>
  <c r="BM155" i="34"/>
  <c r="BD149" i="34"/>
  <c r="BF147" i="34"/>
  <c r="BH145" i="34"/>
  <c r="BO149" i="34"/>
  <c r="AJ148" i="34"/>
  <c r="AL146" i="34"/>
  <c r="AN144" i="34"/>
  <c r="AF155" i="34"/>
  <c r="AF154" i="34"/>
  <c r="AE155" i="34"/>
  <c r="AO146" i="34"/>
  <c r="AR152" i="34"/>
  <c r="T154" i="34"/>
  <c r="BC155" i="34"/>
  <c r="BF148" i="34"/>
  <c r="BA153" i="34"/>
  <c r="BI154" i="34"/>
  <c r="AJ147" i="34"/>
  <c r="BE152" i="34"/>
  <c r="AL154" i="34"/>
  <c r="BB144" i="34"/>
  <c r="AU153" i="34"/>
  <c r="BA145" i="34"/>
  <c r="BB148" i="34"/>
  <c r="AY153" i="34"/>
  <c r="BK154" i="34"/>
  <c r="AV146" i="34"/>
  <c r="AS149" i="34"/>
  <c r="AP155" i="34"/>
  <c r="BJ148" i="34"/>
  <c r="BC153" i="34"/>
  <c r="BO154" i="34"/>
  <c r="AR146" i="34"/>
  <c r="BB145" i="34"/>
  <c r="AJ152" i="34"/>
  <c r="O154" i="34"/>
  <c r="BB155" i="34"/>
  <c r="BE145" i="34"/>
  <c r="BK152" i="34"/>
  <c r="BM148" i="34"/>
  <c r="BO146" i="34"/>
  <c r="AJ145" i="34"/>
  <c r="AQ149" i="34"/>
  <c r="AS147" i="34"/>
  <c r="AU145" i="34"/>
  <c r="AH147" i="34"/>
  <c r="AF149" i="34"/>
  <c r="AD145" i="34"/>
  <c r="AE149" i="34"/>
  <c r="BL147" i="34"/>
  <c r="AN153" i="34"/>
  <c r="AV154" i="34"/>
  <c r="BJ145" i="34"/>
  <c r="AN152" i="34"/>
  <c r="Q154" i="34"/>
  <c r="AZ155" i="34"/>
  <c r="AY148" i="34"/>
  <c r="AX153" i="34"/>
  <c r="BJ154" i="34"/>
  <c r="AT144" i="34"/>
  <c r="AR149" i="34"/>
  <c r="AT147" i="34"/>
  <c r="AV145" i="34"/>
  <c r="BC149" i="34"/>
  <c r="BE147" i="34"/>
  <c r="BG145" i="34"/>
  <c r="AH153" i="34"/>
  <c r="AF153" i="34"/>
  <c r="AF148" i="34"/>
  <c r="AE153" i="34"/>
  <c r="AN147" i="34"/>
  <c r="BH152" i="34"/>
  <c r="AJ154" i="34"/>
  <c r="BO155" i="34"/>
  <c r="AW149" i="34"/>
  <c r="BM153" i="34"/>
  <c r="AN155" i="34"/>
  <c r="BH147" i="34"/>
  <c r="AL153" i="34"/>
  <c r="AX154" i="34"/>
  <c r="AP144" i="34"/>
  <c r="AN149" i="34"/>
  <c r="AP147" i="34"/>
  <c r="AR145" i="34"/>
  <c r="AY149" i="34"/>
  <c r="BA147" i="34"/>
  <c r="BC145" i="34"/>
  <c r="AD153" i="34"/>
  <c r="AH152" i="34"/>
  <c r="AD147" i="34"/>
  <c r="AG152" i="34"/>
  <c r="AV147" i="34"/>
  <c r="BM152" i="34"/>
  <c r="AN154" i="34"/>
  <c r="BK144" i="34"/>
  <c r="BE149" i="34"/>
  <c r="AK146" i="34"/>
  <c r="S154" i="34"/>
  <c r="BC144" i="34"/>
  <c r="BA149" i="34"/>
  <c r="BO153" i="34"/>
  <c r="AT155" i="34"/>
  <c r="BM145" i="34"/>
  <c r="BL152" i="34"/>
  <c r="AU144" i="34"/>
  <c r="AL145" i="34"/>
  <c r="BI149" i="34"/>
  <c r="K154" i="34"/>
  <c r="AX155" i="34"/>
  <c r="BI145" i="34"/>
  <c r="AM147" i="34"/>
  <c r="BF152" i="34"/>
  <c r="AM154" i="34"/>
  <c r="AY144" i="34"/>
  <c r="AO145" i="34"/>
  <c r="AU152" i="34"/>
  <c r="AW148" i="34"/>
  <c r="AY146" i="34"/>
  <c r="BA144" i="34"/>
  <c r="BH148" i="34"/>
  <c r="BJ146" i="34"/>
  <c r="BL144" i="34"/>
  <c r="AE154" i="34"/>
  <c r="AH146" i="34"/>
  <c r="AG149" i="34"/>
  <c r="AG146" i="34"/>
  <c r="BK148" i="34"/>
  <c r="BD153" i="34"/>
  <c r="BL154" i="34"/>
  <c r="AQ147" i="34"/>
  <c r="BI152" i="34"/>
  <c r="AK154" i="34"/>
  <c r="BP155" i="34"/>
  <c r="AX149" i="34"/>
  <c r="BN153" i="34"/>
  <c r="AS155" i="34"/>
  <c r="BG152" i="34"/>
  <c r="BI148" i="34"/>
  <c r="BK146" i="34"/>
  <c r="BM144" i="34"/>
  <c r="AM149" i="34"/>
  <c r="AO147" i="34"/>
  <c r="AQ145" i="34"/>
  <c r="AF146" i="34"/>
  <c r="AH148" i="34"/>
  <c r="AI154" i="34"/>
  <c r="AG148" i="34"/>
  <c r="AM148" i="34"/>
  <c r="AR153" i="34"/>
  <c r="AZ154" i="34"/>
  <c r="AS146" i="34"/>
  <c r="AS152" i="34"/>
  <c r="U154" i="34"/>
  <c r="BD155" i="34"/>
  <c r="BG148" i="34"/>
  <c r="BB153" i="34"/>
  <c r="BN154" i="34"/>
  <c r="BC152" i="34"/>
  <c r="BE148" i="34"/>
  <c r="BG146" i="34"/>
  <c r="BI144" i="34"/>
  <c r="BP148" i="34"/>
  <c r="AK147" i="34"/>
  <c r="AM145" i="34"/>
  <c r="AF144" i="34"/>
  <c r="AD148" i="34"/>
  <c r="AG153" i="34"/>
  <c r="AI147" i="34"/>
  <c r="AU148" i="34"/>
  <c r="AV153" i="34"/>
  <c r="BD154" i="34"/>
  <c r="BH146" i="34"/>
  <c r="AX152" i="34"/>
  <c r="AT148" i="34"/>
  <c r="BF155" i="34"/>
  <c r="BA146" i="34"/>
  <c r="AV152" i="34"/>
  <c r="W154" i="34"/>
  <c r="BJ155" i="34"/>
  <c r="AW145" i="34"/>
  <c r="BK153" i="34"/>
  <c r="AJ146" i="34"/>
  <c r="BL146" i="34"/>
  <c r="BA152" i="34"/>
  <c r="AA154" i="34"/>
  <c r="BN155" i="34"/>
  <c r="AS145" i="34"/>
  <c r="BG154" i="34"/>
  <c r="AL148" i="34"/>
  <c r="AQ153" i="34"/>
  <c r="BC154" i="34"/>
  <c r="BD146" i="34"/>
  <c r="BF144" i="34"/>
  <c r="BL149" i="34"/>
  <c r="BN147" i="34"/>
  <c r="BP145" i="34"/>
  <c r="AK144" i="34"/>
  <c r="AR148" i="34"/>
  <c r="AT146" i="34"/>
  <c r="AV144" i="34"/>
  <c r="AE146" i="34"/>
  <c r="AI144" i="34"/>
  <c r="AP145" i="34"/>
  <c r="BJ149" i="34"/>
  <c r="L154" i="34"/>
  <c r="AU155" i="34"/>
  <c r="AP148" i="34"/>
  <c r="AS153" i="34"/>
  <c r="BA154" i="34"/>
  <c r="AW146" i="34"/>
  <c r="AT152" i="34"/>
  <c r="V154" i="34"/>
  <c r="BI155" i="34"/>
  <c r="AQ152" i="34"/>
  <c r="AS148" i="34"/>
  <c r="AU146" i="34"/>
  <c r="AW144" i="34"/>
  <c r="BD148" i="34"/>
  <c r="BF146" i="34"/>
  <c r="BH144" i="34"/>
  <c r="AI152" i="34"/>
  <c r="AD146" i="34"/>
  <c r="AE148" i="34"/>
  <c r="AI145" i="34"/>
  <c r="AL149" i="34"/>
  <c r="BH153" i="34"/>
  <c r="BP154" i="34"/>
  <c r="AY147" i="34"/>
  <c r="BN152" i="34"/>
  <c r="AO154" i="34"/>
  <c r="BO144" i="34"/>
  <c r="BF149" i="34"/>
  <c r="J154" i="34"/>
  <c r="AW155" i="34"/>
  <c r="AM152" i="34"/>
  <c r="AO148" i="34"/>
  <c r="AQ146" i="34"/>
  <c r="AS144" i="34"/>
  <c r="AZ148" i="34"/>
  <c r="BB146" i="34"/>
  <c r="BD144" i="34"/>
  <c r="AI148" i="34"/>
  <c r="AF145" i="34"/>
  <c r="AI146" i="34"/>
  <c r="AE145" i="34"/>
  <c r="AT149" i="34"/>
  <c r="BL153" i="34"/>
  <c r="AM155" i="34"/>
  <c r="BG147" i="34"/>
  <c r="AK153" i="34"/>
  <c r="I154" i="34"/>
  <c r="BH155" i="34"/>
  <c r="BN149" i="34"/>
  <c r="BB154" i="34"/>
  <c r="AY152" i="34"/>
  <c r="BA148" i="34"/>
  <c r="BC146" i="34"/>
  <c r="BE144" i="34"/>
  <c r="BL148" i="34"/>
  <c r="BN146" i="34"/>
  <c r="BP144" i="34"/>
  <c r="AG155" i="34"/>
  <c r="AF147" i="34"/>
  <c r="AE152" i="34"/>
  <c r="AE147" i="34"/>
  <c r="BC148" i="34"/>
  <c r="AZ153" i="34"/>
  <c r="BH154" i="34"/>
  <c r="BP146" i="34"/>
  <c r="BD152" i="34"/>
  <c r="AC154" i="34"/>
  <c r="BL155" i="34"/>
  <c r="AP149" i="34"/>
  <c r="BJ153" i="34"/>
  <c r="Y154" i="34"/>
  <c r="AX145" i="34"/>
  <c r="AP153" i="34"/>
  <c r="AK155" i="34"/>
  <c r="BP149" i="34"/>
  <c r="AK148" i="34"/>
  <c r="AM146" i="34"/>
  <c r="AO144" i="34"/>
  <c r="AV148" i="34"/>
  <c r="AX146" i="34"/>
  <c r="AZ144" i="34"/>
  <c r="AG147" i="34"/>
  <c r="AH144" i="34"/>
  <c r="AG145" i="34"/>
  <c r="AG144" i="34"/>
  <c r="BB149" i="34"/>
  <c r="BP153" i="34"/>
  <c r="AQ155" i="34"/>
  <c r="BO147" i="34"/>
  <c r="AO153" i="34"/>
  <c r="AW154" i="34"/>
  <c r="BN145" i="34"/>
  <c r="AO152" i="34"/>
  <c r="R154" i="34"/>
  <c r="BE155" i="34"/>
  <c r="BM154" i="34"/>
  <c r="BJ152" i="34"/>
  <c r="AO155" i="34"/>
  <c r="AS154" i="34"/>
  <c r="BP147" i="34"/>
  <c r="BF153" i="34"/>
  <c r="BA155" i="34"/>
  <c r="AZ149" i="34"/>
  <c r="BB147" i="34"/>
  <c r="BD145" i="34"/>
  <c r="BK149" i="34"/>
  <c r="BM147" i="34"/>
  <c r="BO145" i="34"/>
  <c r="AJ144" i="34"/>
  <c r="AH154" i="34"/>
  <c r="AF152" i="34"/>
  <c r="AG154" i="34"/>
  <c r="BE146" i="34"/>
  <c r="AW152" i="34"/>
  <c r="X154" i="34"/>
  <c r="BG155" i="34"/>
  <c r="BN148" i="34"/>
  <c r="BE153" i="34"/>
  <c r="AR147" i="34"/>
  <c r="AP154" i="34"/>
  <c r="AR155" i="34"/>
  <c r="BO148" i="34"/>
  <c r="N154" i="34"/>
  <c r="AL144" i="34"/>
  <c r="AJ149" i="34"/>
  <c r="AL147" i="34"/>
  <c r="AN145" i="34"/>
  <c r="AU149" i="34"/>
  <c r="AW147" i="34"/>
  <c r="AY145" i="34"/>
  <c r="AH149" i="34"/>
  <c r="AD152" i="34"/>
  <c r="AH145" i="34"/>
  <c r="AI149" i="34"/>
  <c r="BD147" i="34"/>
  <c r="AJ153" i="34"/>
  <c r="AR154" i="34"/>
  <c r="AT145" i="34"/>
  <c r="BM149" i="34"/>
  <c r="M154" i="34"/>
  <c r="AV155" i="34"/>
  <c r="AQ148" i="34"/>
  <c r="AT153" i="34"/>
  <c r="BF154" i="34"/>
  <c r="H144" i="34"/>
  <c r="M5" i="47"/>
  <c r="L4" i="50" s="1"/>
  <c r="L4" i="57" s="1"/>
  <c r="B93" i="36"/>
  <c r="E129" i="34"/>
  <c r="A91" i="36"/>
  <c r="A95" i="36"/>
  <c r="A97" i="36" s="1"/>
  <c r="B89" i="36"/>
  <c r="A89" i="36"/>
  <c r="B91" i="36"/>
  <c r="L48" i="45" l="1"/>
  <c r="AV48" i="45"/>
  <c r="O48" i="45"/>
  <c r="AS48" i="45"/>
  <c r="BK48" i="45"/>
  <c r="AZ48" i="45"/>
  <c r="T48" i="45"/>
  <c r="AF48" i="45"/>
  <c r="AM48" i="45"/>
  <c r="BM48" i="45"/>
  <c r="Q48" i="45"/>
  <c r="BE48" i="45"/>
  <c r="K48" i="45"/>
  <c r="S48" i="45"/>
  <c r="BG48" i="45"/>
  <c r="AP48" i="45"/>
  <c r="AW48" i="45"/>
  <c r="X48" i="45"/>
  <c r="AT48" i="45"/>
  <c r="P48" i="45"/>
  <c r="J48" i="45"/>
  <c r="AA48" i="45"/>
  <c r="R48" i="45"/>
  <c r="Y48" i="45"/>
  <c r="AC48" i="45"/>
  <c r="BA48" i="45"/>
  <c r="BJ48" i="45"/>
  <c r="AX48" i="45"/>
  <c r="U48" i="45"/>
  <c r="V48" i="45"/>
  <c r="I48" i="45"/>
  <c r="W48" i="45"/>
  <c r="AU48" i="45"/>
  <c r="BB48" i="45"/>
  <c r="AQ48" i="45"/>
  <c r="BD48" i="45"/>
  <c r="AE48" i="45"/>
  <c r="N48" i="45"/>
  <c r="BI48" i="45"/>
  <c r="AO48" i="45"/>
  <c r="BC48" i="45"/>
  <c r="AD48" i="45"/>
  <c r="G48" i="45"/>
  <c r="AH48" i="45"/>
  <c r="AI48" i="45"/>
  <c r="BL48" i="45"/>
  <c r="BF48" i="45"/>
  <c r="AJ48" i="45"/>
  <c r="H48" i="45"/>
  <c r="BH48" i="45"/>
  <c r="F48" i="45"/>
  <c r="AR48" i="45"/>
  <c r="AL48" i="45"/>
  <c r="M48" i="45"/>
  <c r="BN48" i="45"/>
  <c r="AG48" i="45"/>
  <c r="AK48" i="45"/>
  <c r="AD19" i="50"/>
  <c r="AD20" i="50" s="1"/>
  <c r="AD21" i="50" s="1"/>
  <c r="AH19" i="50"/>
  <c r="AH20" i="50" s="1"/>
  <c r="AH21" i="50" s="1"/>
  <c r="AL19" i="50"/>
  <c r="AL20" i="50" s="1"/>
  <c r="AL21" i="50" s="1"/>
  <c r="AE19" i="50"/>
  <c r="AE20" i="50" s="1"/>
  <c r="AE21" i="50" s="1"/>
  <c r="AZ19" i="50"/>
  <c r="AZ20" i="50" s="1"/>
  <c r="AZ21" i="50" s="1"/>
  <c r="AJ19" i="50"/>
  <c r="AJ20" i="50" s="1"/>
  <c r="AJ21" i="50" s="1"/>
  <c r="AU19" i="50"/>
  <c r="AU20" i="50" s="1"/>
  <c r="AU21" i="50" s="1"/>
  <c r="AX19" i="50"/>
  <c r="AX20" i="50" s="1"/>
  <c r="AX21" i="50" s="1"/>
  <c r="Y19" i="50"/>
  <c r="Y20" i="50" s="1"/>
  <c r="Y21" i="50" s="1"/>
  <c r="AV19" i="50"/>
  <c r="AV20" i="50" s="1"/>
  <c r="AV21" i="50" s="1"/>
  <c r="BA19" i="50"/>
  <c r="BA20" i="50" s="1"/>
  <c r="BA21" i="50" s="1"/>
  <c r="BE19" i="50"/>
  <c r="BE20" i="50" s="1"/>
  <c r="BE21" i="50" s="1"/>
  <c r="AK19" i="50"/>
  <c r="AK20" i="50" s="1"/>
  <c r="AK21" i="50" s="1"/>
  <c r="AQ19" i="50"/>
  <c r="AQ20" i="50" s="1"/>
  <c r="AQ21" i="50" s="1"/>
  <c r="AO19" i="50"/>
  <c r="AO20" i="50" s="1"/>
  <c r="AO21" i="50" s="1"/>
  <c r="AS19" i="50"/>
  <c r="AS20" i="50" s="1"/>
  <c r="AS21" i="50" s="1"/>
  <c r="AW19" i="50"/>
  <c r="AW20" i="50" s="1"/>
  <c r="AW21" i="50" s="1"/>
  <c r="AC19" i="50"/>
  <c r="AC20" i="50" s="1"/>
  <c r="AC21" i="50" s="1"/>
  <c r="AP19" i="50"/>
  <c r="AP20" i="50" s="1"/>
  <c r="AP21" i="50" s="1"/>
  <c r="AN19" i="50"/>
  <c r="AN20" i="50" s="1"/>
  <c r="AN21" i="50" s="1"/>
  <c r="AT19" i="50"/>
  <c r="AT20" i="50" s="1"/>
  <c r="AT21" i="50" s="1"/>
  <c r="BI19" i="50"/>
  <c r="BI20" i="50" s="1"/>
  <c r="BI21" i="50" s="1"/>
  <c r="BB19" i="50"/>
  <c r="BB20" i="50" s="1"/>
  <c r="BB21" i="50" s="1"/>
  <c r="AG19" i="50"/>
  <c r="AG20" i="50" s="1"/>
  <c r="AG21" i="50" s="1"/>
  <c r="Z19" i="50"/>
  <c r="Z20" i="50" s="1"/>
  <c r="Z21" i="50" s="1"/>
  <c r="BF19" i="50"/>
  <c r="BF20" i="50" s="1"/>
  <c r="BF21" i="50" s="1"/>
  <c r="AM19" i="50"/>
  <c r="AM20" i="50" s="1"/>
  <c r="AM21" i="50" s="1"/>
  <c r="AB19" i="50"/>
  <c r="AB20" i="50" s="1"/>
  <c r="AB21" i="50" s="1"/>
  <c r="AY19" i="50"/>
  <c r="AY20" i="50" s="1"/>
  <c r="AY21" i="50" s="1"/>
  <c r="BC19" i="50"/>
  <c r="BC20" i="50" s="1"/>
  <c r="BC21" i="50" s="1"/>
  <c r="BG19" i="50"/>
  <c r="BG20" i="50" s="1"/>
  <c r="BG21" i="50" s="1"/>
  <c r="AI19" i="50"/>
  <c r="AI20" i="50" s="1"/>
  <c r="AI21" i="50" s="1"/>
  <c r="AA19" i="50"/>
  <c r="AA20" i="50" s="1"/>
  <c r="AA21" i="50" s="1"/>
  <c r="BD19" i="50"/>
  <c r="BD20" i="50" s="1"/>
  <c r="BD21" i="50" s="1"/>
  <c r="AR19" i="50"/>
  <c r="AR20" i="50" s="1"/>
  <c r="AR21" i="50" s="1"/>
  <c r="BH19" i="50"/>
  <c r="BH20" i="50" s="1"/>
  <c r="BH21" i="50" s="1"/>
  <c r="AF19" i="50"/>
  <c r="AF20" i="50" s="1"/>
  <c r="AF21" i="50" s="1"/>
  <c r="BK19" i="50"/>
  <c r="BK20" i="50" s="1"/>
  <c r="BK21" i="50" s="1"/>
  <c r="BJ19" i="50"/>
  <c r="BJ20" i="50" s="1"/>
  <c r="BJ21" i="50" s="1"/>
  <c r="AS5" i="50"/>
  <c r="AS8" i="50" s="1"/>
  <c r="AX5" i="50"/>
  <c r="AX8" i="50" s="1"/>
  <c r="BE5" i="50"/>
  <c r="BE8" i="50" s="1"/>
  <c r="AP5" i="50"/>
  <c r="AP8" i="50" s="1"/>
  <c r="AB5" i="50"/>
  <c r="AB8" i="50" s="1"/>
  <c r="AR5" i="50"/>
  <c r="AR8" i="50" s="1"/>
  <c r="AQ5" i="50"/>
  <c r="AQ8" i="50" s="1"/>
  <c r="AV5" i="50"/>
  <c r="AV8" i="50" s="1"/>
  <c r="AW5" i="50"/>
  <c r="AW8" i="50" s="1"/>
  <c r="AL5" i="50"/>
  <c r="AL8" i="50" s="1"/>
  <c r="AG5" i="50"/>
  <c r="AG8" i="50" s="1"/>
  <c r="AM5" i="50"/>
  <c r="AM8" i="50" s="1"/>
  <c r="AM9" i="50" s="1"/>
  <c r="AR10" i="36" s="1"/>
  <c r="BD5" i="50"/>
  <c r="BD8" i="50" s="1"/>
  <c r="BH5" i="50"/>
  <c r="BH8" i="50" s="1"/>
  <c r="BJ5" i="50"/>
  <c r="BJ8" i="50" s="1"/>
  <c r="BG5" i="50"/>
  <c r="BG8" i="50" s="1"/>
  <c r="AU5" i="50"/>
  <c r="AU8" i="50" s="1"/>
  <c r="BK5" i="50"/>
  <c r="BK8" i="50" s="1"/>
  <c r="AI5" i="50"/>
  <c r="AI8" i="50" s="1"/>
  <c r="AI9" i="50" s="1"/>
  <c r="AN10" i="36" s="1"/>
  <c r="AH5" i="50"/>
  <c r="AH8" i="50" s="1"/>
  <c r="AH9" i="50" s="1"/>
  <c r="AM10" i="36" s="1"/>
  <c r="AK5" i="50"/>
  <c r="AK8" i="50" s="1"/>
  <c r="BB5" i="50"/>
  <c r="BB8" i="50" s="1"/>
  <c r="BF5" i="50"/>
  <c r="BF8" i="50" s="1"/>
  <c r="BI5" i="50"/>
  <c r="BI8" i="50" s="1"/>
  <c r="AT5" i="50"/>
  <c r="AT8" i="50" s="1"/>
  <c r="Y5" i="50"/>
  <c r="Y8" i="50" s="1"/>
  <c r="AZ5" i="50"/>
  <c r="AZ8" i="50" s="1"/>
  <c r="AE5" i="50"/>
  <c r="AE8" i="50" s="1"/>
  <c r="AY5" i="50"/>
  <c r="AY8" i="50" s="1"/>
  <c r="BC5" i="50"/>
  <c r="BC8" i="50" s="1"/>
  <c r="BA5" i="50"/>
  <c r="BA8" i="50" s="1"/>
  <c r="AO5" i="50"/>
  <c r="AO8" i="50" s="1"/>
  <c r="AO9" i="50" s="1"/>
  <c r="AT10" i="36" s="1"/>
  <c r="AN5" i="50"/>
  <c r="AN8" i="50" s="1"/>
  <c r="AN9" i="50" s="1"/>
  <c r="AS10" i="36" s="1"/>
  <c r="Z5" i="50"/>
  <c r="Z8" i="50" s="1"/>
  <c r="AC5" i="50"/>
  <c r="AC8" i="50" s="1"/>
  <c r="AA5" i="50"/>
  <c r="AA8" i="50" s="1"/>
  <c r="AD5" i="50"/>
  <c r="AF5" i="50"/>
  <c r="AF8" i="50" s="1"/>
  <c r="AJ5" i="50"/>
  <c r="AJ8" i="50" s="1"/>
  <c r="AP42" i="36"/>
  <c r="AO83" i="36"/>
  <c r="AI12" i="50"/>
  <c r="AI13" i="50" s="1"/>
  <c r="AS12" i="50"/>
  <c r="AS13" i="50" s="1"/>
  <c r="AD12" i="50"/>
  <c r="AD13" i="50" s="1"/>
  <c r="BI14" i="50"/>
  <c r="AK14" i="50"/>
  <c r="AA14" i="50"/>
  <c r="AG12" i="50"/>
  <c r="AG13" i="50" s="1"/>
  <c r="BF14" i="50"/>
  <c r="AE12" i="50"/>
  <c r="AE13" i="50" s="1"/>
  <c r="BE14" i="50"/>
  <c r="BD12" i="50"/>
  <c r="BD13" i="50" s="1"/>
  <c r="BF12" i="50"/>
  <c r="BF13" i="50" s="1"/>
  <c r="AZ12" i="50"/>
  <c r="AZ13" i="50" s="1"/>
  <c r="BA12" i="50"/>
  <c r="BA13" i="50" s="1"/>
  <c r="AD14" i="50"/>
  <c r="AP14" i="50"/>
  <c r="AI14" i="50"/>
  <c r="AF14" i="50"/>
  <c r="AV14" i="50"/>
  <c r="AY12" i="50"/>
  <c r="AY13" i="50" s="1"/>
  <c r="AR12" i="50"/>
  <c r="AR13" i="50" s="1"/>
  <c r="AP12" i="50"/>
  <c r="AP13" i="50" s="1"/>
  <c r="AQ12" i="50"/>
  <c r="AQ13" i="50" s="1"/>
  <c r="AK12" i="50"/>
  <c r="AK13" i="50" s="1"/>
  <c r="AM14" i="50"/>
  <c r="AT14" i="50"/>
  <c r="AR14" i="50"/>
  <c r="AH12" i="50"/>
  <c r="AH13" i="50" s="1"/>
  <c r="AC12" i="50"/>
  <c r="AC13" i="50" s="1"/>
  <c r="BI12" i="50"/>
  <c r="BI13" i="50" s="1"/>
  <c r="BG12" i="50"/>
  <c r="BG13" i="50" s="1"/>
  <c r="Z12" i="50"/>
  <c r="Z13" i="50" s="1"/>
  <c r="AA12" i="50"/>
  <c r="AA13" i="50" s="1"/>
  <c r="AJ12" i="50"/>
  <c r="AJ13" i="50" s="1"/>
  <c r="AU14" i="50"/>
  <c r="AX14" i="50"/>
  <c r="AZ14" i="50"/>
  <c r="AV12" i="50"/>
  <c r="AV13" i="50" s="1"/>
  <c r="BK14" i="50"/>
  <c r="Y14" i="50"/>
  <c r="AH14" i="50"/>
  <c r="BG14" i="50"/>
  <c r="AB12" i="50"/>
  <c r="AB13" i="50" s="1"/>
  <c r="AW12" i="50"/>
  <c r="AW13" i="50" s="1"/>
  <c r="AX12" i="50"/>
  <c r="AX13" i="50" s="1"/>
  <c r="AB14" i="50"/>
  <c r="BC14" i="50"/>
  <c r="BB14" i="50"/>
  <c r="BD14" i="50"/>
  <c r="AF12" i="50"/>
  <c r="AF13" i="50" s="1"/>
  <c r="AG14" i="50"/>
  <c r="BK12" i="50"/>
  <c r="BK13" i="50" s="1"/>
  <c r="BH12" i="50"/>
  <c r="BH13" i="50" s="1"/>
  <c r="BE12" i="50"/>
  <c r="BE13" i="50" s="1"/>
  <c r="AJ14" i="50"/>
  <c r="AE14" i="50"/>
  <c r="BJ14" i="50"/>
  <c r="AL14" i="50"/>
  <c r="AN12" i="50"/>
  <c r="AN13" i="50" s="1"/>
  <c r="AU12" i="50"/>
  <c r="AU13" i="50" s="1"/>
  <c r="AO12" i="50"/>
  <c r="AO13" i="50" s="1"/>
  <c r="AO14" i="50"/>
  <c r="AN14" i="50"/>
  <c r="Z14" i="50"/>
  <c r="AS14" i="50"/>
  <c r="AT12" i="50"/>
  <c r="AT13" i="50" s="1"/>
  <c r="BC12" i="50"/>
  <c r="BC13" i="50" s="1"/>
  <c r="BB12" i="50"/>
  <c r="BB13" i="50" s="1"/>
  <c r="AM12" i="50"/>
  <c r="AM13" i="50" s="1"/>
  <c r="AW14" i="50"/>
  <c r="BH14" i="50"/>
  <c r="AQ14" i="50"/>
  <c r="Y12" i="50"/>
  <c r="Y13" i="50" s="1"/>
  <c r="AL12" i="50"/>
  <c r="AL13" i="50" s="1"/>
  <c r="BJ12" i="50"/>
  <c r="BJ13" i="50" s="1"/>
  <c r="BA14" i="50"/>
  <c r="AC14" i="50"/>
  <c r="AY14" i="50"/>
  <c r="AL22" i="50"/>
  <c r="BH22" i="50"/>
  <c r="AH22" i="50"/>
  <c r="AP22" i="50"/>
  <c r="AD22" i="50"/>
  <c r="AA22" i="50"/>
  <c r="AT22" i="50"/>
  <c r="Y22" i="50"/>
  <c r="AR22" i="50"/>
  <c r="AE22" i="50"/>
  <c r="BB22" i="50"/>
  <c r="AC22" i="50"/>
  <c r="AX22" i="50"/>
  <c r="BC22" i="50"/>
  <c r="AI22" i="50"/>
  <c r="BJ22" i="50"/>
  <c r="AG22" i="50"/>
  <c r="BF22" i="50"/>
  <c r="AF22" i="50"/>
  <c r="BA22" i="50"/>
  <c r="Z22" i="50"/>
  <c r="AM22" i="50"/>
  <c r="AB22" i="50"/>
  <c r="AK22" i="50"/>
  <c r="AQ22" i="50"/>
  <c r="AO22" i="50"/>
  <c r="BD22" i="50"/>
  <c r="AU22" i="50"/>
  <c r="AJ22" i="50"/>
  <c r="AS22" i="50"/>
  <c r="AY22" i="50"/>
  <c r="AN22" i="50"/>
  <c r="AW22" i="50"/>
  <c r="BI22" i="50"/>
  <c r="BG22" i="50"/>
  <c r="AV22" i="50"/>
  <c r="BE22" i="50"/>
  <c r="BK22" i="50"/>
  <c r="AZ22" i="50"/>
  <c r="AF39" i="50"/>
  <c r="AI39" i="50"/>
  <c r="AL39" i="50"/>
  <c r="AS39" i="50"/>
  <c r="AC39" i="50"/>
  <c r="BC39" i="50"/>
  <c r="BF39" i="50"/>
  <c r="BI39" i="50"/>
  <c r="AM39" i="50"/>
  <c r="AP39" i="50"/>
  <c r="BJ39" i="50"/>
  <c r="Z39" i="50"/>
  <c r="AT39" i="50"/>
  <c r="AW39" i="50"/>
  <c r="AZ39" i="50"/>
  <c r="AQ39" i="50"/>
  <c r="AR39" i="50"/>
  <c r="AY39" i="50"/>
  <c r="AA39" i="50"/>
  <c r="AD39" i="50"/>
  <c r="AG39" i="50"/>
  <c r="AJ39" i="50"/>
  <c r="BB39" i="50"/>
  <c r="AX39" i="50"/>
  <c r="BA39" i="50"/>
  <c r="BD39" i="50"/>
  <c r="BG39" i="50"/>
  <c r="BH39" i="50"/>
  <c r="AH39" i="50"/>
  <c r="AK39" i="50"/>
  <c r="AN39" i="50"/>
  <c r="BE39" i="50"/>
  <c r="BK39" i="50"/>
  <c r="AO39" i="50"/>
  <c r="AU39" i="50"/>
  <c r="Y39" i="50"/>
  <c r="AB39" i="50"/>
  <c r="AE39" i="50"/>
  <c r="AV39" i="50"/>
  <c r="Z34" i="50"/>
  <c r="AE34" i="50"/>
  <c r="AJ34" i="50"/>
  <c r="AS34" i="50"/>
  <c r="AD34" i="50"/>
  <c r="AI34" i="50"/>
  <c r="AN34" i="50"/>
  <c r="AW34" i="50"/>
  <c r="AH34" i="50"/>
  <c r="AM34" i="50"/>
  <c r="AR34" i="50"/>
  <c r="BE34" i="50"/>
  <c r="AL34" i="50"/>
  <c r="AQ34" i="50"/>
  <c r="AV34" i="50"/>
  <c r="AP34" i="50"/>
  <c r="AU34" i="50"/>
  <c r="AZ34" i="50"/>
  <c r="AC34" i="50"/>
  <c r="BA34" i="50"/>
  <c r="AT34" i="50"/>
  <c r="AY34" i="50"/>
  <c r="BD34" i="50"/>
  <c r="AX34" i="50"/>
  <c r="BC34" i="50"/>
  <c r="BH34" i="50"/>
  <c r="BF34" i="50"/>
  <c r="AG34" i="50"/>
  <c r="BB34" i="50"/>
  <c r="BG34" i="50"/>
  <c r="Y34" i="50"/>
  <c r="BK34" i="50"/>
  <c r="BJ34" i="50"/>
  <c r="BI34" i="50"/>
  <c r="AB34" i="50"/>
  <c r="AK34" i="50"/>
  <c r="AA34" i="50"/>
  <c r="AF34" i="50"/>
  <c r="AO34" i="50"/>
  <c r="AJ61" i="57"/>
  <c r="AK61" i="57"/>
  <c r="L5" i="47"/>
  <c r="K4" i="50" s="1"/>
  <c r="K4" i="57" s="1"/>
  <c r="AH51" i="50" l="1"/>
  <c r="AO51" i="50"/>
  <c r="AI51" i="50"/>
  <c r="AN51" i="50"/>
  <c r="AM51" i="50"/>
  <c r="AD8" i="50"/>
  <c r="AD51" i="50" s="1"/>
  <c r="AB9" i="50"/>
  <c r="AG10" i="36" s="1"/>
  <c r="AB51" i="50"/>
  <c r="AA9" i="50"/>
  <c r="AF10" i="36" s="1"/>
  <c r="AA51" i="50"/>
  <c r="AE9" i="50"/>
  <c r="AJ10" i="36" s="1"/>
  <c r="AE51" i="50"/>
  <c r="AC9" i="50"/>
  <c r="AH10" i="36" s="1"/>
  <c r="AC51" i="50"/>
  <c r="Z51" i="50"/>
  <c r="Z9" i="50"/>
  <c r="AE10" i="36" s="1"/>
  <c r="Y7" i="50"/>
  <c r="AM10" i="50"/>
  <c r="AO10" i="50"/>
  <c r="AQ42" i="36"/>
  <c r="AP83" i="36"/>
  <c r="AO13" i="36"/>
  <c r="AO14" i="36"/>
  <c r="AJ23" i="50"/>
  <c r="AJ24" i="50" s="1"/>
  <c r="AL13" i="36"/>
  <c r="AL14" i="36"/>
  <c r="AG23" i="50"/>
  <c r="AG24" i="50" s="1"/>
  <c r="AI14" i="36"/>
  <c r="AD23" i="50"/>
  <c r="AD24" i="50" s="1"/>
  <c r="AI13" i="36"/>
  <c r="AX13" i="36"/>
  <c r="AX14" i="36"/>
  <c r="AS23" i="50"/>
  <c r="AS24" i="50" s="1"/>
  <c r="AZ13" i="36"/>
  <c r="AU23" i="50"/>
  <c r="AU24" i="50" s="1"/>
  <c r="AZ14" i="36"/>
  <c r="BO13" i="36"/>
  <c r="BO14" i="36"/>
  <c r="BJ23" i="50"/>
  <c r="BJ24" i="50" s="1"/>
  <c r="AU13" i="36"/>
  <c r="AP23" i="50"/>
  <c r="AP24" i="50" s="1"/>
  <c r="AU14" i="36"/>
  <c r="AZ23" i="50"/>
  <c r="AZ24" i="50" s="1"/>
  <c r="BE14" i="36"/>
  <c r="BE13" i="36"/>
  <c r="BI14" i="36"/>
  <c r="BD23" i="50"/>
  <c r="BD24" i="50" s="1"/>
  <c r="BI13" i="36"/>
  <c r="AN13" i="36"/>
  <c r="AN14" i="36"/>
  <c r="AI23" i="50"/>
  <c r="AI24" i="50" s="1"/>
  <c r="AM13" i="36"/>
  <c r="AM14" i="36"/>
  <c r="AH23" i="50"/>
  <c r="AH24" i="50" s="1"/>
  <c r="BF23" i="50"/>
  <c r="BF24" i="50" s="1"/>
  <c r="BK13" i="36"/>
  <c r="BK14" i="36"/>
  <c r="BP14" i="36"/>
  <c r="BP13" i="36"/>
  <c r="BK23" i="50"/>
  <c r="BK24" i="50" s="1"/>
  <c r="AO23" i="50"/>
  <c r="AO24" i="50" s="1"/>
  <c r="AT13" i="36"/>
  <c r="AT14" i="36"/>
  <c r="BC23" i="50"/>
  <c r="BC24" i="50" s="1"/>
  <c r="BH14" i="36"/>
  <c r="BH13" i="36"/>
  <c r="BH23" i="50"/>
  <c r="BH24" i="50" s="1"/>
  <c r="BM14" i="36"/>
  <c r="BM13" i="36"/>
  <c r="BJ13" i="36"/>
  <c r="BE23" i="50"/>
  <c r="BE24" i="50" s="1"/>
  <c r="BJ14" i="36"/>
  <c r="AQ23" i="50"/>
  <c r="AQ24" i="50" s="1"/>
  <c r="AV13" i="36"/>
  <c r="AV14" i="36"/>
  <c r="AX23" i="50"/>
  <c r="AX24" i="50" s="1"/>
  <c r="BC13" i="36"/>
  <c r="BC14" i="36"/>
  <c r="AQ14" i="36"/>
  <c r="AL23" i="50"/>
  <c r="AL24" i="50" s="1"/>
  <c r="AQ13" i="36"/>
  <c r="AF14" i="36"/>
  <c r="AF13" i="36"/>
  <c r="AA23" i="50"/>
  <c r="AA24" i="50" s="1"/>
  <c r="BA14" i="36"/>
  <c r="AV23" i="50"/>
  <c r="AV24" i="50" s="1"/>
  <c r="BA13" i="36"/>
  <c r="AK23" i="50"/>
  <c r="AK24" i="50" s="1"/>
  <c r="AP13" i="36"/>
  <c r="AP14" i="36"/>
  <c r="AH14" i="36"/>
  <c r="AC23" i="50"/>
  <c r="AC24" i="50" s="1"/>
  <c r="AH13" i="36"/>
  <c r="BG23" i="50"/>
  <c r="BG24" i="50" s="1"/>
  <c r="BL14" i="36"/>
  <c r="BL13" i="36"/>
  <c r="AB23" i="50"/>
  <c r="AB24" i="50" s="1"/>
  <c r="AG14" i="36"/>
  <c r="AG13" i="36"/>
  <c r="BG14" i="36"/>
  <c r="BG13" i="36"/>
  <c r="BB23" i="50"/>
  <c r="BB24" i="50" s="1"/>
  <c r="BN13" i="36"/>
  <c r="BI23" i="50"/>
  <c r="BI24" i="50" s="1"/>
  <c r="BN14" i="36"/>
  <c r="AM23" i="50"/>
  <c r="AM24" i="50" s="1"/>
  <c r="AR14" i="36"/>
  <c r="AR13" i="36"/>
  <c r="AJ13" i="36"/>
  <c r="AE23" i="50"/>
  <c r="AE24" i="50" s="1"/>
  <c r="AJ14" i="36"/>
  <c r="BB13" i="36"/>
  <c r="AW23" i="50"/>
  <c r="AW24" i="50" s="1"/>
  <c r="BB14" i="36"/>
  <c r="AE14" i="36"/>
  <c r="Z23" i="50"/>
  <c r="Z24" i="50" s="1"/>
  <c r="AE13" i="36"/>
  <c r="AW14" i="36"/>
  <c r="AW13" i="36"/>
  <c r="AR23" i="50"/>
  <c r="AR24" i="50" s="1"/>
  <c r="AS13" i="36"/>
  <c r="AN23" i="50"/>
  <c r="AN24" i="50" s="1"/>
  <c r="AS14" i="36"/>
  <c r="BA23" i="50"/>
  <c r="BA24" i="50" s="1"/>
  <c r="BF13" i="36"/>
  <c r="BF14" i="36"/>
  <c r="AD13" i="36"/>
  <c r="Y23" i="50"/>
  <c r="Y24" i="50" s="1"/>
  <c r="AD14" i="36"/>
  <c r="BD14" i="36"/>
  <c r="AY23" i="50"/>
  <c r="AY24" i="50" s="1"/>
  <c r="BD13" i="36"/>
  <c r="AK14" i="36"/>
  <c r="AF23" i="50"/>
  <c r="AF24" i="50" s="1"/>
  <c r="AK13" i="36"/>
  <c r="AY14" i="36"/>
  <c r="AT23" i="50"/>
  <c r="AT24" i="50" s="1"/>
  <c r="AY13" i="36"/>
  <c r="AF15" i="36"/>
  <c r="AJ15" i="36"/>
  <c r="AN15" i="36"/>
  <c r="AR15" i="36"/>
  <c r="AV15" i="36"/>
  <c r="AZ15" i="36"/>
  <c r="BD15" i="36"/>
  <c r="BH15" i="36"/>
  <c r="BL15" i="36"/>
  <c r="BP15" i="36"/>
  <c r="AS15" i="36"/>
  <c r="BA15" i="36"/>
  <c r="BI15" i="36"/>
  <c r="BM15" i="36"/>
  <c r="BN15" i="36"/>
  <c r="AG15" i="36"/>
  <c r="AK15" i="36"/>
  <c r="AO15" i="36"/>
  <c r="AW15" i="36"/>
  <c r="BE15" i="36"/>
  <c r="AD15" i="36"/>
  <c r="AH15" i="36"/>
  <c r="AL15" i="36"/>
  <c r="AP15" i="36"/>
  <c r="AT15" i="36"/>
  <c r="AX15" i="36"/>
  <c r="BB15" i="36"/>
  <c r="BF15" i="36"/>
  <c r="AE15" i="36"/>
  <c r="AI15" i="36"/>
  <c r="AM15" i="36"/>
  <c r="AQ15" i="36"/>
  <c r="AU15" i="36"/>
  <c r="AY15" i="36"/>
  <c r="BC15" i="36"/>
  <c r="BG15" i="36"/>
  <c r="BK15" i="36"/>
  <c r="BO15" i="36"/>
  <c r="BJ15" i="36"/>
  <c r="AI10" i="50"/>
  <c r="AN10" i="50"/>
  <c r="AH10" i="50"/>
  <c r="AE35" i="50"/>
  <c r="Z32" i="50"/>
  <c r="Z53" i="50" s="1"/>
  <c r="AC32" i="50"/>
  <c r="AC53" i="50" s="1"/>
  <c r="AO32" i="50"/>
  <c r="AO53" i="50" s="1"/>
  <c r="AA32" i="50"/>
  <c r="AA53" i="50" s="1"/>
  <c r="AI32" i="50"/>
  <c r="AI53" i="50" s="1"/>
  <c r="AN32" i="50"/>
  <c r="AN53" i="50" s="1"/>
  <c r="AD32" i="50"/>
  <c r="AD53" i="50" s="1"/>
  <c r="AH32" i="50"/>
  <c r="AH53" i="50" s="1"/>
  <c r="AB32" i="50"/>
  <c r="AB53" i="50" s="1"/>
  <c r="AE32" i="50"/>
  <c r="AE53" i="50" s="1"/>
  <c r="AM32" i="50"/>
  <c r="AM53" i="50" s="1"/>
  <c r="K5" i="47"/>
  <c r="J4" i="50" s="1"/>
  <c r="J4" i="57" s="1"/>
  <c r="Z10" i="50" l="1"/>
  <c r="Z15" i="57" s="1"/>
  <c r="AA10" i="50"/>
  <c r="AA15" i="57" s="1"/>
  <c r="AB10" i="50"/>
  <c r="AB15" i="57" s="1"/>
  <c r="Y51" i="50"/>
  <c r="Y9" i="50"/>
  <c r="AD10" i="36" s="1"/>
  <c r="AE10" i="50"/>
  <c r="AC10" i="50"/>
  <c r="AC15" i="57" s="1"/>
  <c r="AD9" i="50"/>
  <c r="AI10" i="36" s="1"/>
  <c r="AR42" i="36"/>
  <c r="AQ83" i="36"/>
  <c r="AE30" i="50"/>
  <c r="Z40" i="50"/>
  <c r="AN40" i="50"/>
  <c r="AB40" i="50"/>
  <c r="AA40" i="50"/>
  <c r="AH40" i="50"/>
  <c r="AI40" i="50"/>
  <c r="AE40" i="50"/>
  <c r="AO40" i="50"/>
  <c r="Y40" i="50"/>
  <c r="AM40" i="50"/>
  <c r="AC40" i="50"/>
  <c r="AD40" i="50"/>
  <c r="AF18" i="36"/>
  <c r="AF17" i="36"/>
  <c r="AI18" i="36"/>
  <c r="AI17" i="36"/>
  <c r="AJ17" i="36"/>
  <c r="AJ18" i="36"/>
  <c r="AS17" i="36"/>
  <c r="AS18" i="36"/>
  <c r="AH18" i="36"/>
  <c r="AH17" i="36"/>
  <c r="AM18" i="36"/>
  <c r="AM17" i="36"/>
  <c r="AR17" i="36"/>
  <c r="AR18" i="36"/>
  <c r="AT17" i="36"/>
  <c r="AT18" i="36"/>
  <c r="AG18" i="36"/>
  <c r="AG17" i="36"/>
  <c r="AN17" i="36"/>
  <c r="AN18" i="36"/>
  <c r="AE18" i="36"/>
  <c r="AE17" i="36"/>
  <c r="AC7" i="50"/>
  <c r="AC30" i="50"/>
  <c r="Y35" i="50"/>
  <c r="AB26" i="50"/>
  <c r="Y26" i="50"/>
  <c r="AA7" i="50"/>
  <c r="AB30" i="50"/>
  <c r="AD35" i="50"/>
  <c r="AA26" i="50"/>
  <c r="AD26" i="50"/>
  <c r="AB7" i="50"/>
  <c r="AD7" i="50"/>
  <c r="Y30" i="50"/>
  <c r="Y32" i="50"/>
  <c r="Y53" i="50" s="1"/>
  <c r="Z30" i="50"/>
  <c r="AC35" i="50"/>
  <c r="AB35" i="50"/>
  <c r="AC26" i="50"/>
  <c r="Z7" i="50"/>
  <c r="AD30" i="50"/>
  <c r="AA30" i="50"/>
  <c r="Z35" i="50"/>
  <c r="AA35" i="50"/>
  <c r="Z26" i="50"/>
  <c r="AO6" i="50"/>
  <c r="J5" i="47"/>
  <c r="I4" i="50" s="1"/>
  <c r="I4" i="57" s="1"/>
  <c r="AE26" i="50"/>
  <c r="AE7" i="50"/>
  <c r="D12" i="55"/>
  <c r="E12" i="55"/>
  <c r="F12" i="55"/>
  <c r="G12" i="55"/>
  <c r="H12" i="55"/>
  <c r="I12" i="55"/>
  <c r="J12" i="55"/>
  <c r="K12" i="55"/>
  <c r="L12" i="55"/>
  <c r="M12" i="55"/>
  <c r="N12" i="55"/>
  <c r="C12" i="55"/>
  <c r="D6" i="55"/>
  <c r="E6" i="55"/>
  <c r="F6" i="55"/>
  <c r="G6" i="55"/>
  <c r="H6" i="55"/>
  <c r="I6" i="55"/>
  <c r="J6" i="55"/>
  <c r="K6" i="55"/>
  <c r="L6" i="55"/>
  <c r="M6" i="55"/>
  <c r="N6" i="55"/>
  <c r="C6" i="55"/>
  <c r="Z28" i="55"/>
  <c r="AA28" i="55" s="1"/>
  <c r="AB28" i="55" s="1"/>
  <c r="AC28" i="55" s="1"/>
  <c r="AD28" i="55" s="1"/>
  <c r="AE28" i="55" s="1"/>
  <c r="S11" i="55"/>
  <c r="T11" i="55"/>
  <c r="U11" i="55"/>
  <c r="V11" i="55"/>
  <c r="W11" i="55"/>
  <c r="X11" i="55"/>
  <c r="Y11" i="55"/>
  <c r="Z11" i="55"/>
  <c r="AA11" i="55"/>
  <c r="AB11" i="55"/>
  <c r="AC11" i="55"/>
  <c r="AD11" i="55"/>
  <c r="AE11" i="55"/>
  <c r="R11" i="55"/>
  <c r="D24" i="55"/>
  <c r="E24" i="55"/>
  <c r="F24" i="55"/>
  <c r="G24" i="55"/>
  <c r="H24" i="55"/>
  <c r="I24" i="55"/>
  <c r="J24" i="55"/>
  <c r="K24" i="55"/>
  <c r="L24" i="55"/>
  <c r="M24" i="55"/>
  <c r="N24" i="55"/>
  <c r="Q24" i="55"/>
  <c r="C24" i="55"/>
  <c r="D37" i="55"/>
  <c r="E37" i="55"/>
  <c r="F37" i="55"/>
  <c r="G37" i="55"/>
  <c r="H37" i="55"/>
  <c r="I37" i="55"/>
  <c r="J37" i="55"/>
  <c r="K37" i="55"/>
  <c r="L37" i="55"/>
  <c r="M37" i="55"/>
  <c r="N37" i="55"/>
  <c r="C37" i="55"/>
  <c r="D31" i="55"/>
  <c r="E31" i="55"/>
  <c r="F31" i="55"/>
  <c r="G31" i="55"/>
  <c r="H31" i="55"/>
  <c r="I31" i="55"/>
  <c r="J31" i="55"/>
  <c r="K31" i="55"/>
  <c r="L31" i="55"/>
  <c r="M31" i="55"/>
  <c r="N31" i="55"/>
  <c r="C31" i="55"/>
  <c r="D18" i="55"/>
  <c r="E18" i="55"/>
  <c r="F18" i="55"/>
  <c r="G18" i="55"/>
  <c r="H18" i="55"/>
  <c r="I18" i="55"/>
  <c r="J18" i="55"/>
  <c r="K18" i="55"/>
  <c r="L18" i="55"/>
  <c r="M18" i="55"/>
  <c r="N18" i="55"/>
  <c r="O18" i="55"/>
  <c r="P18" i="55"/>
  <c r="Q18" i="55"/>
  <c r="R18" i="55"/>
  <c r="S18" i="55"/>
  <c r="C18" i="55"/>
  <c r="D38" i="55"/>
  <c r="E38" i="55"/>
  <c r="F38" i="55"/>
  <c r="G38" i="55"/>
  <c r="H38" i="55"/>
  <c r="I38" i="55"/>
  <c r="J38" i="55"/>
  <c r="K38" i="55"/>
  <c r="L38" i="55"/>
  <c r="M38" i="55"/>
  <c r="N38" i="55"/>
  <c r="O38" i="55"/>
  <c r="P38" i="55"/>
  <c r="Q38" i="55"/>
  <c r="R38" i="55"/>
  <c r="S38" i="55"/>
  <c r="T38" i="55"/>
  <c r="C38" i="55"/>
  <c r="D32" i="55"/>
  <c r="E32" i="55"/>
  <c r="F32" i="55"/>
  <c r="G32" i="55"/>
  <c r="H32" i="55"/>
  <c r="I32" i="55"/>
  <c r="J32" i="55"/>
  <c r="K32" i="55"/>
  <c r="L32" i="55"/>
  <c r="M32" i="55"/>
  <c r="N32" i="55"/>
  <c r="O32" i="55"/>
  <c r="P32" i="55"/>
  <c r="Q32" i="55"/>
  <c r="R32" i="55"/>
  <c r="S32" i="55"/>
  <c r="T32" i="55"/>
  <c r="U32" i="55"/>
  <c r="C32" i="55"/>
  <c r="D25" i="55"/>
  <c r="E25" i="55"/>
  <c r="F25" i="55"/>
  <c r="G25" i="55"/>
  <c r="H25" i="55"/>
  <c r="I25" i="55"/>
  <c r="J25" i="55"/>
  <c r="K25" i="55"/>
  <c r="L25" i="55"/>
  <c r="M25" i="55"/>
  <c r="N25" i="55"/>
  <c r="O25" i="55"/>
  <c r="P25" i="55"/>
  <c r="Q25" i="55"/>
  <c r="R25" i="55"/>
  <c r="S25" i="55"/>
  <c r="T25" i="55"/>
  <c r="U25" i="55"/>
  <c r="C25" i="55"/>
  <c r="D19" i="55"/>
  <c r="E19" i="55"/>
  <c r="F19" i="55"/>
  <c r="G19" i="55"/>
  <c r="H19" i="55"/>
  <c r="I19" i="55"/>
  <c r="J19" i="55"/>
  <c r="K19" i="55"/>
  <c r="L19" i="55"/>
  <c r="M19" i="55"/>
  <c r="N19" i="55"/>
  <c r="O19" i="55"/>
  <c r="P19" i="55"/>
  <c r="Q19" i="55"/>
  <c r="R19" i="55"/>
  <c r="S19" i="55"/>
  <c r="T19" i="55"/>
  <c r="C19" i="55"/>
  <c r="D13" i="55"/>
  <c r="E13" i="55"/>
  <c r="F13" i="55"/>
  <c r="G13" i="55"/>
  <c r="H13" i="55"/>
  <c r="I13" i="55"/>
  <c r="J13" i="55"/>
  <c r="K13" i="55"/>
  <c r="L13" i="55"/>
  <c r="M13" i="55"/>
  <c r="N13" i="55"/>
  <c r="O13" i="55"/>
  <c r="P13" i="55"/>
  <c r="Q13" i="55"/>
  <c r="R13" i="55"/>
  <c r="S13" i="55"/>
  <c r="T13" i="55"/>
  <c r="U13" i="55"/>
  <c r="C13" i="55"/>
  <c r="D7" i="55"/>
  <c r="E7" i="55"/>
  <c r="F7" i="55"/>
  <c r="G7" i="55"/>
  <c r="H7" i="55"/>
  <c r="I7" i="55"/>
  <c r="J7" i="55"/>
  <c r="K7" i="55"/>
  <c r="L7" i="55"/>
  <c r="M7" i="55"/>
  <c r="N7" i="55"/>
  <c r="O7" i="55"/>
  <c r="P7" i="55"/>
  <c r="Q7" i="55"/>
  <c r="R7" i="55"/>
  <c r="S7" i="55"/>
  <c r="T7" i="55"/>
  <c r="U7" i="55"/>
  <c r="C7" i="55"/>
  <c r="AD10" i="50" l="1"/>
  <c r="AD15" i="57" s="1"/>
  <c r="Y10" i="50"/>
  <c r="Y15" i="57" s="1"/>
  <c r="AS42" i="36"/>
  <c r="AR83" i="36"/>
  <c r="AD17" i="36"/>
  <c r="AD18" i="36"/>
  <c r="O24" i="55"/>
  <c r="S24" i="55"/>
  <c r="R24" i="55"/>
  <c r="P24" i="55"/>
  <c r="I5" i="47"/>
  <c r="H4" i="50" s="1"/>
  <c r="H4" i="57" s="1"/>
  <c r="D35" i="50"/>
  <c r="E35" i="50"/>
  <c r="F35" i="50"/>
  <c r="G35" i="50"/>
  <c r="H35" i="50"/>
  <c r="I35" i="50"/>
  <c r="J35" i="50"/>
  <c r="K35" i="50"/>
  <c r="L35" i="50"/>
  <c r="C35" i="50"/>
  <c r="D40" i="50"/>
  <c r="E40" i="50"/>
  <c r="F40" i="50"/>
  <c r="G40" i="50"/>
  <c r="H40" i="50"/>
  <c r="I40" i="50"/>
  <c r="J40" i="50"/>
  <c r="K40" i="50"/>
  <c r="L40" i="50"/>
  <c r="C40" i="50"/>
  <c r="D30" i="50"/>
  <c r="E30" i="50"/>
  <c r="F30" i="50"/>
  <c r="G30" i="50"/>
  <c r="H30" i="50"/>
  <c r="I30" i="50"/>
  <c r="J30" i="50"/>
  <c r="K30" i="50"/>
  <c r="L30" i="50"/>
  <c r="C30" i="50"/>
  <c r="D26" i="50"/>
  <c r="E26" i="50"/>
  <c r="F26" i="50"/>
  <c r="G26" i="50"/>
  <c r="H26" i="50"/>
  <c r="I26" i="50"/>
  <c r="J26" i="50"/>
  <c r="K26" i="50"/>
  <c r="L26" i="50"/>
  <c r="C26" i="50"/>
  <c r="D13" i="50"/>
  <c r="E13" i="50"/>
  <c r="F13" i="50"/>
  <c r="G13" i="50"/>
  <c r="H13" i="50"/>
  <c r="I13" i="50"/>
  <c r="J13" i="50"/>
  <c r="K13" i="50"/>
  <c r="L13" i="50"/>
  <c r="C13" i="50"/>
  <c r="D7" i="50"/>
  <c r="E7" i="50"/>
  <c r="F7" i="50"/>
  <c r="G7" i="50"/>
  <c r="H7" i="50"/>
  <c r="I7" i="50"/>
  <c r="J7" i="50"/>
  <c r="K7" i="50"/>
  <c r="L7" i="50"/>
  <c r="C7" i="50"/>
  <c r="AJ15" i="57" l="1"/>
  <c r="AK15" i="57"/>
  <c r="AT42" i="36"/>
  <c r="AS83" i="36"/>
  <c r="H5" i="47"/>
  <c r="G4" i="50" s="1"/>
  <c r="G4" i="57" s="1"/>
  <c r="U38" i="55"/>
  <c r="AT11" i="50" l="1"/>
  <c r="AZ11" i="50"/>
  <c r="BC11" i="50"/>
  <c r="BJ11" i="50"/>
  <c r="BA11" i="50"/>
  <c r="Z11" i="50"/>
  <c r="AE8" i="36" s="1"/>
  <c r="AE11" i="50"/>
  <c r="AJ8" i="36" s="1"/>
  <c r="AG11" i="50"/>
  <c r="AY11" i="50"/>
  <c r="BE11" i="50"/>
  <c r="AW11" i="50"/>
  <c r="AU11" i="50"/>
  <c r="AM11" i="50"/>
  <c r="AR9" i="36" s="1"/>
  <c r="AD11" i="50"/>
  <c r="AI8" i="36" s="1"/>
  <c r="AA11" i="50"/>
  <c r="AF8" i="36" s="1"/>
  <c r="BH11" i="50"/>
  <c r="AL11" i="50"/>
  <c r="AN11" i="50"/>
  <c r="AS8" i="36" s="1"/>
  <c r="BF11" i="50"/>
  <c r="AQ11" i="50"/>
  <c r="AS11" i="50"/>
  <c r="AV11" i="50"/>
  <c r="AK11" i="50"/>
  <c r="AB11" i="50"/>
  <c r="AG9" i="36" s="1"/>
  <c r="AC11" i="50"/>
  <c r="AH8" i="36" s="1"/>
  <c r="Y11" i="50"/>
  <c r="AD9" i="36" s="1"/>
  <c r="BG11" i="50"/>
  <c r="AP11" i="50"/>
  <c r="AX11" i="50"/>
  <c r="BD11" i="50"/>
  <c r="BK11" i="50"/>
  <c r="AF11" i="50"/>
  <c r="BB11" i="50"/>
  <c r="AO11" i="50"/>
  <c r="AT8" i="36" s="1"/>
  <c r="AJ11" i="50"/>
  <c r="AH11" i="50"/>
  <c r="AM8" i="36" s="1"/>
  <c r="BI11" i="50"/>
  <c r="AR11" i="50"/>
  <c r="AI11" i="50"/>
  <c r="AN8" i="36" s="1"/>
  <c r="AU42" i="36"/>
  <c r="AT83" i="36"/>
  <c r="G5" i="47"/>
  <c r="F4" i="50" s="1"/>
  <c r="F4" i="57" s="1"/>
  <c r="AD8" i="36" l="1"/>
  <c r="AJ9" i="36"/>
  <c r="AI9" i="36"/>
  <c r="AS9" i="36"/>
  <c r="AE9" i="36"/>
  <c r="AM9" i="36"/>
  <c r="AG8" i="36"/>
  <c r="AN9" i="36"/>
  <c r="AH9" i="36"/>
  <c r="AR8" i="36"/>
  <c r="AF9" i="36"/>
  <c r="AT9" i="36"/>
  <c r="AV42" i="36"/>
  <c r="AU83" i="36"/>
  <c r="F5" i="47"/>
  <c r="E4" i="50" s="1"/>
  <c r="E4" i="57" s="1"/>
  <c r="U19" i="55"/>
  <c r="AW42" i="36" l="1"/>
  <c r="AV83" i="36"/>
  <c r="E5" i="47"/>
  <c r="D4" i="50" s="1"/>
  <c r="D4" i="57" s="1"/>
  <c r="A63" i="46"/>
  <c r="A64" i="46" s="1"/>
  <c r="A65" i="46" s="1"/>
  <c r="A66" i="46" s="1"/>
  <c r="A67" i="46" s="1"/>
  <c r="A68" i="46" s="1"/>
  <c r="B63" i="46"/>
  <c r="B64" i="46" s="1"/>
  <c r="B65" i="46" s="1"/>
  <c r="B66" i="46" s="1"/>
  <c r="B67" i="46" s="1"/>
  <c r="B68" i="46" s="1"/>
  <c r="C64" i="46"/>
  <c r="C65" i="46" s="1"/>
  <c r="C66" i="46" s="1"/>
  <c r="F64" i="46"/>
  <c r="F65" i="46" s="1"/>
  <c r="F66" i="46" s="1"/>
  <c r="F67" i="46" s="1"/>
  <c r="F68" i="46" s="1"/>
  <c r="F69" i="46" s="1"/>
  <c r="F70" i="46" s="1"/>
  <c r="F71" i="46" s="1"/>
  <c r="F72" i="46" s="1"/>
  <c r="F73" i="46" s="1"/>
  <c r="F74" i="46" s="1"/>
  <c r="F75" i="46" s="1"/>
  <c r="F76" i="46" s="1"/>
  <c r="F77" i="46" s="1"/>
  <c r="F78" i="46" s="1"/>
  <c r="F79" i="46" s="1"/>
  <c r="F80" i="46" s="1"/>
  <c r="F115" i="46"/>
  <c r="F116" i="46" s="1"/>
  <c r="F117" i="46" s="1"/>
  <c r="F118" i="46" s="1"/>
  <c r="F119" i="46" s="1"/>
  <c r="F120" i="46" s="1"/>
  <c r="F121" i="46" s="1"/>
  <c r="F122" i="46" s="1"/>
  <c r="F123" i="46" s="1"/>
  <c r="F124" i="46" s="1"/>
  <c r="F125" i="46" s="1"/>
  <c r="F126" i="46" s="1"/>
  <c r="F127" i="46" s="1"/>
  <c r="F128" i="46" s="1"/>
  <c r="F129" i="46" s="1"/>
  <c r="F130" i="46" s="1"/>
  <c r="C41" i="46"/>
  <c r="C42" i="46" s="1"/>
  <c r="C43" i="46" s="1"/>
  <c r="C44" i="46" s="1"/>
  <c r="C45" i="46" s="1"/>
  <c r="C46" i="46" s="1"/>
  <c r="C47" i="46" s="1"/>
  <c r="B41" i="46"/>
  <c r="A41" i="46"/>
  <c r="C25" i="46"/>
  <c r="C24" i="46"/>
  <c r="C23" i="46"/>
  <c r="C22" i="46"/>
  <c r="A18" i="46"/>
  <c r="D18" i="46"/>
  <c r="C18" i="46"/>
  <c r="AX42" i="36" l="1"/>
  <c r="AW83" i="36"/>
  <c r="B59" i="46"/>
  <c r="B60" i="46" s="1"/>
  <c r="B61" i="46" s="1"/>
  <c r="B42" i="46"/>
  <c r="B43" i="46" s="1"/>
  <c r="B44" i="46" s="1"/>
  <c r="B45" i="46" s="1"/>
  <c r="B46" i="46" s="1"/>
  <c r="B47" i="46" s="1"/>
  <c r="C54" i="46"/>
  <c r="C55" i="46" s="1"/>
  <c r="C56" i="46" s="1"/>
  <c r="C57" i="46" s="1"/>
  <c r="C58" i="46" s="1"/>
  <c r="C48" i="46"/>
  <c r="C49" i="46" s="1"/>
  <c r="C50" i="46" s="1"/>
  <c r="C51" i="46" s="1"/>
  <c r="C52" i="46" s="1"/>
  <c r="C53" i="46" s="1"/>
  <c r="A59" i="46"/>
  <c r="A60" i="46" s="1"/>
  <c r="A61" i="46" s="1"/>
  <c r="A42" i="46"/>
  <c r="A43" i="46" s="1"/>
  <c r="A44" i="46" s="1"/>
  <c r="A45" i="46" s="1"/>
  <c r="A46" i="46" s="1"/>
  <c r="A47" i="46" s="1"/>
  <c r="B29" i="46"/>
  <c r="B30" i="46" s="1"/>
  <c r="B31" i="46" s="1"/>
  <c r="B32" i="46" s="1"/>
  <c r="B33" i="46" s="1"/>
  <c r="B34" i="46" s="1"/>
  <c r="B62" i="46"/>
  <c r="A29" i="46"/>
  <c r="A30" i="46" s="1"/>
  <c r="A31" i="46" s="1"/>
  <c r="A32" i="46" s="1"/>
  <c r="A33" i="46" s="1"/>
  <c r="A34" i="46" s="1"/>
  <c r="A62" i="46"/>
  <c r="B69" i="46"/>
  <c r="B70" i="46" s="1"/>
  <c r="B71" i="46" s="1"/>
  <c r="B72" i="46" s="1"/>
  <c r="B73" i="46" s="1"/>
  <c r="B74" i="46" s="1"/>
  <c r="B75" i="46" s="1"/>
  <c r="B76" i="46" s="1"/>
  <c r="B77" i="46" s="1"/>
  <c r="B78" i="46" s="1"/>
  <c r="B79" i="46" s="1"/>
  <c r="B80" i="46" s="1"/>
  <c r="B81" i="46" s="1"/>
  <c r="B82" i="46" s="1"/>
  <c r="B83" i="46" s="1"/>
  <c r="B84" i="46" s="1"/>
  <c r="B85" i="46" s="1"/>
  <c r="B86" i="46" s="1"/>
  <c r="B87" i="46" s="1"/>
  <c r="B88" i="46" s="1"/>
  <c r="B89" i="46" s="1"/>
  <c r="B90" i="46" s="1"/>
  <c r="B91" i="46" s="1"/>
  <c r="B92" i="46" s="1"/>
  <c r="B93" i="46" s="1"/>
  <c r="B94" i="46" s="1"/>
  <c r="B95" i="46" s="1"/>
  <c r="B96" i="46" s="1"/>
  <c r="B97" i="46" s="1"/>
  <c r="B98" i="46" s="1"/>
  <c r="B99" i="46" s="1"/>
  <c r="B100" i="46" s="1"/>
  <c r="B101" i="46" s="1"/>
  <c r="B102" i="46" s="1"/>
  <c r="B103" i="46" s="1"/>
  <c r="B104" i="46" s="1"/>
  <c r="B105" i="46" s="1"/>
  <c r="B106" i="46" s="1"/>
  <c r="B107" i="46" s="1"/>
  <c r="B108" i="46" s="1"/>
  <c r="B109" i="46" s="1"/>
  <c r="B110" i="46" s="1"/>
  <c r="B111" i="46" s="1"/>
  <c r="B112" i="46" s="1"/>
  <c r="B113" i="46" s="1"/>
  <c r="B114" i="46" s="1"/>
  <c r="B115" i="46" s="1"/>
  <c r="B116" i="46" s="1"/>
  <c r="B117" i="46" s="1"/>
  <c r="B118" i="46" s="1"/>
  <c r="B119" i="46" s="1"/>
  <c r="B120" i="46" s="1"/>
  <c r="B121" i="46" s="1"/>
  <c r="B122" i="46" s="1"/>
  <c r="B123" i="46" s="1"/>
  <c r="B124" i="46" s="1"/>
  <c r="B125" i="46" s="1"/>
  <c r="B126" i="46" s="1"/>
  <c r="B127" i="46" s="1"/>
  <c r="B128" i="46" s="1"/>
  <c r="B129" i="46" s="1"/>
  <c r="B130" i="46" s="1"/>
  <c r="B35" i="46"/>
  <c r="B36" i="46" s="1"/>
  <c r="B37" i="46" s="1"/>
  <c r="B38" i="46" s="1"/>
  <c r="B39" i="46" s="1"/>
  <c r="B40" i="46" s="1"/>
  <c r="A69" i="46"/>
  <c r="A70" i="46" s="1"/>
  <c r="A71" i="46" s="1"/>
  <c r="A72" i="46" s="1"/>
  <c r="A73" i="46" s="1"/>
  <c r="A74" i="46" s="1"/>
  <c r="A75" i="46" s="1"/>
  <c r="A76" i="46" s="1"/>
  <c r="A77" i="46" s="1"/>
  <c r="A78" i="46" s="1"/>
  <c r="A79" i="46" s="1"/>
  <c r="A80" i="46" s="1"/>
  <c r="A81" i="46" s="1"/>
  <c r="A82" i="46" s="1"/>
  <c r="A83" i="46" s="1"/>
  <c r="A84" i="46" s="1"/>
  <c r="A85" i="46" s="1"/>
  <c r="A86" i="46" s="1"/>
  <c r="A87" i="46" s="1"/>
  <c r="A88" i="46" s="1"/>
  <c r="A89" i="46" s="1"/>
  <c r="A90" i="46" s="1"/>
  <c r="A91" i="46" s="1"/>
  <c r="A92" i="46" s="1"/>
  <c r="A93" i="46" s="1"/>
  <c r="A94" i="46" s="1"/>
  <c r="A95" i="46" s="1"/>
  <c r="A96" i="46" s="1"/>
  <c r="A97" i="46" s="1"/>
  <c r="A98" i="46" s="1"/>
  <c r="A99" i="46" s="1"/>
  <c r="A100" i="46" s="1"/>
  <c r="A101" i="46" s="1"/>
  <c r="A102" i="46" s="1"/>
  <c r="A103" i="46" s="1"/>
  <c r="A104" i="46" s="1"/>
  <c r="A105" i="46" s="1"/>
  <c r="A106" i="46" s="1"/>
  <c r="A107" i="46" s="1"/>
  <c r="A108" i="46" s="1"/>
  <c r="A109" i="46" s="1"/>
  <c r="A110" i="46" s="1"/>
  <c r="A111" i="46" s="1"/>
  <c r="A112" i="46" s="1"/>
  <c r="A113" i="46" s="1"/>
  <c r="A114" i="46" s="1"/>
  <c r="A115" i="46" s="1"/>
  <c r="A116" i="46" s="1"/>
  <c r="A117" i="46" s="1"/>
  <c r="A118" i="46" s="1"/>
  <c r="A119" i="46" s="1"/>
  <c r="A120" i="46" s="1"/>
  <c r="A121" i="46" s="1"/>
  <c r="A122" i="46" s="1"/>
  <c r="A123" i="46" s="1"/>
  <c r="A124" i="46" s="1"/>
  <c r="A125" i="46" s="1"/>
  <c r="A126" i="46" s="1"/>
  <c r="A127" i="46" s="1"/>
  <c r="A128" i="46" s="1"/>
  <c r="A129" i="46" s="1"/>
  <c r="A130" i="46" s="1"/>
  <c r="A35" i="46"/>
  <c r="A36" i="46" s="1"/>
  <c r="A37" i="46" s="1"/>
  <c r="A38" i="46" s="1"/>
  <c r="A39" i="46" s="1"/>
  <c r="A40" i="46" s="1"/>
  <c r="A19" i="46"/>
  <c r="A20" i="46" s="1"/>
  <c r="A21" i="46" s="1"/>
  <c r="C19" i="46"/>
  <c r="C27" i="46"/>
  <c r="A22" i="46"/>
  <c r="C26" i="46"/>
  <c r="D5" i="47"/>
  <c r="C4" i="50" s="1"/>
  <c r="C4" i="57" s="1"/>
  <c r="C67" i="46"/>
  <c r="AY42" i="36" l="1"/>
  <c r="AX83" i="36"/>
  <c r="A48" i="46"/>
  <c r="A49" i="46" s="1"/>
  <c r="A50" i="46" s="1"/>
  <c r="A51" i="46" s="1"/>
  <c r="A52" i="46" s="1"/>
  <c r="A53" i="46" s="1"/>
  <c r="A54" i="46"/>
  <c r="A55" i="46" s="1"/>
  <c r="A56" i="46" s="1"/>
  <c r="A57" i="46" s="1"/>
  <c r="A58" i="46" s="1"/>
  <c r="B54" i="46"/>
  <c r="B55" i="46" s="1"/>
  <c r="B56" i="46" s="1"/>
  <c r="B57" i="46" s="1"/>
  <c r="B58" i="46" s="1"/>
  <c r="B48" i="46"/>
  <c r="B49" i="46" s="1"/>
  <c r="B50" i="46" s="1"/>
  <c r="B51" i="46" s="1"/>
  <c r="B52" i="46" s="1"/>
  <c r="B53" i="46" s="1"/>
  <c r="A23" i="46"/>
  <c r="A7" i="58" s="1"/>
  <c r="A8" i="58" s="1"/>
  <c r="C68" i="46"/>
  <c r="AZ42" i="36" l="1"/>
  <c r="AY83" i="36"/>
  <c r="A24" i="46"/>
  <c r="C69" i="46"/>
  <c r="BA42" i="36" l="1"/>
  <c r="AZ83" i="36"/>
  <c r="A25" i="46"/>
  <c r="C70" i="46"/>
  <c r="BB42" i="36" l="1"/>
  <c r="BA83" i="36"/>
  <c r="A26" i="46"/>
  <c r="C71" i="46"/>
  <c r="BC42" i="36" l="1"/>
  <c r="BB83" i="36"/>
  <c r="A27" i="46"/>
  <c r="C72" i="46"/>
  <c r="BD42" i="36" l="1"/>
  <c r="BC83" i="36"/>
  <c r="C73" i="46"/>
  <c r="BE42" i="36" l="1"/>
  <c r="BD83" i="36"/>
  <c r="C74" i="46"/>
  <c r="BF42" i="36" l="1"/>
  <c r="BE83" i="36"/>
  <c r="C75" i="46"/>
  <c r="BG42" i="36" l="1"/>
  <c r="BF83" i="36"/>
  <c r="C76" i="46"/>
  <c r="BH42" i="36" l="1"/>
  <c r="BG83" i="36"/>
  <c r="C77" i="46"/>
  <c r="BI42" i="36" l="1"/>
  <c r="BH83" i="36"/>
  <c r="C78" i="46"/>
  <c r="BJ42" i="36" l="1"/>
  <c r="BI83" i="36"/>
  <c r="C79" i="46"/>
  <c r="BK42" i="36" l="1"/>
  <c r="BJ83" i="36"/>
  <c r="C80" i="46"/>
  <c r="BL42" i="36" l="1"/>
  <c r="BK83" i="36"/>
  <c r="D61" i="45"/>
  <c r="D62" i="45"/>
  <c r="D63" i="45"/>
  <c r="D65" i="45"/>
  <c r="BM42" i="36" l="1"/>
  <c r="BL83" i="36"/>
  <c r="AL32" i="50"/>
  <c r="AL53" i="50" s="1"/>
  <c r="BE32" i="50"/>
  <c r="BE53" i="50" s="1"/>
  <c r="AW32" i="50"/>
  <c r="AW53" i="50" s="1"/>
  <c r="AF32" i="50"/>
  <c r="AF53" i="50" s="1"/>
  <c r="BH32" i="50"/>
  <c r="BH53" i="50" s="1"/>
  <c r="BD32" i="50"/>
  <c r="BD53" i="50" s="1"/>
  <c r="AZ32" i="50"/>
  <c r="AZ53" i="50" s="1"/>
  <c r="AV32" i="50"/>
  <c r="AV53" i="50" s="1"/>
  <c r="AR32" i="50"/>
  <c r="AR53" i="50" s="1"/>
  <c r="AK32" i="50"/>
  <c r="AK53" i="50" s="1"/>
  <c r="BA32" i="50"/>
  <c r="BA53" i="50" s="1"/>
  <c r="BG32" i="50"/>
  <c r="BG53" i="50" s="1"/>
  <c r="AY32" i="50"/>
  <c r="AY53" i="50" s="1"/>
  <c r="AU32" i="50"/>
  <c r="AU53" i="50" s="1"/>
  <c r="AQ32" i="50"/>
  <c r="AQ53" i="50" s="1"/>
  <c r="AJ32" i="50"/>
  <c r="AJ53" i="50" s="1"/>
  <c r="BI32" i="50"/>
  <c r="BI53" i="50" s="1"/>
  <c r="AS32" i="50"/>
  <c r="AS53" i="50" s="1"/>
  <c r="BK32" i="50"/>
  <c r="BK53" i="50" s="1"/>
  <c r="BC32" i="50"/>
  <c r="BC53" i="50" s="1"/>
  <c r="BJ32" i="50"/>
  <c r="BJ53" i="50" s="1"/>
  <c r="BF32" i="50"/>
  <c r="BF53" i="50" s="1"/>
  <c r="BB32" i="50"/>
  <c r="BB53" i="50" s="1"/>
  <c r="AX32" i="50"/>
  <c r="AX53" i="50" s="1"/>
  <c r="AT32" i="50"/>
  <c r="AT53" i="50" s="1"/>
  <c r="AP32" i="50"/>
  <c r="AP53" i="50" s="1"/>
  <c r="AG32" i="50"/>
  <c r="AG53" i="50" s="1"/>
  <c r="BN42" i="36" l="1"/>
  <c r="BM83" i="36"/>
  <c r="BF40" i="50"/>
  <c r="BD40" i="50"/>
  <c r="AP40" i="50"/>
  <c r="AJ40" i="50"/>
  <c r="AK40" i="50"/>
  <c r="AG40" i="50"/>
  <c r="AT40" i="50"/>
  <c r="BB40" i="50"/>
  <c r="BE40" i="50"/>
  <c r="AU40" i="50"/>
  <c r="AY40" i="50"/>
  <c r="BK40" i="50"/>
  <c r="AL40" i="50"/>
  <c r="AW40" i="50"/>
  <c r="AX40" i="50"/>
  <c r="BH40" i="50"/>
  <c r="AV40" i="50"/>
  <c r="BJ40" i="50"/>
  <c r="BG40" i="50"/>
  <c r="BI40" i="50"/>
  <c r="AQ40" i="50"/>
  <c r="BC40" i="50"/>
  <c r="AF40" i="50"/>
  <c r="AR40" i="50"/>
  <c r="AZ40" i="50"/>
  <c r="BA40" i="50"/>
  <c r="AS40" i="50"/>
  <c r="AY17" i="36"/>
  <c r="AY18" i="36"/>
  <c r="BP18" i="36"/>
  <c r="BP17" i="36"/>
  <c r="AV18" i="36"/>
  <c r="AV17" i="36"/>
  <c r="BF18" i="36"/>
  <c r="BF17" i="36"/>
  <c r="BE17" i="36"/>
  <c r="BE18" i="36"/>
  <c r="BB17" i="36"/>
  <c r="BB18" i="36"/>
  <c r="AU17" i="36"/>
  <c r="AU18" i="36"/>
  <c r="BC18" i="36"/>
  <c r="BC17" i="36"/>
  <c r="BK18" i="36"/>
  <c r="BK17" i="36"/>
  <c r="BH17" i="36"/>
  <c r="BH18" i="36"/>
  <c r="AX18" i="36"/>
  <c r="AX17" i="36"/>
  <c r="AO17" i="36"/>
  <c r="AO18" i="36"/>
  <c r="AZ18" i="36"/>
  <c r="AZ17" i="36"/>
  <c r="BL18" i="36"/>
  <c r="BL17" i="36"/>
  <c r="AP18" i="36"/>
  <c r="AP17" i="36"/>
  <c r="BA18" i="36"/>
  <c r="BA17" i="36"/>
  <c r="BI18" i="36"/>
  <c r="BI17" i="36"/>
  <c r="AK18" i="36"/>
  <c r="AK17" i="36"/>
  <c r="BJ17" i="36"/>
  <c r="BJ18" i="36"/>
  <c r="AL17" i="36"/>
  <c r="AL18" i="36"/>
  <c r="BG17" i="36"/>
  <c r="BG18" i="36"/>
  <c r="BO17" i="36"/>
  <c r="BO18" i="36"/>
  <c r="BN17" i="36"/>
  <c r="BN18" i="36"/>
  <c r="BD17" i="36"/>
  <c r="BD18" i="36"/>
  <c r="AW17" i="36"/>
  <c r="AW18" i="36"/>
  <c r="BM17" i="36"/>
  <c r="BM18" i="36"/>
  <c r="AQ18" i="36"/>
  <c r="AQ17" i="36"/>
  <c r="E36" i="45"/>
  <c r="E37" i="45" s="1"/>
  <c r="E38" i="45" s="1"/>
  <c r="E39" i="45" s="1"/>
  <c r="E40" i="45" s="1"/>
  <c r="BF9" i="50" l="1"/>
  <c r="BK10" i="36" s="1"/>
  <c r="AK9" i="50"/>
  <c r="AP10" i="36" s="1"/>
  <c r="AG9" i="50"/>
  <c r="AL10" i="36" s="1"/>
  <c r="BB9" i="50"/>
  <c r="BG10" i="36" s="1"/>
  <c r="AW9" i="50"/>
  <c r="BB10" i="36" s="1"/>
  <c r="AZ9" i="50"/>
  <c r="BE10" i="36" s="1"/>
  <c r="BA9" i="50"/>
  <c r="BF10" i="36" s="1"/>
  <c r="AQ9" i="50"/>
  <c r="AV10" i="36" s="1"/>
  <c r="BJ9" i="50"/>
  <c r="BO10" i="36" s="1"/>
  <c r="BD9" i="50"/>
  <c r="BI10" i="36" s="1"/>
  <c r="BC9" i="50"/>
  <c r="BH10" i="36" s="1"/>
  <c r="BI9" i="50"/>
  <c r="BN10" i="36" s="1"/>
  <c r="AP9" i="50"/>
  <c r="AU10" i="36" s="1"/>
  <c r="AF9" i="50"/>
  <c r="AK10" i="36" s="1"/>
  <c r="AV9" i="50"/>
  <c r="BA10" i="36" s="1"/>
  <c r="BG9" i="50"/>
  <c r="BL10" i="36" s="1"/>
  <c r="AJ9" i="50"/>
  <c r="AO10" i="36" s="1"/>
  <c r="AX9" i="50"/>
  <c r="BC10" i="36" s="1"/>
  <c r="BE9" i="50"/>
  <c r="BJ10" i="36" s="1"/>
  <c r="AU9" i="50"/>
  <c r="AZ10" i="36" s="1"/>
  <c r="AS9" i="50"/>
  <c r="AX10" i="36" s="1"/>
  <c r="AL9" i="50"/>
  <c r="AQ10" i="36" s="1"/>
  <c r="BH9" i="50"/>
  <c r="BM10" i="36" s="1"/>
  <c r="AR9" i="50"/>
  <c r="AW10" i="36" s="1"/>
  <c r="AY9" i="50"/>
  <c r="BD10" i="36" s="1"/>
  <c r="BK9" i="50"/>
  <c r="BP10" i="36" s="1"/>
  <c r="AT9" i="50"/>
  <c r="AY10" i="36" s="1"/>
  <c r="BO42" i="36"/>
  <c r="BN83" i="36"/>
  <c r="BI51" i="50"/>
  <c r="AF51" i="50"/>
  <c r="BG51" i="50"/>
  <c r="AX51" i="50"/>
  <c r="AL51" i="50"/>
  <c r="AR51" i="50"/>
  <c r="BK51" i="50"/>
  <c r="BF51" i="50"/>
  <c r="BE51" i="50"/>
  <c r="BD51" i="50"/>
  <c r="AK51" i="50"/>
  <c r="AU51" i="50"/>
  <c r="BC51" i="50"/>
  <c r="AG51" i="50"/>
  <c r="AP51" i="50"/>
  <c r="AV51" i="50"/>
  <c r="AJ51" i="50"/>
  <c r="AS51" i="50"/>
  <c r="BH51" i="50"/>
  <c r="AY51" i="50"/>
  <c r="AT51" i="50"/>
  <c r="BB51" i="50"/>
  <c r="AW51" i="50"/>
  <c r="AZ51" i="50"/>
  <c r="BA51" i="50"/>
  <c r="AQ51" i="50"/>
  <c r="BJ51" i="50"/>
  <c r="AQ6" i="50"/>
  <c r="E29" i="45"/>
  <c r="E30" i="45" s="1"/>
  <c r="E31" i="45" s="1"/>
  <c r="E32" i="45" s="1"/>
  <c r="E33" i="45" s="1"/>
  <c r="AX10" i="50" l="1"/>
  <c r="BC9" i="36" s="1"/>
  <c r="AW10" i="50"/>
  <c r="BB8" i="36" s="1"/>
  <c r="BJ10" i="50"/>
  <c r="BO8" i="36" s="1"/>
  <c r="AJ10" i="50"/>
  <c r="AO8" i="36" s="1"/>
  <c r="BP42" i="36"/>
  <c r="BP83" i="36" s="1"/>
  <c r="BO83" i="36"/>
  <c r="AY10" i="50"/>
  <c r="BD8" i="36" s="1"/>
  <c r="BH10" i="50"/>
  <c r="BM9" i="36" s="1"/>
  <c r="AS10" i="50"/>
  <c r="AX8" i="36" s="1"/>
  <c r="BB10" i="50"/>
  <c r="AU10" i="50"/>
  <c r="AT10" i="50"/>
  <c r="AK10" i="50"/>
  <c r="AV10" i="50"/>
  <c r="BD10" i="50"/>
  <c r="BF10" i="50"/>
  <c r="AG10" i="50"/>
  <c r="AQ10" i="50"/>
  <c r="BE10" i="50"/>
  <c r="BI10" i="50"/>
  <c r="AZ10" i="50"/>
  <c r="BG10" i="50"/>
  <c r="AP10" i="50"/>
  <c r="BC10" i="50"/>
  <c r="BA10" i="50"/>
  <c r="AL10" i="50"/>
  <c r="BK10" i="50"/>
  <c r="AF10" i="50"/>
  <c r="AR10" i="50"/>
  <c r="BA13" i="55"/>
  <c r="BA32" i="55"/>
  <c r="AW13" i="55"/>
  <c r="AW32" i="55"/>
  <c r="AS13" i="55"/>
  <c r="AS32" i="55"/>
  <c r="AO13" i="55"/>
  <c r="AO32" i="55"/>
  <c r="AK13" i="55"/>
  <c r="AK32" i="55"/>
  <c r="AG13" i="55"/>
  <c r="AG32" i="55"/>
  <c r="AC13" i="55"/>
  <c r="AC32" i="55"/>
  <c r="Y32" i="55"/>
  <c r="AV32" i="55"/>
  <c r="AV13" i="55"/>
  <c r="AR32" i="55"/>
  <c r="AR13" i="55"/>
  <c r="AN32" i="55"/>
  <c r="AN13" i="55"/>
  <c r="AJ32" i="55"/>
  <c r="AJ13" i="55"/>
  <c r="AF32" i="55"/>
  <c r="AF13" i="55"/>
  <c r="AB32" i="55"/>
  <c r="AB13" i="55"/>
  <c r="X32" i="55"/>
  <c r="AY13" i="55"/>
  <c r="AY32" i="55"/>
  <c r="AU13" i="55"/>
  <c r="AU32" i="55"/>
  <c r="AQ13" i="55"/>
  <c r="AQ32" i="55"/>
  <c r="AM13" i="55"/>
  <c r="AM32" i="55"/>
  <c r="AI13" i="55"/>
  <c r="AI32" i="55"/>
  <c r="AE32" i="55"/>
  <c r="AA13" i="55"/>
  <c r="AA32" i="55"/>
  <c r="W13" i="55"/>
  <c r="W32" i="55"/>
  <c r="AZ32" i="55"/>
  <c r="AZ13" i="55"/>
  <c r="AX13" i="55"/>
  <c r="AX32" i="55"/>
  <c r="AT13" i="55"/>
  <c r="AT32" i="55"/>
  <c r="AP13" i="55"/>
  <c r="AP32" i="55"/>
  <c r="AL13" i="55"/>
  <c r="AL32" i="55"/>
  <c r="AH13" i="55"/>
  <c r="AH32" i="55"/>
  <c r="AD13" i="55"/>
  <c r="AD32" i="55"/>
  <c r="Z13" i="55"/>
  <c r="Z32" i="55"/>
  <c r="V19" i="55"/>
  <c r="V32" i="55"/>
  <c r="BC8" i="36" l="1"/>
  <c r="BB9" i="36"/>
  <c r="BO9" i="36"/>
  <c r="AO9" i="36"/>
  <c r="BD9" i="36"/>
  <c r="BM8" i="36"/>
  <c r="AX9" i="36"/>
  <c r="AU9" i="36"/>
  <c r="AU8" i="36"/>
  <c r="BI8" i="36"/>
  <c r="BI9" i="36"/>
  <c r="AQ8" i="36"/>
  <c r="AQ9" i="36"/>
  <c r="BL9" i="36"/>
  <c r="BL8" i="36"/>
  <c r="AV9" i="36"/>
  <c r="AV8" i="36"/>
  <c r="BA8" i="36"/>
  <c r="BA9" i="36"/>
  <c r="AW8" i="36"/>
  <c r="AW9" i="36"/>
  <c r="BF8" i="36"/>
  <c r="BF9" i="36"/>
  <c r="BE9" i="36"/>
  <c r="BE8" i="36"/>
  <c r="AL8" i="36"/>
  <c r="AL9" i="36"/>
  <c r="AP8" i="36"/>
  <c r="AP9" i="36"/>
  <c r="BP9" i="36"/>
  <c r="BP8" i="36"/>
  <c r="BJ8" i="36"/>
  <c r="BJ9" i="36"/>
  <c r="AZ9" i="36"/>
  <c r="AZ8" i="36"/>
  <c r="AK9" i="36"/>
  <c r="AK8" i="36"/>
  <c r="BH9" i="36"/>
  <c r="BH8" i="36"/>
  <c r="BN8" i="36"/>
  <c r="BN9" i="36"/>
  <c r="BK9" i="36"/>
  <c r="BK8" i="36"/>
  <c r="AY8" i="36"/>
  <c r="AY9" i="36"/>
  <c r="BG8" i="36"/>
  <c r="BG9" i="36"/>
  <c r="AE13" i="55"/>
  <c r="Y13" i="55"/>
  <c r="X13" i="55"/>
  <c r="V13" i="55"/>
  <c r="AO7" i="55"/>
  <c r="AQ7" i="55"/>
  <c r="AF7" i="55"/>
  <c r="AV7" i="55"/>
  <c r="AC7" i="55"/>
  <c r="AS7" i="55"/>
  <c r="AT7" i="55"/>
  <c r="AZ7" i="55"/>
  <c r="AM7" i="55"/>
  <c r="AB7" i="55"/>
  <c r="AR7" i="55"/>
  <c r="V7" i="55"/>
  <c r="AH7" i="55"/>
  <c r="AX7" i="55"/>
  <c r="AA7" i="55"/>
  <c r="AL7" i="55"/>
  <c r="AE7" i="55"/>
  <c r="AU7" i="55"/>
  <c r="X7" i="55"/>
  <c r="AJ7" i="55"/>
  <c r="AG7" i="55"/>
  <c r="AW7" i="55"/>
  <c r="AD7" i="55"/>
  <c r="Z7" i="55"/>
  <c r="AP7" i="55"/>
  <c r="W7" i="55"/>
  <c r="AI7" i="55"/>
  <c r="AY7" i="55"/>
  <c r="AN7" i="55"/>
  <c r="Y7" i="55"/>
  <c r="AK7" i="55"/>
  <c r="BA7" i="55"/>
  <c r="AH38" i="55"/>
  <c r="AX38" i="55"/>
  <c r="AA38" i="55"/>
  <c r="AQ38" i="55"/>
  <c r="X38" i="55"/>
  <c r="AN38" i="55"/>
  <c r="Y38" i="55"/>
  <c r="AO38" i="55"/>
  <c r="V38" i="55"/>
  <c r="AL38" i="55"/>
  <c r="AZ38" i="55"/>
  <c r="AE38" i="55"/>
  <c r="AU38" i="55"/>
  <c r="AB38" i="55"/>
  <c r="AR38" i="55"/>
  <c r="AC38" i="55"/>
  <c r="AS38" i="55"/>
  <c r="Z38" i="55"/>
  <c r="AP38" i="55"/>
  <c r="AI38" i="55"/>
  <c r="AY38" i="55"/>
  <c r="AF38" i="55"/>
  <c r="AV38" i="55"/>
  <c r="AG38" i="55"/>
  <c r="AW38" i="55"/>
  <c r="AD38" i="55"/>
  <c r="AT38" i="55"/>
  <c r="W38" i="55"/>
  <c r="AM38" i="55"/>
  <c r="AJ38" i="55"/>
  <c r="AK38" i="55"/>
  <c r="BA38" i="55"/>
  <c r="Z19" i="55"/>
  <c r="AE19" i="55"/>
  <c r="AM19" i="55"/>
  <c r="AU19" i="55"/>
  <c r="X19" i="55"/>
  <c r="AG19" i="55"/>
  <c r="AO19" i="55"/>
  <c r="AW19" i="55"/>
  <c r="AD19" i="55"/>
  <c r="AT19" i="55"/>
  <c r="AZ19" i="55"/>
  <c r="AF19" i="55"/>
  <c r="AN19" i="55"/>
  <c r="AV19" i="55"/>
  <c r="AA19" i="55"/>
  <c r="AI19" i="55"/>
  <c r="AQ19" i="55"/>
  <c r="AY19" i="55"/>
  <c r="AC19" i="55"/>
  <c r="AK19" i="55"/>
  <c r="AS19" i="55"/>
  <c r="BA19" i="55"/>
  <c r="AP19" i="55"/>
  <c r="AX19" i="55"/>
  <c r="W19" i="55"/>
  <c r="AB19" i="55"/>
  <c r="AJ19" i="55"/>
  <c r="AR19" i="55"/>
  <c r="Y19" i="55"/>
  <c r="AL25" i="55"/>
  <c r="AR25" i="55"/>
  <c r="AL19" i="55"/>
  <c r="AA25" i="55"/>
  <c r="AI25" i="55"/>
  <c r="AQ25" i="55"/>
  <c r="AY25" i="55"/>
  <c r="X25" i="55"/>
  <c r="AD25" i="55"/>
  <c r="AT25" i="55"/>
  <c r="AB25" i="55"/>
  <c r="AJ25" i="55"/>
  <c r="AG25" i="55"/>
  <c r="AW25" i="55"/>
  <c r="Z25" i="55"/>
  <c r="AH25" i="55"/>
  <c r="AP25" i="55"/>
  <c r="AX25" i="55"/>
  <c r="AZ25" i="55"/>
  <c r="W25" i="55"/>
  <c r="AF25" i="55"/>
  <c r="AN25" i="55"/>
  <c r="AV25" i="55"/>
  <c r="AC25" i="55"/>
  <c r="AK25" i="55"/>
  <c r="AS25" i="55"/>
  <c r="BA25" i="55"/>
  <c r="AO25" i="55"/>
  <c r="V25" i="55"/>
  <c r="AH19" i="55"/>
  <c r="AE25" i="55"/>
  <c r="AM25" i="55"/>
  <c r="AU25" i="55"/>
  <c r="Y25" i="55"/>
  <c r="AF26" i="50"/>
  <c r="AN26" i="50"/>
  <c r="AR30" i="50"/>
  <c r="BD26" i="50"/>
  <c r="AF35" i="50"/>
  <c r="AF7" i="50"/>
  <c r="AJ26" i="50"/>
  <c r="AN30" i="50"/>
  <c r="AR26" i="50"/>
  <c r="AV30" i="50"/>
  <c r="AZ26" i="50"/>
  <c r="BD30" i="50"/>
  <c r="BH26" i="50"/>
  <c r="AO35" i="50"/>
  <c r="AO7" i="50"/>
  <c r="AW35" i="50"/>
  <c r="AW7" i="50"/>
  <c r="BE35" i="50"/>
  <c r="BE7" i="50"/>
  <c r="AH7" i="50"/>
  <c r="AL30" i="50"/>
  <c r="AL26" i="50"/>
  <c r="AT30" i="50"/>
  <c r="AT26" i="50"/>
  <c r="BB30" i="50"/>
  <c r="BB26" i="50"/>
  <c r="AI35" i="50"/>
  <c r="AQ30" i="50"/>
  <c r="AQ7" i="50"/>
  <c r="AY30" i="50"/>
  <c r="AY7" i="50"/>
  <c r="BG30" i="50"/>
  <c r="BG7" i="50"/>
  <c r="AN7" i="50"/>
  <c r="AV35" i="50"/>
  <c r="AV7" i="50"/>
  <c r="BD35" i="50"/>
  <c r="BD7" i="50"/>
  <c r="BJ7" i="50"/>
  <c r="AG26" i="50"/>
  <c r="AK30" i="50"/>
  <c r="AO26" i="50"/>
  <c r="AS30" i="50"/>
  <c r="AW26" i="50"/>
  <c r="BA30" i="50"/>
  <c r="BE26" i="50"/>
  <c r="BI30" i="50"/>
  <c r="AH30" i="50"/>
  <c r="AL35" i="50"/>
  <c r="AP7" i="50"/>
  <c r="AT35" i="50"/>
  <c r="AX7" i="50"/>
  <c r="BB35" i="50"/>
  <c r="BF7" i="50"/>
  <c r="AI26" i="50"/>
  <c r="AQ35" i="50"/>
  <c r="AQ26" i="50"/>
  <c r="AY35" i="50"/>
  <c r="AY26" i="50"/>
  <c r="BG35" i="50"/>
  <c r="BG26" i="50"/>
  <c r="AZ30" i="50"/>
  <c r="BJ30" i="50"/>
  <c r="BJ26" i="50"/>
  <c r="AG30" i="50"/>
  <c r="AK35" i="50"/>
  <c r="AK7" i="50"/>
  <c r="AS35" i="50"/>
  <c r="AS7" i="50"/>
  <c r="BA35" i="50"/>
  <c r="BA7" i="50"/>
  <c r="BI35" i="50"/>
  <c r="BI7" i="50"/>
  <c r="AH35" i="50"/>
  <c r="AH26" i="50"/>
  <c r="AP30" i="50"/>
  <c r="AP26" i="50"/>
  <c r="AX30" i="50"/>
  <c r="AX26" i="50"/>
  <c r="BF30" i="50"/>
  <c r="BF26" i="50"/>
  <c r="AM30" i="50"/>
  <c r="AM7" i="50"/>
  <c r="AU30" i="50"/>
  <c r="AU7" i="50"/>
  <c r="BC30" i="50"/>
  <c r="BC7" i="50"/>
  <c r="BK30" i="50"/>
  <c r="BK7" i="50"/>
  <c r="AN35" i="50"/>
  <c r="AJ30" i="50"/>
  <c r="AV26" i="50"/>
  <c r="BH30" i="50"/>
  <c r="AF30" i="50"/>
  <c r="AJ35" i="50"/>
  <c r="AJ7" i="50"/>
  <c r="AR35" i="50"/>
  <c r="AR7" i="50"/>
  <c r="AZ35" i="50"/>
  <c r="AZ7" i="50"/>
  <c r="BH35" i="50"/>
  <c r="BH7" i="50"/>
  <c r="BJ35" i="50"/>
  <c r="AG35" i="50"/>
  <c r="AG7" i="50"/>
  <c r="AK26" i="50"/>
  <c r="AO30" i="50"/>
  <c r="AS26" i="50"/>
  <c r="AW30" i="50"/>
  <c r="BA26" i="50"/>
  <c r="BE30" i="50"/>
  <c r="BI26" i="50"/>
  <c r="AL7" i="50"/>
  <c r="AP35" i="50"/>
  <c r="AT7" i="50"/>
  <c r="AX35" i="50"/>
  <c r="BB7" i="50"/>
  <c r="BF35" i="50"/>
  <c r="AI30" i="50"/>
  <c r="AI7" i="50"/>
  <c r="AM35" i="50"/>
  <c r="AM26" i="50"/>
  <c r="AU35" i="50"/>
  <c r="AU26" i="50"/>
  <c r="BC35" i="50"/>
  <c r="BC26" i="50"/>
  <c r="BK35" i="50"/>
  <c r="BK26" i="50"/>
  <c r="B52" i="45" l="1"/>
  <c r="B49" i="45"/>
  <c r="B43" i="45"/>
  <c r="B65" i="45" s="1"/>
  <c r="E194" i="33"/>
  <c r="E82" i="36"/>
  <c r="C83" i="36"/>
  <c r="C84" i="36" s="1"/>
  <c r="C85" i="36" s="1"/>
  <c r="E85" i="36" s="1"/>
  <c r="C172" i="34"/>
  <c r="C173" i="34" s="1"/>
  <c r="C174" i="34" s="1"/>
  <c r="C175" i="34" s="1"/>
  <c r="C176" i="34" s="1"/>
  <c r="C177" i="34" s="1"/>
  <c r="C178" i="34" s="1"/>
  <c r="C179" i="34" s="1"/>
  <c r="C180" i="34" s="1"/>
  <c r="C181" i="34" s="1"/>
  <c r="C182" i="34" s="1"/>
  <c r="C183" i="34" s="1"/>
  <c r="C184" i="34" s="1"/>
  <c r="C185" i="34" s="1"/>
  <c r="C186" i="34" s="1"/>
  <c r="C187" i="34" s="1"/>
  <c r="F204" i="33"/>
  <c r="F205" i="33" s="1"/>
  <c r="F206" i="33" s="1"/>
  <c r="F207" i="33" s="1"/>
  <c r="F208" i="33" s="1"/>
  <c r="F209" i="33" s="1"/>
  <c r="F210" i="33" s="1"/>
  <c r="F211" i="33" s="1"/>
  <c r="F212" i="33" s="1"/>
  <c r="F213" i="33" s="1"/>
  <c r="F214" i="33" s="1"/>
  <c r="F215" i="33" s="1"/>
  <c r="F216" i="33" s="1"/>
  <c r="F217" i="33" s="1"/>
  <c r="F218" i="33" s="1"/>
  <c r="F219" i="33" s="1"/>
  <c r="F220" i="33" s="1"/>
  <c r="F221" i="33" s="1"/>
  <c r="E204" i="33"/>
  <c r="C205" i="33"/>
  <c r="E205" i="33" s="1"/>
  <c r="E203" i="33"/>
  <c r="A203" i="33"/>
  <c r="A204" i="33" s="1"/>
  <c r="A205" i="33" s="1"/>
  <c r="A206" i="33" s="1"/>
  <c r="A207" i="33" s="1"/>
  <c r="A208" i="33" s="1"/>
  <c r="A209" i="33" s="1"/>
  <c r="A210" i="33" s="1"/>
  <c r="A211" i="33" s="1"/>
  <c r="A212" i="33" s="1"/>
  <c r="A213" i="33" s="1"/>
  <c r="A214" i="33" s="1"/>
  <c r="A215" i="33" s="1"/>
  <c r="A216" i="33" s="1"/>
  <c r="A217" i="33" s="1"/>
  <c r="A218" i="33" s="1"/>
  <c r="A219" i="33" s="1"/>
  <c r="A220" i="33" s="1"/>
  <c r="A221" i="33" s="1"/>
  <c r="B203" i="33"/>
  <c r="B204" i="33" s="1"/>
  <c r="B205" i="33" s="1"/>
  <c r="B206" i="33" s="1"/>
  <c r="B207" i="33" s="1"/>
  <c r="B208" i="33" s="1"/>
  <c r="B209" i="33" s="1"/>
  <c r="B210" i="33" s="1"/>
  <c r="B211" i="33" s="1"/>
  <c r="B212" i="33" s="1"/>
  <c r="B213" i="33" s="1"/>
  <c r="B214" i="33" s="1"/>
  <c r="B215" i="33" s="1"/>
  <c r="B216" i="33" s="1"/>
  <c r="B217" i="33" s="1"/>
  <c r="B218" i="33" s="1"/>
  <c r="B219" i="33" s="1"/>
  <c r="B220" i="33" s="1"/>
  <c r="B221" i="33" s="1"/>
  <c r="C156" i="34"/>
  <c r="C157" i="34" s="1"/>
  <c r="C158" i="34" s="1"/>
  <c r="C159" i="34" s="1"/>
  <c r="C160" i="34" s="1"/>
  <c r="C161" i="34" s="1"/>
  <c r="C162" i="34" s="1"/>
  <c r="C163" i="34" s="1"/>
  <c r="C164" i="34" s="1"/>
  <c r="C165" i="34" s="1"/>
  <c r="C166" i="34" s="1"/>
  <c r="C167" i="34" s="1"/>
  <c r="C168" i="34" s="1"/>
  <c r="C169" i="34" s="1"/>
  <c r="C170" i="34" s="1"/>
  <c r="C171" i="34" s="1"/>
  <c r="B156" i="34"/>
  <c r="B157" i="34" s="1"/>
  <c r="B158" i="34" s="1"/>
  <c r="B159" i="34" s="1"/>
  <c r="B160" i="34" s="1"/>
  <c r="B161" i="34" s="1"/>
  <c r="B162" i="34" s="1"/>
  <c r="B163" i="34" s="1"/>
  <c r="B164" i="34" s="1"/>
  <c r="B165" i="34" s="1"/>
  <c r="B166" i="34" s="1"/>
  <c r="B167" i="34" s="1"/>
  <c r="B168" i="34" s="1"/>
  <c r="B169" i="34" s="1"/>
  <c r="B170" i="34" s="1"/>
  <c r="B171" i="34" s="1"/>
  <c r="B172" i="34" s="1"/>
  <c r="B173" i="34" s="1"/>
  <c r="B174" i="34" s="1"/>
  <c r="B175" i="34" s="1"/>
  <c r="B176" i="34" s="1"/>
  <c r="B177" i="34" s="1"/>
  <c r="B178" i="34" s="1"/>
  <c r="B179" i="34" s="1"/>
  <c r="B180" i="34" s="1"/>
  <c r="B181" i="34" s="1"/>
  <c r="B182" i="34" s="1"/>
  <c r="B183" i="34" s="1"/>
  <c r="B184" i="34" s="1"/>
  <c r="B185" i="34" s="1"/>
  <c r="B186" i="34" s="1"/>
  <c r="B187" i="34" s="1"/>
  <c r="D140" i="34"/>
  <c r="D141" i="34"/>
  <c r="D142" i="34"/>
  <c r="D139" i="34"/>
  <c r="C139" i="34"/>
  <c r="C135" i="34"/>
  <c r="E135" i="34" s="1"/>
  <c r="B135" i="34"/>
  <c r="B136" i="34" s="1"/>
  <c r="B137" i="34" s="1"/>
  <c r="B138" i="34" s="1"/>
  <c r="B139" i="34" s="1"/>
  <c r="B140" i="34" s="1"/>
  <c r="B141" i="34" s="1"/>
  <c r="B142" i="34" s="1"/>
  <c r="B143" i="34" s="1"/>
  <c r="E200" i="33"/>
  <c r="C201" i="33"/>
  <c r="E201" i="33" s="1"/>
  <c r="G197" i="33"/>
  <c r="G198" i="33" s="1"/>
  <c r="G199" i="33" s="1"/>
  <c r="F197" i="33"/>
  <c r="F198" i="33" s="1"/>
  <c r="F199" i="33" s="1"/>
  <c r="F200" i="33" s="1"/>
  <c r="F201" i="33" s="1"/>
  <c r="E199" i="33"/>
  <c r="E198" i="33"/>
  <c r="E197" i="33"/>
  <c r="E196" i="33"/>
  <c r="B196" i="33"/>
  <c r="B197" i="33" s="1"/>
  <c r="B198" i="33" s="1"/>
  <c r="B199" i="33" s="1"/>
  <c r="B200" i="33" s="1"/>
  <c r="B201" i="33" s="1"/>
  <c r="A196" i="33"/>
  <c r="A197" i="33" s="1"/>
  <c r="A198" i="33" s="1"/>
  <c r="A199" i="33" s="1"/>
  <c r="A200" i="33" s="1"/>
  <c r="A201" i="33" s="1"/>
  <c r="C54" i="45"/>
  <c r="C53" i="45"/>
  <c r="B53" i="45"/>
  <c r="B54" i="45" s="1"/>
  <c r="C51" i="45"/>
  <c r="C50" i="45"/>
  <c r="B50" i="45"/>
  <c r="B51" i="45" s="1"/>
  <c r="C46" i="45"/>
  <c r="C47" i="45"/>
  <c r="C48" i="45"/>
  <c r="E45" i="45"/>
  <c r="E46" i="45" s="1"/>
  <c r="E47" i="45" s="1"/>
  <c r="E48" i="45" s="1"/>
  <c r="E50" i="45" s="1"/>
  <c r="E51" i="45" s="1"/>
  <c r="D45" i="45"/>
  <c r="D46" i="45" s="1"/>
  <c r="D47" i="45" s="1"/>
  <c r="D48" i="45" s="1"/>
  <c r="D50" i="45" s="1"/>
  <c r="D51" i="45" s="1"/>
  <c r="C45" i="45"/>
  <c r="C44" i="45"/>
  <c r="B44" i="45"/>
  <c r="E42" i="45"/>
  <c r="D42" i="45"/>
  <c r="B42" i="45"/>
  <c r="B41" i="45"/>
  <c r="G89" i="34"/>
  <c r="G91" i="34" s="1"/>
  <c r="G92" i="34" s="1"/>
  <c r="G93" i="34" s="1"/>
  <c r="G94" i="34" s="1"/>
  <c r="G95" i="34" s="1"/>
  <c r="G96" i="34" s="1"/>
  <c r="G97" i="34" s="1"/>
  <c r="G98" i="34" s="1"/>
  <c r="G99" i="34" s="1"/>
  <c r="G100" i="34" s="1"/>
  <c r="G101" i="34" s="1"/>
  <c r="G102" i="34" s="1"/>
  <c r="G103" i="34" s="1"/>
  <c r="G104" i="34" s="1"/>
  <c r="G105" i="34" s="1"/>
  <c r="G106" i="34" s="1"/>
  <c r="G107" i="34" s="1"/>
  <c r="G108" i="34" s="1"/>
  <c r="G109" i="34" s="1"/>
  <c r="G110" i="34" s="1"/>
  <c r="G111" i="34" s="1"/>
  <c r="G112" i="34" s="1"/>
  <c r="G113" i="34" s="1"/>
  <c r="G114" i="34" s="1"/>
  <c r="G115" i="34" s="1"/>
  <c r="G116" i="34" s="1"/>
  <c r="G117" i="34" s="1"/>
  <c r="G118" i="34" s="1"/>
  <c r="G119" i="34" s="1"/>
  <c r="G120" i="34" s="1"/>
  <c r="G121" i="34" s="1"/>
  <c r="G122" i="34" s="1"/>
  <c r="F89" i="34"/>
  <c r="F90" i="34" s="1"/>
  <c r="C92" i="34"/>
  <c r="C93" i="34" s="1"/>
  <c r="C94" i="34" s="1"/>
  <c r="C95" i="34" s="1"/>
  <c r="C96" i="34" s="1"/>
  <c r="C97" i="34" s="1"/>
  <c r="C98" i="34" s="1"/>
  <c r="C99" i="34" s="1"/>
  <c r="C100" i="34" s="1"/>
  <c r="C101" i="34" s="1"/>
  <c r="C102" i="34" s="1"/>
  <c r="C103" i="34" s="1"/>
  <c r="C104" i="34" s="1"/>
  <c r="C105" i="34" s="1"/>
  <c r="C106" i="34" s="1"/>
  <c r="B88" i="34"/>
  <c r="B89" i="34" s="1"/>
  <c r="B91" i="34" s="1"/>
  <c r="B92" i="34" s="1"/>
  <c r="B93" i="34" s="1"/>
  <c r="B94" i="34" s="1"/>
  <c r="B95" i="34" s="1"/>
  <c r="B96" i="34" s="1"/>
  <c r="B97" i="34" s="1"/>
  <c r="B98" i="34" s="1"/>
  <c r="B99" i="34" s="1"/>
  <c r="B100" i="34" s="1"/>
  <c r="B101" i="34" s="1"/>
  <c r="B102" i="34" s="1"/>
  <c r="B103" i="34" s="1"/>
  <c r="B104" i="34" s="1"/>
  <c r="B105" i="34" s="1"/>
  <c r="B106" i="34" s="1"/>
  <c r="B107" i="34" s="1"/>
  <c r="B108" i="34" s="1"/>
  <c r="B109" i="34" s="1"/>
  <c r="B110" i="34" s="1"/>
  <c r="B111" i="34" s="1"/>
  <c r="B112" i="34" s="1"/>
  <c r="B113" i="34" s="1"/>
  <c r="B114" i="34" s="1"/>
  <c r="B115" i="34" s="1"/>
  <c r="B116" i="34" s="1"/>
  <c r="B117" i="34" s="1"/>
  <c r="B118" i="34" s="1"/>
  <c r="B119" i="34" s="1"/>
  <c r="B120" i="34" s="1"/>
  <c r="B121" i="34" s="1"/>
  <c r="B122" i="34" s="1"/>
  <c r="B123" i="34" s="1"/>
  <c r="B124" i="34" s="1"/>
  <c r="B125" i="34" s="1"/>
  <c r="B126" i="34" s="1"/>
  <c r="B127" i="34" s="1"/>
  <c r="B128" i="34" s="1"/>
  <c r="B129" i="34" s="1"/>
  <c r="B130" i="34" s="1"/>
  <c r="B131" i="34" s="1"/>
  <c r="B132" i="34" s="1"/>
  <c r="B133" i="34" s="1"/>
  <c r="B134" i="34" s="1"/>
  <c r="E188" i="33"/>
  <c r="D189" i="33"/>
  <c r="D190" i="33" s="1"/>
  <c r="F51" i="36"/>
  <c r="F52" i="36" s="1"/>
  <c r="F53" i="36" s="1"/>
  <c r="F54" i="36" s="1"/>
  <c r="F55" i="36" s="1"/>
  <c r="F56" i="36" s="1"/>
  <c r="F57" i="36" s="1"/>
  <c r="F58" i="36" s="1"/>
  <c r="F59" i="36" s="1"/>
  <c r="F60" i="36" s="1"/>
  <c r="F61" i="36" s="1"/>
  <c r="F62" i="36" s="1"/>
  <c r="F63" i="36" s="1"/>
  <c r="F64" i="36" s="1"/>
  <c r="F65" i="36" s="1"/>
  <c r="F66" i="36" s="1"/>
  <c r="F67" i="36" s="1"/>
  <c r="F68" i="36" s="1"/>
  <c r="F69" i="36" s="1"/>
  <c r="F70" i="36" s="1"/>
  <c r="F71" i="36" s="1"/>
  <c r="F72" i="36" s="1"/>
  <c r="F73" i="36" s="1"/>
  <c r="F74" i="36" s="1"/>
  <c r="F75" i="36" s="1"/>
  <c r="F76" i="36" s="1"/>
  <c r="F77" i="36" s="1"/>
  <c r="F78" i="36" s="1"/>
  <c r="F79" i="36" s="1"/>
  <c r="F80" i="36" s="1"/>
  <c r="F81" i="36" s="1"/>
  <c r="F82" i="36" s="1"/>
  <c r="F83" i="36" s="1"/>
  <c r="F84" i="36" s="1"/>
  <c r="F85" i="36" s="1"/>
  <c r="B50" i="36"/>
  <c r="B51" i="36" s="1"/>
  <c r="B52" i="36" s="1"/>
  <c r="B53" i="36" s="1"/>
  <c r="B54" i="36" s="1"/>
  <c r="B55" i="36" s="1"/>
  <c r="B56" i="36" s="1"/>
  <c r="B57" i="36" s="1"/>
  <c r="B58" i="36" s="1"/>
  <c r="B59" i="36" s="1"/>
  <c r="B60" i="36" s="1"/>
  <c r="B61" i="36" s="1"/>
  <c r="B62" i="36" s="1"/>
  <c r="B63" i="36" s="1"/>
  <c r="B64" i="36" s="1"/>
  <c r="B65" i="36" s="1"/>
  <c r="B66" i="36" s="1"/>
  <c r="B67" i="36" s="1"/>
  <c r="B68" i="36" s="1"/>
  <c r="B69" i="36" s="1"/>
  <c r="B70" i="36" s="1"/>
  <c r="B71" i="36" s="1"/>
  <c r="B72" i="36" s="1"/>
  <c r="B73" i="36" s="1"/>
  <c r="B74" i="36" s="1"/>
  <c r="B75" i="36" s="1"/>
  <c r="B76" i="36" s="1"/>
  <c r="B77" i="36" s="1"/>
  <c r="B78" i="36" s="1"/>
  <c r="B79" i="36" s="1"/>
  <c r="B80" i="36" s="1"/>
  <c r="B81" i="36" s="1"/>
  <c r="B82" i="36" s="1"/>
  <c r="B83" i="36" s="1"/>
  <c r="B84" i="36" s="1"/>
  <c r="B85" i="36" s="1"/>
  <c r="A50" i="36"/>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C165" i="33"/>
  <c r="C166" i="33" s="1"/>
  <c r="C167" i="33" s="1"/>
  <c r="D165" i="33"/>
  <c r="D177" i="33" s="1"/>
  <c r="E177" i="33" s="1"/>
  <c r="D166" i="33"/>
  <c r="D178" i="33" s="1"/>
  <c r="E178" i="33" s="1"/>
  <c r="D167" i="33"/>
  <c r="D179" i="33" s="1"/>
  <c r="E179" i="33" s="1"/>
  <c r="D168" i="33"/>
  <c r="D180" i="33" s="1"/>
  <c r="E180" i="33" s="1"/>
  <c r="D169" i="33"/>
  <c r="D181" i="33" s="1"/>
  <c r="E181" i="33" s="1"/>
  <c r="D170" i="33"/>
  <c r="D182" i="33" s="1"/>
  <c r="E182" i="33" s="1"/>
  <c r="D171" i="33"/>
  <c r="D183" i="33" s="1"/>
  <c r="E183" i="33" s="1"/>
  <c r="D172" i="33"/>
  <c r="D184" i="33" s="1"/>
  <c r="E184" i="33" s="1"/>
  <c r="D173" i="33"/>
  <c r="D185" i="33" s="1"/>
  <c r="E185" i="33" s="1"/>
  <c r="D174" i="33"/>
  <c r="D186" i="33" s="1"/>
  <c r="E186" i="33" s="1"/>
  <c r="D175" i="33"/>
  <c r="D187" i="33" s="1"/>
  <c r="E187" i="33" s="1"/>
  <c r="F164" i="33"/>
  <c r="F176" i="33" s="1"/>
  <c r="F188" i="33" s="1"/>
  <c r="G164" i="33"/>
  <c r="G176" i="33" s="1"/>
  <c r="D164" i="33"/>
  <c r="E164" i="33" s="1"/>
  <c r="H163" i="33"/>
  <c r="H162" i="33"/>
  <c r="H161" i="33"/>
  <c r="H160" i="33"/>
  <c r="H159" i="33"/>
  <c r="H158" i="33"/>
  <c r="H157" i="33"/>
  <c r="H156" i="33"/>
  <c r="H155" i="33"/>
  <c r="H154" i="33"/>
  <c r="H153" i="33"/>
  <c r="G154" i="33"/>
  <c r="G166" i="33" s="1"/>
  <c r="G178" i="33" s="1"/>
  <c r="G153" i="33"/>
  <c r="G165" i="33" s="1"/>
  <c r="G177" i="33" s="1"/>
  <c r="F153" i="33"/>
  <c r="F165" i="33" s="1"/>
  <c r="F177" i="33" s="1"/>
  <c r="F189" i="33" s="1"/>
  <c r="E152" i="33"/>
  <c r="C153" i="33"/>
  <c r="C154" i="33" s="1"/>
  <c r="C155" i="33" s="1"/>
  <c r="C156" i="33" s="1"/>
  <c r="C157" i="33" s="1"/>
  <c r="C158" i="33" s="1"/>
  <c r="C159" i="33" s="1"/>
  <c r="C160" i="33" s="1"/>
  <c r="C161" i="33" s="1"/>
  <c r="C162" i="33" s="1"/>
  <c r="C163" i="33" s="1"/>
  <c r="E163" i="33" s="1"/>
  <c r="H152" i="33"/>
  <c r="B152" i="33"/>
  <c r="B153" i="33" s="1"/>
  <c r="B154" i="33" s="1"/>
  <c r="B155" i="33" s="1"/>
  <c r="B156" i="33" s="1"/>
  <c r="B157" i="33" s="1"/>
  <c r="B158" i="33" s="1"/>
  <c r="B159" i="33" s="1"/>
  <c r="B160" i="33" s="1"/>
  <c r="B161" i="33" s="1"/>
  <c r="B162" i="33" s="1"/>
  <c r="B163" i="33" s="1"/>
  <c r="B164" i="33" s="1"/>
  <c r="B165" i="33" s="1"/>
  <c r="B166" i="33" s="1"/>
  <c r="B167" i="33" s="1"/>
  <c r="B168" i="33" s="1"/>
  <c r="B169" i="33" s="1"/>
  <c r="B170" i="33" s="1"/>
  <c r="B171" i="33" s="1"/>
  <c r="B172" i="33" s="1"/>
  <c r="B173" i="33" s="1"/>
  <c r="B174" i="33" s="1"/>
  <c r="B175" i="33" s="1"/>
  <c r="B176" i="33" s="1"/>
  <c r="B177" i="33" s="1"/>
  <c r="B178" i="33" s="1"/>
  <c r="B179" i="33" s="1"/>
  <c r="B180" i="33" s="1"/>
  <c r="B181" i="33" s="1"/>
  <c r="B182" i="33" s="1"/>
  <c r="B183" i="33" s="1"/>
  <c r="B184" i="33" s="1"/>
  <c r="B185" i="33" s="1"/>
  <c r="B186" i="33" s="1"/>
  <c r="B187" i="33" s="1"/>
  <c r="B188" i="33" s="1"/>
  <c r="B189" i="33" s="1"/>
  <c r="B190" i="33" s="1"/>
  <c r="B191" i="33" s="1"/>
  <c r="B192" i="33" s="1"/>
  <c r="B193" i="33" s="1"/>
  <c r="B194" i="33" s="1"/>
  <c r="E47" i="36"/>
  <c r="E48" i="36"/>
  <c r="B45" i="36"/>
  <c r="A45" i="36"/>
  <c r="A46" i="36" s="1"/>
  <c r="B87" i="34"/>
  <c r="B150" i="33"/>
  <c r="E46" i="36"/>
  <c r="B46" i="36"/>
  <c r="B47" i="36"/>
  <c r="B48" i="36" s="1"/>
  <c r="B86" i="34"/>
  <c r="B149" i="33"/>
  <c r="A149" i="33"/>
  <c r="A150" i="33" s="1"/>
  <c r="A152" i="33" s="1"/>
  <c r="A153" i="33" s="1"/>
  <c r="A154" i="33" s="1"/>
  <c r="A155" i="33" s="1"/>
  <c r="A156" i="33" s="1"/>
  <c r="A157" i="33" s="1"/>
  <c r="A158" i="33" s="1"/>
  <c r="A159" i="33" s="1"/>
  <c r="A160" i="33" s="1"/>
  <c r="A161" i="33" s="1"/>
  <c r="A162" i="33" s="1"/>
  <c r="A163" i="33" s="1"/>
  <c r="A164" i="33" s="1"/>
  <c r="A165" i="33" s="1"/>
  <c r="A166" i="33" s="1"/>
  <c r="A167" i="33" s="1"/>
  <c r="A168" i="33" s="1"/>
  <c r="A169" i="33" s="1"/>
  <c r="A170" i="33" s="1"/>
  <c r="A171" i="33" s="1"/>
  <c r="A172" i="33" s="1"/>
  <c r="A173" i="33" s="1"/>
  <c r="A174" i="33" s="1"/>
  <c r="A175" i="33" s="1"/>
  <c r="A176" i="33" s="1"/>
  <c r="A177" i="33" s="1"/>
  <c r="A178" i="33" s="1"/>
  <c r="A179" i="33" s="1"/>
  <c r="A180" i="33" s="1"/>
  <c r="A181" i="33" s="1"/>
  <c r="A182" i="33" s="1"/>
  <c r="A183" i="33" s="1"/>
  <c r="A184" i="33" s="1"/>
  <c r="A185" i="33" s="1"/>
  <c r="A186" i="33" s="1"/>
  <c r="A187" i="33" s="1"/>
  <c r="A188" i="33" s="1"/>
  <c r="A189" i="33" s="1"/>
  <c r="A190" i="33" s="1"/>
  <c r="A191" i="33" s="1"/>
  <c r="A192" i="33" s="1"/>
  <c r="A193" i="33" s="1"/>
  <c r="A194" i="33" s="1"/>
  <c r="E45" i="36"/>
  <c r="A41" i="36"/>
  <c r="A42" i="36" s="1"/>
  <c r="A43" i="36" s="1"/>
  <c r="D64" i="45" l="1"/>
  <c r="C38" i="62"/>
  <c r="B63" i="45"/>
  <c r="A37" i="62"/>
  <c r="B37" i="62" s="1"/>
  <c r="B45" i="45"/>
  <c r="B46" i="45" s="1"/>
  <c r="B47" i="45" s="1"/>
  <c r="B48" i="45" s="1"/>
  <c r="A39" i="62"/>
  <c r="B39" i="62" s="1"/>
  <c r="B64" i="45"/>
  <c r="A38" i="62"/>
  <c r="B38" i="62" s="1"/>
  <c r="B66" i="45"/>
  <c r="A40" i="62"/>
  <c r="B40" i="62" s="1"/>
  <c r="B67" i="45"/>
  <c r="A41" i="62"/>
  <c r="B41" i="62" s="1"/>
  <c r="E153" i="33"/>
  <c r="G135" i="34"/>
  <c r="G136" i="34" s="1"/>
  <c r="G137" i="34" s="1"/>
  <c r="G138" i="34" s="1"/>
  <c r="G139" i="34" s="1"/>
  <c r="G140" i="34" s="1"/>
  <c r="G141" i="34" s="1"/>
  <c r="G142" i="34" s="1"/>
  <c r="G143" i="34" s="1"/>
  <c r="G144" i="34" s="1"/>
  <c r="G123" i="34"/>
  <c r="G124" i="34" s="1"/>
  <c r="G125" i="34" s="1"/>
  <c r="G126" i="34" s="1"/>
  <c r="G127" i="34" s="1"/>
  <c r="G128" i="34" s="1"/>
  <c r="G129" i="34" s="1"/>
  <c r="G130" i="34" s="1"/>
  <c r="G131" i="34" s="1"/>
  <c r="G132" i="34" s="1"/>
  <c r="G133" i="34" s="1"/>
  <c r="G134" i="34" s="1"/>
  <c r="F91" i="34"/>
  <c r="F92" i="34" s="1"/>
  <c r="F93" i="34" s="1"/>
  <c r="F94" i="34" s="1"/>
  <c r="F95" i="34" s="1"/>
  <c r="F96" i="34" s="1"/>
  <c r="F97" i="34" s="1"/>
  <c r="F98" i="34" s="1"/>
  <c r="F99" i="34" s="1"/>
  <c r="F100" i="34" s="1"/>
  <c r="F101" i="34" s="1"/>
  <c r="F102" i="34" s="1"/>
  <c r="F103" i="34" s="1"/>
  <c r="F104" i="34" s="1"/>
  <c r="F105" i="34" s="1"/>
  <c r="F106" i="34" s="1"/>
  <c r="F107" i="34" s="1"/>
  <c r="F108" i="34" s="1"/>
  <c r="F109" i="34" s="1"/>
  <c r="F110" i="34" s="1"/>
  <c r="F111" i="34" s="1"/>
  <c r="F112" i="34" s="1"/>
  <c r="F113" i="34" s="1"/>
  <c r="F114" i="34" s="1"/>
  <c r="F115" i="34" s="1"/>
  <c r="F116" i="34" s="1"/>
  <c r="F117" i="34" s="1"/>
  <c r="F118" i="34" s="1"/>
  <c r="F119" i="34" s="1"/>
  <c r="F120" i="34" s="1"/>
  <c r="F121" i="34" s="1"/>
  <c r="F122" i="34" s="1"/>
  <c r="F135" i="34" s="1"/>
  <c r="F136" i="34" s="1"/>
  <c r="F137" i="34" s="1"/>
  <c r="F138" i="34" s="1"/>
  <c r="F139" i="34" s="1"/>
  <c r="F140" i="34" s="1"/>
  <c r="F141" i="34" s="1"/>
  <c r="F142" i="34" s="1"/>
  <c r="F143" i="34" s="1"/>
  <c r="F144" i="34" s="1"/>
  <c r="E139" i="34"/>
  <c r="G90" i="34"/>
  <c r="B90" i="34"/>
  <c r="D176" i="33"/>
  <c r="E176" i="33" s="1"/>
  <c r="E165" i="33"/>
  <c r="E166" i="33"/>
  <c r="D53" i="45"/>
  <c r="D54" i="45" s="1"/>
  <c r="D52" i="45"/>
  <c r="E53" i="45"/>
  <c r="E54" i="45" s="1"/>
  <c r="E52" i="45"/>
  <c r="E84" i="36"/>
  <c r="E49" i="45"/>
  <c r="D49" i="45"/>
  <c r="C136" i="34"/>
  <c r="E136" i="34" s="1"/>
  <c r="C140" i="34"/>
  <c r="E83" i="36"/>
  <c r="D191" i="33"/>
  <c r="E190" i="33"/>
  <c r="C168" i="33"/>
  <c r="C169" i="33" s="1"/>
  <c r="E167" i="33"/>
  <c r="E160" i="33"/>
  <c r="E156" i="33"/>
  <c r="F154" i="33"/>
  <c r="E189" i="33"/>
  <c r="E159" i="33"/>
  <c r="E155" i="33"/>
  <c r="E161" i="33"/>
  <c r="E157" i="33"/>
  <c r="E162" i="33"/>
  <c r="E158" i="33"/>
  <c r="E154" i="33"/>
  <c r="G155" i="33"/>
  <c r="A47" i="36"/>
  <c r="A48" i="36" s="1"/>
  <c r="E168" i="33"/>
  <c r="D67" i="45" l="1"/>
  <c r="C41" i="62"/>
  <c r="D66" i="45"/>
  <c r="C40" i="62"/>
  <c r="G145" i="34"/>
  <c r="G146" i="34" s="1"/>
  <c r="G147" i="34" s="1"/>
  <c r="G148" i="34" s="1"/>
  <c r="G149" i="34" s="1"/>
  <c r="G150" i="34" s="1"/>
  <c r="G151" i="34" s="1"/>
  <c r="G152" i="34" s="1"/>
  <c r="G153" i="34" s="1"/>
  <c r="G154" i="34" s="1"/>
  <c r="G155" i="34" s="1"/>
  <c r="G156" i="34" s="1"/>
  <c r="G157" i="34" s="1"/>
  <c r="G158" i="34" s="1"/>
  <c r="G159" i="34" s="1"/>
  <c r="G160" i="34" s="1"/>
  <c r="G161" i="34" s="1"/>
  <c r="G162" i="34" s="1"/>
  <c r="G163" i="34" s="1"/>
  <c r="G164" i="34" s="1"/>
  <c r="G165" i="34" s="1"/>
  <c r="G166" i="34" s="1"/>
  <c r="G167" i="34" s="1"/>
  <c r="G168" i="34" s="1"/>
  <c r="G169" i="34" s="1"/>
  <c r="G170" i="34" s="1"/>
  <c r="G171" i="34" s="1"/>
  <c r="G172" i="34" s="1"/>
  <c r="G173" i="34" s="1"/>
  <c r="G174" i="34" s="1"/>
  <c r="G175" i="34" s="1"/>
  <c r="G176" i="34" s="1"/>
  <c r="G177" i="34" s="1"/>
  <c r="G178" i="34" s="1"/>
  <c r="G179" i="34" s="1"/>
  <c r="G180" i="34" s="1"/>
  <c r="G181" i="34" s="1"/>
  <c r="G182" i="34" s="1"/>
  <c r="G183" i="34" s="1"/>
  <c r="G184" i="34" s="1"/>
  <c r="G185" i="34" s="1"/>
  <c r="G186" i="34" s="1"/>
  <c r="G187" i="34" s="1"/>
  <c r="F145" i="34"/>
  <c r="F146" i="34" s="1"/>
  <c r="F147" i="34" s="1"/>
  <c r="F148" i="34" s="1"/>
  <c r="F149" i="34" s="1"/>
  <c r="F150" i="34" s="1"/>
  <c r="F151" i="34" s="1"/>
  <c r="F152" i="34" s="1"/>
  <c r="F153" i="34" s="1"/>
  <c r="F154" i="34" s="1"/>
  <c r="F155" i="34" s="1"/>
  <c r="F156" i="34" s="1"/>
  <c r="F157" i="34" s="1"/>
  <c r="F158" i="34" s="1"/>
  <c r="F159" i="34" s="1"/>
  <c r="F160" i="34" s="1"/>
  <c r="F161" i="34" s="1"/>
  <c r="F162" i="34" s="1"/>
  <c r="F163" i="34" s="1"/>
  <c r="F164" i="34" s="1"/>
  <c r="F165" i="34" s="1"/>
  <c r="F166" i="34" s="1"/>
  <c r="F167" i="34" s="1"/>
  <c r="F168" i="34" s="1"/>
  <c r="F169" i="34" s="1"/>
  <c r="F170" i="34" s="1"/>
  <c r="F171" i="34" s="1"/>
  <c r="F172" i="34" s="1"/>
  <c r="F173" i="34" s="1"/>
  <c r="F174" i="34" s="1"/>
  <c r="F175" i="34" s="1"/>
  <c r="F176" i="34" s="1"/>
  <c r="F177" i="34" s="1"/>
  <c r="F178" i="34" s="1"/>
  <c r="F179" i="34" s="1"/>
  <c r="F180" i="34" s="1"/>
  <c r="F181" i="34" s="1"/>
  <c r="F182" i="34" s="1"/>
  <c r="F183" i="34" s="1"/>
  <c r="F184" i="34" s="1"/>
  <c r="F185" i="34" s="1"/>
  <c r="F186" i="34" s="1"/>
  <c r="F187" i="34" s="1"/>
  <c r="C137" i="34"/>
  <c r="E137" i="34" s="1"/>
  <c r="E140" i="34"/>
  <c r="C141" i="34"/>
  <c r="G156" i="33"/>
  <c r="G167" i="33"/>
  <c r="G179" i="33" s="1"/>
  <c r="F155" i="33"/>
  <c r="F166" i="33"/>
  <c r="F178" i="33" s="1"/>
  <c r="F190" i="33" s="1"/>
  <c r="D192" i="33"/>
  <c r="E191" i="33"/>
  <c r="E169" i="33"/>
  <c r="C170" i="33"/>
  <c r="C138" i="34" l="1"/>
  <c r="E138" i="34" s="1"/>
  <c r="C142" i="34"/>
  <c r="E141" i="34"/>
  <c r="F156" i="33"/>
  <c r="F167" i="33"/>
  <c r="F179" i="33" s="1"/>
  <c r="F191" i="33" s="1"/>
  <c r="D193" i="33"/>
  <c r="E193" i="33" s="1"/>
  <c r="E192" i="33"/>
  <c r="G157" i="33"/>
  <c r="G168" i="33"/>
  <c r="G180" i="33" s="1"/>
  <c r="C171" i="33"/>
  <c r="E170" i="33"/>
  <c r="C143" i="34" l="1"/>
  <c r="C144" i="34" s="1"/>
  <c r="C145" i="34" s="1"/>
  <c r="E142" i="34"/>
  <c r="G158" i="33"/>
  <c r="G169" i="33"/>
  <c r="G181" i="33" s="1"/>
  <c r="F157" i="33"/>
  <c r="F168" i="33"/>
  <c r="F180" i="33" s="1"/>
  <c r="F192" i="33" s="1"/>
  <c r="E171" i="33"/>
  <c r="C172" i="33"/>
  <c r="C146" i="34" l="1"/>
  <c r="E145" i="34"/>
  <c r="E144" i="34"/>
  <c r="E143" i="34"/>
  <c r="F158" i="33"/>
  <c r="F169" i="33"/>
  <c r="F181" i="33" s="1"/>
  <c r="F193" i="33" s="1"/>
  <c r="G159" i="33"/>
  <c r="G170" i="33"/>
  <c r="G182" i="33" s="1"/>
  <c r="E172" i="33"/>
  <c r="C173" i="33"/>
  <c r="C147" i="34" l="1"/>
  <c r="E146" i="34"/>
  <c r="G160" i="33"/>
  <c r="G171" i="33"/>
  <c r="G183" i="33" s="1"/>
  <c r="F159" i="33"/>
  <c r="F170" i="33"/>
  <c r="F182" i="33" s="1"/>
  <c r="F194" i="33" s="1"/>
  <c r="C174" i="33"/>
  <c r="E173" i="33"/>
  <c r="C148" i="34" l="1"/>
  <c r="E147" i="34"/>
  <c r="F160" i="33"/>
  <c r="F171" i="33"/>
  <c r="F183" i="33" s="1"/>
  <c r="G161" i="33"/>
  <c r="G172" i="33"/>
  <c r="G184" i="33" s="1"/>
  <c r="C175" i="33"/>
  <c r="E175" i="33" s="1"/>
  <c r="E174" i="33"/>
  <c r="C149" i="34" l="1"/>
  <c r="E148" i="34"/>
  <c r="G162" i="33"/>
  <c r="G173" i="33"/>
  <c r="G185" i="33" s="1"/>
  <c r="F161" i="33"/>
  <c r="F172" i="33"/>
  <c r="F184" i="33" s="1"/>
  <c r="C150" i="34" l="1"/>
  <c r="E149" i="34"/>
  <c r="F162" i="33"/>
  <c r="F173" i="33"/>
  <c r="F185" i="33" s="1"/>
  <c r="G163" i="33"/>
  <c r="G175" i="33" s="1"/>
  <c r="G187" i="33" s="1"/>
  <c r="G174" i="33"/>
  <c r="G186" i="33" s="1"/>
  <c r="C151" i="34" l="1"/>
  <c r="E150" i="34"/>
  <c r="F163" i="33"/>
  <c r="F175" i="33" s="1"/>
  <c r="F187" i="33" s="1"/>
  <c r="F174" i="33"/>
  <c r="F186" i="33" s="1"/>
  <c r="C152" i="34" l="1"/>
  <c r="E151" i="34"/>
  <c r="C153" i="34" l="1"/>
  <c r="E152" i="34"/>
  <c r="G71" i="34"/>
  <c r="G72" i="34" s="1"/>
  <c r="G73" i="34" s="1"/>
  <c r="G74" i="34" s="1"/>
  <c r="G75" i="34" s="1"/>
  <c r="G76" i="34" s="1"/>
  <c r="G77" i="34" s="1"/>
  <c r="G78" i="34" s="1"/>
  <c r="G79" i="34" s="1"/>
  <c r="G80" i="34" s="1"/>
  <c r="G81" i="34" s="1"/>
  <c r="G82" i="34" s="1"/>
  <c r="G83" i="34" s="1"/>
  <c r="G84" i="34" s="1"/>
  <c r="G85" i="34" s="1"/>
  <c r="F71" i="34"/>
  <c r="F72" i="34" s="1"/>
  <c r="F73" i="34" s="1"/>
  <c r="F74" i="34" s="1"/>
  <c r="F75" i="34" s="1"/>
  <c r="F76" i="34" s="1"/>
  <c r="F77" i="34" s="1"/>
  <c r="F78" i="34" s="1"/>
  <c r="F79" i="34" s="1"/>
  <c r="F80" i="34" s="1"/>
  <c r="F81" i="34" s="1"/>
  <c r="F82" i="34" s="1"/>
  <c r="F83" i="34" s="1"/>
  <c r="F84" i="34" s="1"/>
  <c r="F85" i="34" s="1"/>
  <c r="B70" i="34"/>
  <c r="B71" i="34" s="1"/>
  <c r="B72" i="34" s="1"/>
  <c r="B73" i="34" s="1"/>
  <c r="B74" i="34" s="1"/>
  <c r="B75" i="34" s="1"/>
  <c r="B76" i="34" s="1"/>
  <c r="B77" i="34" s="1"/>
  <c r="B78" i="34" s="1"/>
  <c r="B79" i="34" s="1"/>
  <c r="B80" i="34" s="1"/>
  <c r="B81" i="34" s="1"/>
  <c r="B82" i="34" s="1"/>
  <c r="B83" i="34" s="1"/>
  <c r="B84" i="34" s="1"/>
  <c r="B85" i="34" s="1"/>
  <c r="C69" i="34"/>
  <c r="C85" i="34" s="1"/>
  <c r="C67" i="34"/>
  <c r="C68" i="34" s="1"/>
  <c r="C84" i="34" s="1"/>
  <c r="C66" i="34"/>
  <c r="C82" i="34" s="1"/>
  <c r="C63" i="34"/>
  <c r="C79" i="34" s="1"/>
  <c r="C58" i="34"/>
  <c r="C59" i="34" s="1"/>
  <c r="C154" i="34" l="1"/>
  <c r="E153" i="34"/>
  <c r="C83" i="34"/>
  <c r="C75" i="34"/>
  <c r="C60" i="34"/>
  <c r="C61" i="34" s="1"/>
  <c r="C62" i="34" s="1"/>
  <c r="C78" i="34" s="1"/>
  <c r="C74" i="34"/>
  <c r="C64" i="34"/>
  <c r="C155" i="34" l="1"/>
  <c r="E155" i="34" s="1"/>
  <c r="E154" i="34"/>
  <c r="C76" i="34"/>
  <c r="C77" i="34"/>
  <c r="C65" i="34"/>
  <c r="C81" i="34" s="1"/>
  <c r="C80" i="34"/>
  <c r="B34" i="45"/>
  <c r="B62" i="45" s="1"/>
  <c r="B27" i="45"/>
  <c r="B61" i="45" s="1"/>
  <c r="A27" i="45"/>
  <c r="A61" i="45" s="1"/>
  <c r="D36" i="45"/>
  <c r="C36" i="45"/>
  <c r="A32" i="62" s="1"/>
  <c r="B32" i="62" s="1"/>
  <c r="C37" i="45"/>
  <c r="A33" i="62" s="1"/>
  <c r="B33" i="62" s="1"/>
  <c r="C38" i="45"/>
  <c r="A34" i="62" s="1"/>
  <c r="B34" i="62" s="1"/>
  <c r="C39" i="45"/>
  <c r="A35" i="62" s="1"/>
  <c r="B35" i="62" s="1"/>
  <c r="C40" i="45"/>
  <c r="A36" i="62" s="1"/>
  <c r="B36" i="62" s="1"/>
  <c r="C35" i="45"/>
  <c r="A31" i="62" s="1"/>
  <c r="B31" i="62" s="1"/>
  <c r="B35" i="45"/>
  <c r="B36" i="45" s="1"/>
  <c r="B37" i="45" s="1"/>
  <c r="B38" i="45" s="1"/>
  <c r="B39" i="45" s="1"/>
  <c r="B40" i="45" s="1"/>
  <c r="D29" i="45"/>
  <c r="C29" i="45"/>
  <c r="A26" i="62" s="1"/>
  <c r="B26" i="62" s="1"/>
  <c r="C30" i="45"/>
  <c r="A27" i="62" s="1"/>
  <c r="B27" i="62" s="1"/>
  <c r="C31" i="45"/>
  <c r="A28" i="62" s="1"/>
  <c r="B28" i="62" s="1"/>
  <c r="C32" i="45"/>
  <c r="A29" i="62" s="1"/>
  <c r="B29" i="62" s="1"/>
  <c r="C33" i="45"/>
  <c r="A30" i="62" s="1"/>
  <c r="B30" i="62" s="1"/>
  <c r="C28" i="45"/>
  <c r="A25" i="62" s="1"/>
  <c r="B25" i="62" s="1"/>
  <c r="B28" i="45"/>
  <c r="B29" i="45" s="1"/>
  <c r="B30" i="45" s="1"/>
  <c r="B31" i="45" s="1"/>
  <c r="B32" i="45" s="1"/>
  <c r="B33" i="45" s="1"/>
  <c r="A28" i="45"/>
  <c r="A29" i="45" s="1"/>
  <c r="A30" i="45" s="1"/>
  <c r="A31" i="45" s="1"/>
  <c r="A32" i="45" s="1"/>
  <c r="A33" i="45" s="1"/>
  <c r="A35" i="45" s="1"/>
  <c r="A36" i="45" s="1"/>
  <c r="A37" i="45" s="1"/>
  <c r="A38" i="45" s="1"/>
  <c r="A39" i="45" s="1"/>
  <c r="A40" i="45" s="1"/>
  <c r="A41" i="45" s="1"/>
  <c r="G55" i="34"/>
  <c r="G56" i="34" s="1"/>
  <c r="G57" i="34" s="1"/>
  <c r="G58" i="34" s="1"/>
  <c r="G59" i="34" s="1"/>
  <c r="G60" i="34" s="1"/>
  <c r="G61" i="34" s="1"/>
  <c r="G62" i="34" s="1"/>
  <c r="G63" i="34" s="1"/>
  <c r="G64" i="34" s="1"/>
  <c r="G65" i="34" s="1"/>
  <c r="G66" i="34" s="1"/>
  <c r="G67" i="34" s="1"/>
  <c r="G68" i="34" s="1"/>
  <c r="G69" i="34" s="1"/>
  <c r="F55" i="34"/>
  <c r="F56" i="34" s="1"/>
  <c r="F57" i="34" s="1"/>
  <c r="F58" i="34" s="1"/>
  <c r="F59" i="34" s="1"/>
  <c r="F60" i="34" s="1"/>
  <c r="F61" i="34" s="1"/>
  <c r="F62" i="34" s="1"/>
  <c r="F63" i="34" s="1"/>
  <c r="F64" i="34" s="1"/>
  <c r="F65" i="34" s="1"/>
  <c r="F66" i="34" s="1"/>
  <c r="F67" i="34" s="1"/>
  <c r="F68" i="34" s="1"/>
  <c r="F69" i="34" s="1"/>
  <c r="C54" i="34"/>
  <c r="B54" i="34"/>
  <c r="B55" i="34" s="1"/>
  <c r="B56" i="34" s="1"/>
  <c r="B57" i="34" s="1"/>
  <c r="B58" i="34" s="1"/>
  <c r="B59" i="34" s="1"/>
  <c r="B60" i="34" s="1"/>
  <c r="B61" i="34" s="1"/>
  <c r="B62" i="34" s="1"/>
  <c r="B63" i="34" s="1"/>
  <c r="B64" i="34" s="1"/>
  <c r="B65" i="34" s="1"/>
  <c r="B66" i="34" s="1"/>
  <c r="B67" i="34" s="1"/>
  <c r="B68" i="34" s="1"/>
  <c r="B69" i="34" s="1"/>
  <c r="A54" i="34"/>
  <c r="A55" i="34" s="1"/>
  <c r="A56" i="34" s="1"/>
  <c r="A57" i="34" s="1"/>
  <c r="A58" i="34" s="1"/>
  <c r="A59" i="34" s="1"/>
  <c r="A60" i="34" s="1"/>
  <c r="A61" i="34" s="1"/>
  <c r="A62" i="34" s="1"/>
  <c r="A63" i="34" s="1"/>
  <c r="A64" i="34" s="1"/>
  <c r="A65" i="34" s="1"/>
  <c r="A66" i="34" s="1"/>
  <c r="A67" i="34" s="1"/>
  <c r="A68" i="34" s="1"/>
  <c r="A69" i="34" s="1"/>
  <c r="A70" i="34" s="1"/>
  <c r="A71" i="34" s="1"/>
  <c r="A72" i="34" s="1"/>
  <c r="A73" i="34" s="1"/>
  <c r="A74" i="34" s="1"/>
  <c r="A75" i="34" s="1"/>
  <c r="A76" i="34" s="1"/>
  <c r="A77" i="34" s="1"/>
  <c r="A78" i="34" s="1"/>
  <c r="A79" i="34" s="1"/>
  <c r="A80" i="34" s="1"/>
  <c r="A81" i="34" s="1"/>
  <c r="A82" i="34" s="1"/>
  <c r="A83" i="34" s="1"/>
  <c r="A84" i="34" s="1"/>
  <c r="A85" i="34" s="1"/>
  <c r="A86" i="34" s="1"/>
  <c r="A87" i="34" s="1"/>
  <c r="A88" i="34" s="1"/>
  <c r="A89" i="34" s="1"/>
  <c r="D37" i="45" l="1"/>
  <c r="C32" i="62"/>
  <c r="D30" i="45"/>
  <c r="C26" i="62"/>
  <c r="A91" i="34"/>
  <c r="A92" i="34" s="1"/>
  <c r="A93" i="34" s="1"/>
  <c r="A94" i="34" s="1"/>
  <c r="A95" i="34" s="1"/>
  <c r="A96" i="34" s="1"/>
  <c r="A97" i="34" s="1"/>
  <c r="A98" i="34" s="1"/>
  <c r="A99" i="34" s="1"/>
  <c r="A100" i="34" s="1"/>
  <c r="A101" i="34" s="1"/>
  <c r="A102" i="34" s="1"/>
  <c r="A103" i="34" s="1"/>
  <c r="A104" i="34" s="1"/>
  <c r="A105" i="34" s="1"/>
  <c r="A106" i="34" s="1"/>
  <c r="A107" i="34" s="1"/>
  <c r="A108" i="34" s="1"/>
  <c r="A109" i="34" s="1"/>
  <c r="A110" i="34" s="1"/>
  <c r="A111" i="34" s="1"/>
  <c r="A112" i="34" s="1"/>
  <c r="A113" i="34" s="1"/>
  <c r="A114" i="34" s="1"/>
  <c r="A115" i="34" s="1"/>
  <c r="A116" i="34" s="1"/>
  <c r="A117" i="34" s="1"/>
  <c r="A118" i="34" s="1"/>
  <c r="A119" i="34" s="1"/>
  <c r="A120" i="34" s="1"/>
  <c r="A121" i="34" s="1"/>
  <c r="A122" i="34" s="1"/>
  <c r="A90" i="34"/>
  <c r="A42" i="45"/>
  <c r="A64" i="45" s="1"/>
  <c r="A63" i="45"/>
  <c r="C70" i="34"/>
  <c r="C55" i="34"/>
  <c r="A34" i="45"/>
  <c r="A62" i="45" s="1"/>
  <c r="F133" i="33"/>
  <c r="F134" i="33" s="1"/>
  <c r="F135" i="33" s="1"/>
  <c r="F136" i="33" s="1"/>
  <c r="F137" i="33" s="1"/>
  <c r="F138" i="33" s="1"/>
  <c r="F139" i="33" s="1"/>
  <c r="F140" i="33" s="1"/>
  <c r="F141" i="33" s="1"/>
  <c r="F142" i="33" s="1"/>
  <c r="F144" i="33" s="1"/>
  <c r="F145" i="33" s="1"/>
  <c r="F146" i="33" s="1"/>
  <c r="F147" i="33" s="1"/>
  <c r="F143" i="33" s="1"/>
  <c r="F117" i="33"/>
  <c r="F118" i="33" s="1"/>
  <c r="F119" i="33" s="1"/>
  <c r="F120" i="33" s="1"/>
  <c r="F121" i="33" s="1"/>
  <c r="F122" i="33" s="1"/>
  <c r="F123" i="33" s="1"/>
  <c r="F124" i="33" s="1"/>
  <c r="F125" i="33" s="1"/>
  <c r="F126" i="33" s="1"/>
  <c r="F128" i="33" s="1"/>
  <c r="F129" i="33" s="1"/>
  <c r="F130" i="33" s="1"/>
  <c r="F131" i="33" s="1"/>
  <c r="F127" i="33" s="1"/>
  <c r="E117" i="33"/>
  <c r="E118" i="33" s="1"/>
  <c r="E119" i="33" s="1"/>
  <c r="E120" i="33" s="1"/>
  <c r="E121" i="33" s="1"/>
  <c r="E122" i="33" s="1"/>
  <c r="E123" i="33" s="1"/>
  <c r="E124" i="33" s="1"/>
  <c r="E125" i="33" s="1"/>
  <c r="E126" i="33" s="1"/>
  <c r="E128" i="33" s="1"/>
  <c r="E129" i="33" s="1"/>
  <c r="E130" i="33" s="1"/>
  <c r="E131" i="33" s="1"/>
  <c r="E127" i="33" s="1"/>
  <c r="E132" i="33" s="1"/>
  <c r="E133" i="33" s="1"/>
  <c r="E134" i="33" s="1"/>
  <c r="E135" i="33" s="1"/>
  <c r="E136" i="33" s="1"/>
  <c r="E137" i="33" s="1"/>
  <c r="E138" i="33" s="1"/>
  <c r="E139" i="33" s="1"/>
  <c r="E140" i="33" s="1"/>
  <c r="E141" i="33" s="1"/>
  <c r="E142" i="33" s="1"/>
  <c r="E144" i="33" s="1"/>
  <c r="E145" i="33" s="1"/>
  <c r="E146" i="33" s="1"/>
  <c r="E147" i="33" s="1"/>
  <c r="E143" i="33" s="1"/>
  <c r="E85" i="33"/>
  <c r="E86" i="33" s="1"/>
  <c r="E87" i="33" s="1"/>
  <c r="E88" i="33" s="1"/>
  <c r="E89" i="33" s="1"/>
  <c r="E90" i="33" s="1"/>
  <c r="E91" i="33" s="1"/>
  <c r="E92" i="33" s="1"/>
  <c r="E93" i="33" s="1"/>
  <c r="E94" i="33" s="1"/>
  <c r="E96" i="33" s="1"/>
  <c r="E97" i="33" s="1"/>
  <c r="E98" i="33" s="1"/>
  <c r="E99" i="33" s="1"/>
  <c r="E95" i="33" s="1"/>
  <c r="E101" i="33" s="1"/>
  <c r="E102" i="33" s="1"/>
  <c r="E103" i="33" s="1"/>
  <c r="E104" i="33" s="1"/>
  <c r="E105" i="33" s="1"/>
  <c r="E106" i="33" s="1"/>
  <c r="E107" i="33" s="1"/>
  <c r="E108" i="33" s="1"/>
  <c r="E109" i="33" s="1"/>
  <c r="E110" i="33" s="1"/>
  <c r="E112" i="33" s="1"/>
  <c r="E113" i="33" s="1"/>
  <c r="E114" i="33" s="1"/>
  <c r="E115" i="33" s="1"/>
  <c r="E111" i="33" s="1"/>
  <c r="B100" i="33"/>
  <c r="B101" i="33" s="1"/>
  <c r="B102" i="33" s="1"/>
  <c r="B103" i="33" s="1"/>
  <c r="B104" i="33" s="1"/>
  <c r="B105" i="33" s="1"/>
  <c r="B106" i="33" s="1"/>
  <c r="B107" i="33" s="1"/>
  <c r="B108" i="33" s="1"/>
  <c r="B109" i="33" s="1"/>
  <c r="B110" i="33" s="1"/>
  <c r="B112" i="33" s="1"/>
  <c r="B113" i="33" s="1"/>
  <c r="B114" i="33" s="1"/>
  <c r="B115" i="33" s="1"/>
  <c r="D95" i="33"/>
  <c r="D85" i="33"/>
  <c r="D86" i="33"/>
  <c r="D87" i="33"/>
  <c r="D88" i="33"/>
  <c r="D89" i="33"/>
  <c r="D90" i="33"/>
  <c r="D91" i="33"/>
  <c r="D92" i="33"/>
  <c r="D93" i="33"/>
  <c r="D94" i="33"/>
  <c r="D96" i="33"/>
  <c r="D97" i="33"/>
  <c r="D98" i="33"/>
  <c r="D99" i="33"/>
  <c r="D84" i="33"/>
  <c r="B84" i="33"/>
  <c r="B85" i="33" s="1"/>
  <c r="B86" i="33" s="1"/>
  <c r="B87" i="33" s="1"/>
  <c r="B88" i="33" s="1"/>
  <c r="B89" i="33" s="1"/>
  <c r="B90" i="33" s="1"/>
  <c r="B91" i="33" s="1"/>
  <c r="B92" i="33" s="1"/>
  <c r="B93" i="33" s="1"/>
  <c r="B94" i="33" s="1"/>
  <c r="B96" i="33" s="1"/>
  <c r="B97" i="33" s="1"/>
  <c r="B98" i="33" s="1"/>
  <c r="B99" i="33" s="1"/>
  <c r="B95" i="33" s="1"/>
  <c r="A84" i="33"/>
  <c r="A85" i="33" s="1"/>
  <c r="A86" i="33" s="1"/>
  <c r="A87" i="33" s="1"/>
  <c r="A88" i="33" s="1"/>
  <c r="A89" i="33" s="1"/>
  <c r="A90" i="33" s="1"/>
  <c r="A91" i="33" s="1"/>
  <c r="A92" i="33" s="1"/>
  <c r="A93" i="33" s="1"/>
  <c r="A94" i="33" s="1"/>
  <c r="A96" i="33" s="1"/>
  <c r="A97" i="33" s="1"/>
  <c r="A98" i="33" s="1"/>
  <c r="A99" i="33" s="1"/>
  <c r="A95" i="33" s="1"/>
  <c r="A100" i="33" s="1"/>
  <c r="A101" i="33" s="1"/>
  <c r="A102" i="33" s="1"/>
  <c r="A103" i="33" s="1"/>
  <c r="A104" i="33" s="1"/>
  <c r="A105" i="33" s="1"/>
  <c r="A106" i="33" s="1"/>
  <c r="A107" i="33" s="1"/>
  <c r="A108" i="33" s="1"/>
  <c r="A109" i="33" s="1"/>
  <c r="A110" i="33" s="1"/>
  <c r="A112" i="33" s="1"/>
  <c r="A113" i="33" s="1"/>
  <c r="A114" i="33" s="1"/>
  <c r="A115" i="33" s="1"/>
  <c r="B73" i="33"/>
  <c r="B74" i="33" s="1"/>
  <c r="B75" i="33" s="1"/>
  <c r="B76" i="33" s="1"/>
  <c r="B77" i="33" s="1"/>
  <c r="B78" i="33" s="1"/>
  <c r="B79" i="33" s="1"/>
  <c r="B80" i="33" s="1"/>
  <c r="B81" i="33" s="1"/>
  <c r="B82" i="33" s="1"/>
  <c r="A73" i="33"/>
  <c r="A74" i="33" s="1"/>
  <c r="A75" i="33" s="1"/>
  <c r="A76" i="33" s="1"/>
  <c r="A77" i="33" s="1"/>
  <c r="A78" i="33" s="1"/>
  <c r="A79" i="33" s="1"/>
  <c r="A80" i="33" s="1"/>
  <c r="A81" i="33" s="1"/>
  <c r="A82" i="33" s="1"/>
  <c r="D31" i="45" l="1"/>
  <c r="C27" i="62"/>
  <c r="D38" i="45"/>
  <c r="C33" i="62"/>
  <c r="A135" i="34"/>
  <c r="A136" i="34" s="1"/>
  <c r="A137" i="34" s="1"/>
  <c r="A138" i="34" s="1"/>
  <c r="A139" i="34" s="1"/>
  <c r="A140" i="34" s="1"/>
  <c r="A141" i="34" s="1"/>
  <c r="A142" i="34" s="1"/>
  <c r="A143" i="34" s="1"/>
  <c r="A144" i="34" s="1"/>
  <c r="A145" i="34" s="1"/>
  <c r="A146" i="34" s="1"/>
  <c r="A147" i="34" s="1"/>
  <c r="A148" i="34" s="1"/>
  <c r="A149" i="34" s="1"/>
  <c r="A150" i="34" s="1"/>
  <c r="A151" i="34" s="1"/>
  <c r="A152" i="34" s="1"/>
  <c r="A153" i="34" s="1"/>
  <c r="A154" i="34" s="1"/>
  <c r="A155" i="34" s="1"/>
  <c r="A156" i="34" s="1"/>
  <c r="A157" i="34" s="1"/>
  <c r="A158" i="34" s="1"/>
  <c r="A159" i="34" s="1"/>
  <c r="A160" i="34" s="1"/>
  <c r="A161" i="34" s="1"/>
  <c r="A162" i="34" s="1"/>
  <c r="A163" i="34" s="1"/>
  <c r="A164" i="34" s="1"/>
  <c r="A165" i="34" s="1"/>
  <c r="A166" i="34" s="1"/>
  <c r="A167" i="34" s="1"/>
  <c r="A168" i="34" s="1"/>
  <c r="A169" i="34" s="1"/>
  <c r="A170" i="34" s="1"/>
  <c r="A171" i="34" s="1"/>
  <c r="A172" i="34" s="1"/>
  <c r="A173" i="34" s="1"/>
  <c r="A174" i="34" s="1"/>
  <c r="A175" i="34" s="1"/>
  <c r="A176" i="34" s="1"/>
  <c r="A177" i="34" s="1"/>
  <c r="A178" i="34" s="1"/>
  <c r="A179" i="34" s="1"/>
  <c r="A180" i="34" s="1"/>
  <c r="A181" i="34" s="1"/>
  <c r="A182" i="34" s="1"/>
  <c r="A183" i="34" s="1"/>
  <c r="A184" i="34" s="1"/>
  <c r="A185" i="34" s="1"/>
  <c r="A186" i="34" s="1"/>
  <c r="A187" i="34" s="1"/>
  <c r="A123" i="34"/>
  <c r="A124" i="34" s="1"/>
  <c r="A125" i="34" s="1"/>
  <c r="A126" i="34" s="1"/>
  <c r="A127" i="34" s="1"/>
  <c r="A128" i="34" s="1"/>
  <c r="A129" i="34" s="1"/>
  <c r="A130" i="34" s="1"/>
  <c r="A131" i="34" s="1"/>
  <c r="A132" i="34" s="1"/>
  <c r="A133" i="34" s="1"/>
  <c r="A134" i="34" s="1"/>
  <c r="A44" i="45"/>
  <c r="A45" i="45" s="1"/>
  <c r="A46" i="45" s="1"/>
  <c r="A47" i="45" s="1"/>
  <c r="A48" i="45" s="1"/>
  <c r="A50" i="45" s="1"/>
  <c r="A51" i="45" s="1"/>
  <c r="A43" i="45"/>
  <c r="A65" i="45" s="1"/>
  <c r="A111" i="33"/>
  <c r="A116" i="33"/>
  <c r="A117" i="33" s="1"/>
  <c r="A118" i="33" s="1"/>
  <c r="A119" i="33" s="1"/>
  <c r="A120" i="33" s="1"/>
  <c r="A121" i="33" s="1"/>
  <c r="A122" i="33" s="1"/>
  <c r="A123" i="33" s="1"/>
  <c r="A124" i="33" s="1"/>
  <c r="A125" i="33" s="1"/>
  <c r="A126" i="33" s="1"/>
  <c r="A127" i="33" s="1"/>
  <c r="A128" i="33" s="1"/>
  <c r="A129" i="33" s="1"/>
  <c r="A130" i="33" s="1"/>
  <c r="A131" i="33" s="1"/>
  <c r="A132" i="33" s="1"/>
  <c r="A133" i="33" s="1"/>
  <c r="A134" i="33" s="1"/>
  <c r="A135" i="33" s="1"/>
  <c r="A136" i="33" s="1"/>
  <c r="A137" i="33" s="1"/>
  <c r="A138" i="33" s="1"/>
  <c r="A139" i="33" s="1"/>
  <c r="A140" i="33" s="1"/>
  <c r="A141" i="33" s="1"/>
  <c r="A142" i="33" s="1"/>
  <c r="A143" i="33" s="1"/>
  <c r="A144" i="33" s="1"/>
  <c r="A145" i="33" s="1"/>
  <c r="A146" i="33" s="1"/>
  <c r="A147" i="33" s="1"/>
  <c r="B111" i="33"/>
  <c r="B116" i="33"/>
  <c r="B117" i="33" s="1"/>
  <c r="B118" i="33" s="1"/>
  <c r="B119" i="33" s="1"/>
  <c r="B120" i="33" s="1"/>
  <c r="B121" i="33" s="1"/>
  <c r="B122" i="33" s="1"/>
  <c r="B123" i="33" s="1"/>
  <c r="B124" i="33" s="1"/>
  <c r="B125" i="33" s="1"/>
  <c r="B126" i="33" s="1"/>
  <c r="B127" i="33" s="1"/>
  <c r="B128" i="33" s="1"/>
  <c r="B129" i="33" s="1"/>
  <c r="B130" i="33" s="1"/>
  <c r="B131" i="33" s="1"/>
  <c r="B132" i="33" s="1"/>
  <c r="B133" i="33" s="1"/>
  <c r="B134" i="33" s="1"/>
  <c r="B135" i="33" s="1"/>
  <c r="B136" i="33" s="1"/>
  <c r="B137" i="33" s="1"/>
  <c r="B138" i="33" s="1"/>
  <c r="B139" i="33" s="1"/>
  <c r="B140" i="33" s="1"/>
  <c r="B141" i="33" s="1"/>
  <c r="B142" i="33" s="1"/>
  <c r="B143" i="33" s="1"/>
  <c r="B144" i="33" s="1"/>
  <c r="B145" i="33" s="1"/>
  <c r="B146" i="33" s="1"/>
  <c r="B147" i="33" s="1"/>
  <c r="C71" i="34"/>
  <c r="C56" i="34"/>
  <c r="D104" i="33"/>
  <c r="D58" i="34"/>
  <c r="D114" i="33"/>
  <c r="D68" i="34"/>
  <c r="D105" i="33"/>
  <c r="D59" i="34"/>
  <c r="D113" i="33"/>
  <c r="D67" i="34"/>
  <c r="D108" i="33"/>
  <c r="D62" i="34"/>
  <c r="D111" i="33"/>
  <c r="D65" i="34"/>
  <c r="D100" i="33"/>
  <c r="D54" i="34"/>
  <c r="D112" i="33"/>
  <c r="D66" i="34"/>
  <c r="D107" i="33"/>
  <c r="D61" i="34"/>
  <c r="D103" i="33"/>
  <c r="D57" i="34"/>
  <c r="D109" i="33"/>
  <c r="D63" i="34"/>
  <c r="D101" i="33"/>
  <c r="D55" i="34"/>
  <c r="D115" i="33"/>
  <c r="D69" i="34"/>
  <c r="D110" i="33"/>
  <c r="D64" i="34"/>
  <c r="D106" i="33"/>
  <c r="D60" i="34"/>
  <c r="D102" i="33"/>
  <c r="D56" i="34"/>
  <c r="D39" i="45" l="1"/>
  <c r="C34" i="62"/>
  <c r="D32" i="45"/>
  <c r="C28" i="62"/>
  <c r="A49" i="45"/>
  <c r="A66" i="45" s="1"/>
  <c r="A53" i="45"/>
  <c r="A54" i="45" s="1"/>
  <c r="A52" i="45"/>
  <c r="A67" i="45" s="1"/>
  <c r="C57" i="34"/>
  <c r="C72" i="34"/>
  <c r="D118" i="33"/>
  <c r="D134" i="33" s="1"/>
  <c r="D72" i="34"/>
  <c r="D126" i="33"/>
  <c r="D142" i="33" s="1"/>
  <c r="D80" i="34"/>
  <c r="D117" i="33"/>
  <c r="D133" i="33" s="1"/>
  <c r="D71" i="34"/>
  <c r="D119" i="33"/>
  <c r="D135" i="33" s="1"/>
  <c r="D73" i="34"/>
  <c r="D128" i="33"/>
  <c r="D144" i="33" s="1"/>
  <c r="D82" i="34"/>
  <c r="D127" i="33"/>
  <c r="D143" i="33" s="1"/>
  <c r="D81" i="34"/>
  <c r="D129" i="33"/>
  <c r="D145" i="33" s="1"/>
  <c r="D83" i="34"/>
  <c r="D130" i="33"/>
  <c r="D146" i="33" s="1"/>
  <c r="D84" i="34"/>
  <c r="D122" i="33"/>
  <c r="D138" i="33" s="1"/>
  <c r="D76" i="34"/>
  <c r="D131" i="33"/>
  <c r="D147" i="33" s="1"/>
  <c r="D85" i="34"/>
  <c r="D125" i="33"/>
  <c r="D141" i="33" s="1"/>
  <c r="D79" i="34"/>
  <c r="D123" i="33"/>
  <c r="D139" i="33" s="1"/>
  <c r="D77" i="34"/>
  <c r="D116" i="33"/>
  <c r="D70" i="34"/>
  <c r="D124" i="33"/>
  <c r="D140" i="33" s="1"/>
  <c r="D78" i="34"/>
  <c r="D121" i="33"/>
  <c r="D137" i="33" s="1"/>
  <c r="D75" i="34"/>
  <c r="D120" i="33"/>
  <c r="D136" i="33" s="1"/>
  <c r="D74" i="34"/>
  <c r="D33" i="45" l="1"/>
  <c r="C30" i="62" s="1"/>
  <c r="C29" i="62"/>
  <c r="D40" i="45"/>
  <c r="C36" i="62" s="1"/>
  <c r="C35" i="62"/>
  <c r="R61" i="34"/>
  <c r="H64" i="34"/>
  <c r="O62" i="34"/>
  <c r="S61" i="34"/>
  <c r="H67" i="34"/>
  <c r="M64" i="34"/>
  <c r="L69" i="34"/>
  <c r="J33" i="45" s="1"/>
  <c r="S68" i="34"/>
  <c r="V58" i="34"/>
  <c r="X54" i="34"/>
  <c r="Z63" i="34"/>
  <c r="K60" i="34"/>
  <c r="Q67" i="34"/>
  <c r="D132" i="33"/>
  <c r="AC64" i="34"/>
  <c r="O57" i="34"/>
  <c r="O67" i="34"/>
  <c r="U60" i="34"/>
  <c r="W60" i="34"/>
  <c r="AB69" i="34"/>
  <c r="U63" i="34"/>
  <c r="AB63" i="34"/>
  <c r="Q61" i="34"/>
  <c r="O54" i="34"/>
  <c r="Q54" i="34"/>
  <c r="U59" i="34"/>
  <c r="K59" i="34"/>
  <c r="H58" i="34"/>
  <c r="X58" i="34"/>
  <c r="U55" i="34"/>
  <c r="I55" i="34"/>
  <c r="H66" i="34"/>
  <c r="F31" i="45" s="1"/>
  <c r="AB66" i="34"/>
  <c r="U68" i="34"/>
  <c r="O68" i="34"/>
  <c r="P64" i="34"/>
  <c r="Q57" i="34"/>
  <c r="I60" i="34"/>
  <c r="S69" i="34"/>
  <c r="Q33" i="45" s="1"/>
  <c r="M69" i="34"/>
  <c r="K33" i="45" s="1"/>
  <c r="J63" i="34"/>
  <c r="W63" i="34"/>
  <c r="H61" i="34"/>
  <c r="V62" i="34"/>
  <c r="L62" i="34"/>
  <c r="J59" i="34"/>
  <c r="AA59" i="34"/>
  <c r="O58" i="34"/>
  <c r="Q58" i="34"/>
  <c r="J55" i="34"/>
  <c r="W55" i="34"/>
  <c r="O66" i="34"/>
  <c r="M31" i="45" s="1"/>
  <c r="Y66" i="34"/>
  <c r="W31" i="45" s="1"/>
  <c r="I68" i="34"/>
  <c r="Z64" i="34"/>
  <c r="Z57" i="34"/>
  <c r="V67" i="34"/>
  <c r="T60" i="34"/>
  <c r="R60" i="34"/>
  <c r="AC69" i="34"/>
  <c r="I63" i="34"/>
  <c r="T63" i="34"/>
  <c r="X61" i="34"/>
  <c r="V54" i="34"/>
  <c r="H62" i="34"/>
  <c r="AB62" i="34"/>
  <c r="R59" i="34"/>
  <c r="AB59" i="34"/>
  <c r="R55" i="34"/>
  <c r="L55" i="34"/>
  <c r="T68" i="34"/>
  <c r="N68" i="34"/>
  <c r="V66" i="34"/>
  <c r="T31" i="45" s="1"/>
  <c r="Y62" i="34"/>
  <c r="L66" i="34"/>
  <c r="J31" i="45" s="1"/>
  <c r="H54" i="34"/>
  <c r="P57" i="34"/>
  <c r="K77" i="34"/>
  <c r="AA77" i="34"/>
  <c r="V77" i="34"/>
  <c r="L77" i="34"/>
  <c r="R77" i="34"/>
  <c r="M77" i="34"/>
  <c r="Z77" i="34"/>
  <c r="R84" i="34"/>
  <c r="Z84" i="34"/>
  <c r="U84" i="34"/>
  <c r="K84" i="34"/>
  <c r="L84" i="34"/>
  <c r="AB84" i="34"/>
  <c r="M84" i="34"/>
  <c r="J65" i="34"/>
  <c r="V56" i="34"/>
  <c r="Y56" i="34"/>
  <c r="X56" i="34"/>
  <c r="H68" i="34"/>
  <c r="Z68" i="34"/>
  <c r="Q68" i="34"/>
  <c r="P68" i="34"/>
  <c r="Q66" i="34"/>
  <c r="X66" i="34"/>
  <c r="AC66" i="34"/>
  <c r="AA66" i="34"/>
  <c r="K66" i="34"/>
  <c r="R66" i="34"/>
  <c r="S55" i="34"/>
  <c r="N55" i="34"/>
  <c r="Q55" i="34"/>
  <c r="J58" i="34"/>
  <c r="T58" i="34"/>
  <c r="U58" i="34"/>
  <c r="AA58" i="34"/>
  <c r="K58" i="34"/>
  <c r="R58" i="34"/>
  <c r="P59" i="34"/>
  <c r="W59" i="34"/>
  <c r="N59" i="34"/>
  <c r="Q59" i="34"/>
  <c r="M62" i="34"/>
  <c r="X62" i="34"/>
  <c r="U62" i="34"/>
  <c r="AA62" i="34"/>
  <c r="K62" i="34"/>
  <c r="R62" i="34"/>
  <c r="J54" i="34"/>
  <c r="T54" i="34"/>
  <c r="U54" i="34"/>
  <c r="AA54" i="34"/>
  <c r="K54" i="34"/>
  <c r="R54" i="34"/>
  <c r="AC61" i="34"/>
  <c r="M61" i="34"/>
  <c r="N61" i="34"/>
  <c r="T61" i="34"/>
  <c r="O61" i="34"/>
  <c r="S63" i="34"/>
  <c r="L63" i="34"/>
  <c r="V63" i="34"/>
  <c r="X63" i="34"/>
  <c r="Q63" i="34"/>
  <c r="Y69" i="34"/>
  <c r="H69" i="34"/>
  <c r="X69" i="34"/>
  <c r="Z69" i="34"/>
  <c r="O69" i="34"/>
  <c r="O60" i="34"/>
  <c r="N60" i="34"/>
  <c r="Q60" i="34"/>
  <c r="P60" i="34"/>
  <c r="AA67" i="34"/>
  <c r="K67" i="34"/>
  <c r="R67" i="34"/>
  <c r="X67" i="34"/>
  <c r="AC67" i="34"/>
  <c r="M67" i="34"/>
  <c r="AC57" i="34"/>
  <c r="M57" i="34"/>
  <c r="AB57" i="34"/>
  <c r="L57" i="34"/>
  <c r="N57" i="34"/>
  <c r="AA57" i="34"/>
  <c r="K57" i="34"/>
  <c r="J64" i="34"/>
  <c r="V64" i="34"/>
  <c r="O64" i="34"/>
  <c r="Y64" i="34"/>
  <c r="AB64" i="34"/>
  <c r="L64" i="34"/>
  <c r="I65" i="34"/>
  <c r="AC65" i="34"/>
  <c r="M65" i="34"/>
  <c r="AB65" i="34"/>
  <c r="L65" i="34"/>
  <c r="S65" i="34"/>
  <c r="W56" i="34"/>
  <c r="R56" i="34"/>
  <c r="I56" i="34"/>
  <c r="U56" i="34"/>
  <c r="O56" i="34"/>
  <c r="T56" i="34"/>
  <c r="L74" i="34"/>
  <c r="P74" i="34"/>
  <c r="T74" i="34"/>
  <c r="AB74" i="34"/>
  <c r="H74" i="34"/>
  <c r="AA74" i="34"/>
  <c r="I74" i="34"/>
  <c r="M74" i="34"/>
  <c r="U74" i="34"/>
  <c r="Y74" i="34"/>
  <c r="AC74" i="34"/>
  <c r="S74" i="34"/>
  <c r="J74" i="34"/>
  <c r="R74" i="34"/>
  <c r="V74" i="34"/>
  <c r="Z74" i="34"/>
  <c r="K74" i="34"/>
  <c r="W74" i="34"/>
  <c r="K85" i="34"/>
  <c r="O85" i="34"/>
  <c r="S85" i="34"/>
  <c r="AA85" i="34"/>
  <c r="Z85" i="34"/>
  <c r="L85" i="34"/>
  <c r="T85" i="34"/>
  <c r="X85" i="34"/>
  <c r="AB85" i="34"/>
  <c r="R85" i="34"/>
  <c r="H85" i="34"/>
  <c r="M85" i="34"/>
  <c r="Q85" i="34"/>
  <c r="U85" i="34"/>
  <c r="AC85" i="34"/>
  <c r="J85" i="34"/>
  <c r="K73" i="34"/>
  <c r="O73" i="34"/>
  <c r="S73" i="34"/>
  <c r="AA73" i="34"/>
  <c r="V73" i="34"/>
  <c r="L73" i="34"/>
  <c r="T73" i="34"/>
  <c r="X73" i="34"/>
  <c r="AB73" i="34"/>
  <c r="R73" i="34"/>
  <c r="I73" i="34"/>
  <c r="Q73" i="34"/>
  <c r="U73" i="34"/>
  <c r="Y73" i="34"/>
  <c r="N73" i="34"/>
  <c r="Z73" i="34"/>
  <c r="H65" i="34"/>
  <c r="Q65" i="34"/>
  <c r="P65" i="34"/>
  <c r="W65" i="34"/>
  <c r="J56" i="34"/>
  <c r="S56" i="34"/>
  <c r="AA56" i="34"/>
  <c r="M75" i="34"/>
  <c r="Q75" i="34"/>
  <c r="U75" i="34"/>
  <c r="AC75" i="34"/>
  <c r="L75" i="34"/>
  <c r="J75" i="34"/>
  <c r="N75" i="34"/>
  <c r="R75" i="34"/>
  <c r="Z75" i="34"/>
  <c r="T75" i="34"/>
  <c r="K75" i="34"/>
  <c r="S75" i="34"/>
  <c r="W75" i="34"/>
  <c r="AA75" i="34"/>
  <c r="P75" i="34"/>
  <c r="AB75" i="34"/>
  <c r="P70" i="34"/>
  <c r="T70" i="34"/>
  <c r="X70" i="34"/>
  <c r="H70" i="34"/>
  <c r="K70" i="34"/>
  <c r="AA70" i="34"/>
  <c r="I70" i="34"/>
  <c r="Q70" i="34"/>
  <c r="U70" i="34"/>
  <c r="Y70" i="34"/>
  <c r="J70" i="34"/>
  <c r="N70" i="34"/>
  <c r="V70" i="34"/>
  <c r="Z70" i="34"/>
  <c r="O70" i="34"/>
  <c r="W70" i="34"/>
  <c r="M79" i="34"/>
  <c r="Q79" i="34"/>
  <c r="U79" i="34"/>
  <c r="AC79" i="34"/>
  <c r="T79" i="34"/>
  <c r="J79" i="34"/>
  <c r="N79" i="34"/>
  <c r="R79" i="34"/>
  <c r="Z79" i="34"/>
  <c r="P79" i="34"/>
  <c r="AB79" i="34"/>
  <c r="K79" i="34"/>
  <c r="S79" i="34"/>
  <c r="W79" i="34"/>
  <c r="AA79" i="34"/>
  <c r="L79" i="34"/>
  <c r="X79" i="34"/>
  <c r="N76" i="34"/>
  <c r="R76" i="34"/>
  <c r="V76" i="34"/>
  <c r="M76" i="34"/>
  <c r="K76" i="34"/>
  <c r="O76" i="34"/>
  <c r="S76" i="34"/>
  <c r="AA76" i="34"/>
  <c r="L76" i="34"/>
  <c r="P76" i="34"/>
  <c r="X76" i="34"/>
  <c r="AB76" i="34"/>
  <c r="I76" i="34"/>
  <c r="U76" i="34"/>
  <c r="AC76" i="34"/>
  <c r="M83" i="34"/>
  <c r="Q83" i="34"/>
  <c r="U83" i="34"/>
  <c r="AC83" i="34"/>
  <c r="P83" i="34"/>
  <c r="J83" i="34"/>
  <c r="N83" i="34"/>
  <c r="R83" i="34"/>
  <c r="Z83" i="34"/>
  <c r="T83" i="34"/>
  <c r="K83" i="34"/>
  <c r="S83" i="34"/>
  <c r="W83" i="34"/>
  <c r="AA83" i="34"/>
  <c r="L83" i="34"/>
  <c r="X83" i="34"/>
  <c r="P82" i="34"/>
  <c r="T82" i="34"/>
  <c r="X82" i="34"/>
  <c r="H82" i="34"/>
  <c r="S82" i="34"/>
  <c r="I82" i="34"/>
  <c r="M82" i="34"/>
  <c r="Q82" i="34"/>
  <c r="Y82" i="34"/>
  <c r="AC82" i="34"/>
  <c r="W82" i="34"/>
  <c r="J82" i="34"/>
  <c r="R82" i="34"/>
  <c r="V82" i="34"/>
  <c r="Z82" i="34"/>
  <c r="O82" i="34"/>
  <c r="AA82" i="34"/>
  <c r="M71" i="34"/>
  <c r="Q71" i="34"/>
  <c r="U71" i="34"/>
  <c r="AC71" i="34"/>
  <c r="P71" i="34"/>
  <c r="J71" i="34"/>
  <c r="N71" i="34"/>
  <c r="V71" i="34"/>
  <c r="Z71" i="34"/>
  <c r="H71" i="34"/>
  <c r="K71" i="34"/>
  <c r="O71" i="34"/>
  <c r="W71" i="34"/>
  <c r="AA71" i="34"/>
  <c r="L71" i="34"/>
  <c r="T71" i="34"/>
  <c r="AB71" i="34"/>
  <c r="N72" i="34"/>
  <c r="R72" i="34"/>
  <c r="V72" i="34"/>
  <c r="Q72" i="34"/>
  <c r="K72" i="34"/>
  <c r="O72" i="34"/>
  <c r="S72" i="34"/>
  <c r="AA72" i="34"/>
  <c r="L72" i="34"/>
  <c r="P72" i="34"/>
  <c r="X72" i="34"/>
  <c r="AB72" i="34"/>
  <c r="M72" i="34"/>
  <c r="U72" i="34"/>
  <c r="AC72" i="34"/>
  <c r="J68" i="34"/>
  <c r="V68" i="34"/>
  <c r="W68" i="34"/>
  <c r="AC68" i="34"/>
  <c r="M68" i="34"/>
  <c r="AB68" i="34"/>
  <c r="L68" i="34"/>
  <c r="J66" i="34"/>
  <c r="T66" i="34"/>
  <c r="I66" i="34"/>
  <c r="W66" i="34"/>
  <c r="U66" i="34"/>
  <c r="N66" i="34"/>
  <c r="O55" i="34"/>
  <c r="T55" i="34"/>
  <c r="Z55" i="34"/>
  <c r="AB55" i="34"/>
  <c r="AC55" i="34"/>
  <c r="M55" i="34"/>
  <c r="P58" i="34"/>
  <c r="I58" i="34"/>
  <c r="W58" i="34"/>
  <c r="Y58" i="34"/>
  <c r="N58" i="34"/>
  <c r="S59" i="34"/>
  <c r="T59" i="34"/>
  <c r="Z59" i="34"/>
  <c r="X59" i="34"/>
  <c r="AC59" i="34"/>
  <c r="M59" i="34"/>
  <c r="J62" i="34"/>
  <c r="T62" i="34"/>
  <c r="I62" i="34"/>
  <c r="W62" i="34"/>
  <c r="AC62" i="34"/>
  <c r="N62" i="34"/>
  <c r="P54" i="34"/>
  <c r="I54" i="34"/>
  <c r="W54" i="34"/>
  <c r="AC54" i="34"/>
  <c r="N54" i="34"/>
  <c r="Y61" i="34"/>
  <c r="I61" i="34"/>
  <c r="P61" i="34"/>
  <c r="V61" i="34"/>
  <c r="AA61" i="34"/>
  <c r="K61" i="34"/>
  <c r="O63" i="34"/>
  <c r="R63" i="34"/>
  <c r="P63" i="34"/>
  <c r="AC63" i="34"/>
  <c r="M63" i="34"/>
  <c r="R69" i="34"/>
  <c r="U69" i="34"/>
  <c r="V69" i="34"/>
  <c r="T69" i="34"/>
  <c r="N69" i="34"/>
  <c r="AA69" i="34"/>
  <c r="K69" i="34"/>
  <c r="H60" i="34"/>
  <c r="Z60" i="34"/>
  <c r="AC60" i="34"/>
  <c r="M60" i="34"/>
  <c r="AB60" i="34"/>
  <c r="L60" i="34"/>
  <c r="T67" i="34"/>
  <c r="W67" i="34"/>
  <c r="AB67" i="34"/>
  <c r="N67" i="34"/>
  <c r="L67" i="34"/>
  <c r="Y67" i="34"/>
  <c r="Y57" i="34"/>
  <c r="H57" i="34"/>
  <c r="X57" i="34"/>
  <c r="I57" i="34"/>
  <c r="J57" i="34"/>
  <c r="W57" i="34"/>
  <c r="AA64" i="34"/>
  <c r="R64" i="34"/>
  <c r="I64" i="34"/>
  <c r="U64" i="34"/>
  <c r="W64" i="34"/>
  <c r="X64" i="34"/>
  <c r="Y65" i="34"/>
  <c r="X65" i="34"/>
  <c r="Z65" i="34"/>
  <c r="O65" i="34"/>
  <c r="K56" i="34"/>
  <c r="N56" i="34"/>
  <c r="Q56" i="34"/>
  <c r="P56" i="34"/>
  <c r="P78" i="34"/>
  <c r="T78" i="34"/>
  <c r="X78" i="34"/>
  <c r="AB78" i="34"/>
  <c r="H78" i="34"/>
  <c r="K78" i="34"/>
  <c r="W78" i="34"/>
  <c r="I78" i="34"/>
  <c r="M78" i="34"/>
  <c r="Q78" i="34"/>
  <c r="U78" i="34"/>
  <c r="Y78" i="34"/>
  <c r="AC78" i="34"/>
  <c r="S78" i="34"/>
  <c r="J78" i="34"/>
  <c r="N78" i="34"/>
  <c r="R78" i="34"/>
  <c r="V78" i="34"/>
  <c r="Z78" i="34"/>
  <c r="O78" i="34"/>
  <c r="AA78" i="34"/>
  <c r="K81" i="34"/>
  <c r="O81" i="34"/>
  <c r="S81" i="34"/>
  <c r="W81" i="34"/>
  <c r="AA81" i="34"/>
  <c r="N81" i="34"/>
  <c r="Z81" i="34"/>
  <c r="L81" i="34"/>
  <c r="P81" i="34"/>
  <c r="T81" i="34"/>
  <c r="X81" i="34"/>
  <c r="AB81" i="34"/>
  <c r="J81" i="34"/>
  <c r="V81" i="34"/>
  <c r="I81" i="34"/>
  <c r="M81" i="34"/>
  <c r="Q81" i="34"/>
  <c r="U81" i="34"/>
  <c r="Y81" i="34"/>
  <c r="AC81" i="34"/>
  <c r="R81" i="34"/>
  <c r="H81" i="34"/>
  <c r="J80" i="34"/>
  <c r="N80" i="34"/>
  <c r="R80" i="34"/>
  <c r="V80" i="34"/>
  <c r="Z80" i="34"/>
  <c r="Q80" i="34"/>
  <c r="AC80" i="34"/>
  <c r="K80" i="34"/>
  <c r="O80" i="34"/>
  <c r="S80" i="34"/>
  <c r="W80" i="34"/>
  <c r="AA80" i="34"/>
  <c r="M80" i="34"/>
  <c r="Y80" i="34"/>
  <c r="L80" i="34"/>
  <c r="P80" i="34"/>
  <c r="T80" i="34"/>
  <c r="X80" i="34"/>
  <c r="AB80" i="34"/>
  <c r="H80" i="34"/>
  <c r="I80" i="34"/>
  <c r="U80" i="34"/>
  <c r="AA68" i="34"/>
  <c r="R68" i="34"/>
  <c r="K68" i="34"/>
  <c r="Y68" i="34"/>
  <c r="X68" i="34"/>
  <c r="P66" i="34"/>
  <c r="S66" i="34"/>
  <c r="M66" i="34"/>
  <c r="Z66" i="34"/>
  <c r="X55" i="34"/>
  <c r="AA55" i="34"/>
  <c r="K55" i="34"/>
  <c r="H55" i="34"/>
  <c r="V55" i="34"/>
  <c r="P55" i="34"/>
  <c r="Y55" i="34"/>
  <c r="AC58" i="34"/>
  <c r="AB58" i="34"/>
  <c r="L58" i="34"/>
  <c r="S58" i="34"/>
  <c r="M58" i="34"/>
  <c r="Z58" i="34"/>
  <c r="I59" i="34"/>
  <c r="O59" i="34"/>
  <c r="H59" i="34"/>
  <c r="V59" i="34"/>
  <c r="L59" i="34"/>
  <c r="Y59" i="34"/>
  <c r="P62" i="34"/>
  <c r="S62" i="34"/>
  <c r="Q62" i="34"/>
  <c r="Z62" i="34"/>
  <c r="Y54" i="34"/>
  <c r="AB54" i="34"/>
  <c r="L54" i="34"/>
  <c r="S54" i="34"/>
  <c r="M54" i="34"/>
  <c r="Z54" i="34"/>
  <c r="Z61" i="34"/>
  <c r="U61" i="34"/>
  <c r="AB61" i="34"/>
  <c r="L61" i="34"/>
  <c r="J61" i="34"/>
  <c r="W61" i="34"/>
  <c r="AA63" i="34"/>
  <c r="K63" i="34"/>
  <c r="N63" i="34"/>
  <c r="H63" i="34"/>
  <c r="Y63" i="34"/>
  <c r="I69" i="34"/>
  <c r="Q69" i="34"/>
  <c r="P69" i="34"/>
  <c r="J69" i="34"/>
  <c r="W69" i="34"/>
  <c r="J60" i="34"/>
  <c r="V60" i="34"/>
  <c r="S60" i="34"/>
  <c r="Y60" i="34"/>
  <c r="AA60" i="34"/>
  <c r="X60" i="34"/>
  <c r="S67" i="34"/>
  <c r="P67" i="34"/>
  <c r="Z67" i="34"/>
  <c r="I67" i="34"/>
  <c r="J67" i="34"/>
  <c r="U67" i="34"/>
  <c r="V57" i="34"/>
  <c r="U57" i="34"/>
  <c r="R57" i="34"/>
  <c r="T57" i="34"/>
  <c r="S57" i="34"/>
  <c r="S64" i="34"/>
  <c r="N64" i="34"/>
  <c r="Q64" i="34"/>
  <c r="K64" i="34"/>
  <c r="T64" i="34"/>
  <c r="N65" i="34"/>
  <c r="U65" i="34"/>
  <c r="V65" i="34"/>
  <c r="T65" i="34"/>
  <c r="R65" i="34"/>
  <c r="AA65" i="34"/>
  <c r="K65" i="34"/>
  <c r="H56" i="34"/>
  <c r="Z56" i="34"/>
  <c r="AC56" i="34"/>
  <c r="M56" i="34"/>
  <c r="AB56" i="34"/>
  <c r="L56" i="34"/>
  <c r="C73" i="34"/>
  <c r="O77" i="34" l="1"/>
  <c r="AB77" i="34"/>
  <c r="Q77" i="34"/>
  <c r="I84" i="34"/>
  <c r="AA84" i="34"/>
  <c r="Y39" i="45" s="1"/>
  <c r="P84" i="34"/>
  <c r="N39" i="45" s="1"/>
  <c r="X74" i="34"/>
  <c r="O74" i="34"/>
  <c r="Q74" i="34"/>
  <c r="N74" i="34"/>
  <c r="W85" i="34"/>
  <c r="U40" i="45" s="1"/>
  <c r="N85" i="34"/>
  <c r="P85" i="34"/>
  <c r="I85" i="34"/>
  <c r="G40" i="45" s="1"/>
  <c r="Y85" i="34"/>
  <c r="W40" i="45" s="1"/>
  <c r="V85" i="34"/>
  <c r="W73" i="34"/>
  <c r="J73" i="34"/>
  <c r="P73" i="34"/>
  <c r="N35" i="45" s="1"/>
  <c r="M73" i="34"/>
  <c r="AC73" i="34"/>
  <c r="H73" i="34"/>
  <c r="I75" i="34"/>
  <c r="Y75" i="34"/>
  <c r="X75" i="34"/>
  <c r="V75" i="34"/>
  <c r="H75" i="34"/>
  <c r="O75" i="34"/>
  <c r="L70" i="34"/>
  <c r="AB70" i="34"/>
  <c r="S70" i="34"/>
  <c r="M70" i="34"/>
  <c r="K35" i="45" s="1"/>
  <c r="AC70" i="34"/>
  <c r="R70" i="34"/>
  <c r="I79" i="34"/>
  <c r="G37" i="45" s="1"/>
  <c r="Y79" i="34"/>
  <c r="V79" i="34"/>
  <c r="T37" i="45" s="1"/>
  <c r="H79" i="34"/>
  <c r="F37" i="45" s="1"/>
  <c r="O79" i="34"/>
  <c r="J76" i="34"/>
  <c r="Z76" i="34"/>
  <c r="X36" i="45" s="1"/>
  <c r="Y76" i="34"/>
  <c r="W76" i="34"/>
  <c r="Q76" i="34"/>
  <c r="T76" i="34"/>
  <c r="H76" i="34"/>
  <c r="I83" i="34"/>
  <c r="G39" i="45" s="1"/>
  <c r="Y83" i="34"/>
  <c r="AB83" i="34"/>
  <c r="V83" i="34"/>
  <c r="H83" i="34"/>
  <c r="O83" i="34"/>
  <c r="L82" i="34"/>
  <c r="AB82" i="34"/>
  <c r="U82" i="34"/>
  <c r="S38" i="45" s="1"/>
  <c r="K82" i="34"/>
  <c r="N82" i="34"/>
  <c r="L38" i="45" s="1"/>
  <c r="I71" i="34"/>
  <c r="Y71" i="34"/>
  <c r="X71" i="34"/>
  <c r="V35" i="45" s="1"/>
  <c r="R71" i="34"/>
  <c r="S71" i="34"/>
  <c r="J72" i="34"/>
  <c r="Z72" i="34"/>
  <c r="X35" i="45" s="1"/>
  <c r="Y72" i="34"/>
  <c r="W72" i="34"/>
  <c r="I72" i="34"/>
  <c r="T72" i="34"/>
  <c r="R35" i="45" s="1"/>
  <c r="H72" i="34"/>
  <c r="F35" i="45" s="1"/>
  <c r="L78" i="34"/>
  <c r="J36" i="45" s="1"/>
  <c r="S84" i="34"/>
  <c r="Q39" i="45" s="1"/>
  <c r="V84" i="34"/>
  <c r="T39" i="45" s="1"/>
  <c r="Y77" i="34"/>
  <c r="P77" i="34"/>
  <c r="N36" i="45" s="1"/>
  <c r="W77" i="34"/>
  <c r="O32" i="45"/>
  <c r="Y84" i="34"/>
  <c r="X84" i="34"/>
  <c r="V39" i="45" s="1"/>
  <c r="O84" i="34"/>
  <c r="J84" i="34"/>
  <c r="H39" i="45" s="1"/>
  <c r="AC77" i="34"/>
  <c r="I77" i="34"/>
  <c r="T77" i="34"/>
  <c r="J77" i="34"/>
  <c r="S77" i="34"/>
  <c r="Q36" i="45" s="1"/>
  <c r="H84" i="34"/>
  <c r="T84" i="34"/>
  <c r="Q84" i="34"/>
  <c r="O39" i="45" s="1"/>
  <c r="W84" i="34"/>
  <c r="AC84" i="34"/>
  <c r="N84" i="34"/>
  <c r="L39" i="45" s="1"/>
  <c r="N77" i="34"/>
  <c r="L36" i="45" s="1"/>
  <c r="U77" i="34"/>
  <c r="S36" i="45" s="1"/>
  <c r="X77" i="34"/>
  <c r="H77" i="34"/>
  <c r="M32" i="45"/>
  <c r="T29" i="45"/>
  <c r="F28" i="45"/>
  <c r="U30" i="45"/>
  <c r="O29" i="45"/>
  <c r="U33" i="45"/>
  <c r="Y30" i="45"/>
  <c r="Q29" i="45"/>
  <c r="N30" i="45"/>
  <c r="L28" i="45"/>
  <c r="U29" i="45"/>
  <c r="M38" i="45"/>
  <c r="R38" i="45"/>
  <c r="H40" i="45"/>
  <c r="Q40" i="45"/>
  <c r="V30" i="45"/>
  <c r="P28" i="45"/>
  <c r="Y29" i="45"/>
  <c r="S32" i="45"/>
  <c r="N32" i="45"/>
  <c r="H33" i="45"/>
  <c r="L30" i="45"/>
  <c r="X28" i="45"/>
  <c r="J28" i="45"/>
  <c r="X30" i="45"/>
  <c r="J32" i="45"/>
  <c r="U32" i="45"/>
  <c r="L33" i="45"/>
  <c r="P33" i="45"/>
  <c r="P30" i="45"/>
  <c r="N28" i="45"/>
  <c r="L29" i="45"/>
  <c r="G29" i="45"/>
  <c r="L31" i="45"/>
  <c r="G31" i="45"/>
  <c r="P38" i="45"/>
  <c r="U38" i="45"/>
  <c r="W38" i="45"/>
  <c r="G38" i="45"/>
  <c r="N38" i="45"/>
  <c r="X39" i="45"/>
  <c r="K39" i="45"/>
  <c r="Q37" i="45"/>
  <c r="N37" i="45"/>
  <c r="X37" i="45"/>
  <c r="H37" i="45"/>
  <c r="K37" i="45"/>
  <c r="M35" i="45"/>
  <c r="T35" i="45"/>
  <c r="O35" i="45"/>
  <c r="Y35" i="45"/>
  <c r="O40" i="45"/>
  <c r="V40" i="45"/>
  <c r="M40" i="45"/>
  <c r="I36" i="45"/>
  <c r="T36" i="45"/>
  <c r="V32" i="45"/>
  <c r="Y32" i="45"/>
  <c r="X33" i="45"/>
  <c r="T30" i="45"/>
  <c r="R28" i="45"/>
  <c r="P29" i="45"/>
  <c r="S29" i="45"/>
  <c r="P31" i="45"/>
  <c r="M28" i="45"/>
  <c r="F29" i="45"/>
  <c r="X32" i="45"/>
  <c r="F30" i="45"/>
  <c r="Q31" i="45"/>
  <c r="S33" i="45"/>
  <c r="F38" i="45"/>
  <c r="J39" i="45"/>
  <c r="U37" i="45"/>
  <c r="L37" i="45"/>
  <c r="S35" i="45"/>
  <c r="F40" i="45"/>
  <c r="K36" i="45"/>
  <c r="H32" i="45"/>
  <c r="Q32" i="45"/>
  <c r="N33" i="45"/>
  <c r="G33" i="45"/>
  <c r="K28" i="45"/>
  <c r="X29" i="45"/>
  <c r="J29" i="45"/>
  <c r="X31" i="45"/>
  <c r="N31" i="45"/>
  <c r="L32" i="45"/>
  <c r="R32" i="45"/>
  <c r="R33" i="45"/>
  <c r="K30" i="45"/>
  <c r="N29" i="45"/>
  <c r="R31" i="45"/>
  <c r="I38" i="45"/>
  <c r="J38" i="45"/>
  <c r="M37" i="45"/>
  <c r="W37" i="45"/>
  <c r="J35" i="45"/>
  <c r="T32" i="45"/>
  <c r="G30" i="45"/>
  <c r="T28" i="45"/>
  <c r="V28" i="45"/>
  <c r="M29" i="45"/>
  <c r="K40" i="45"/>
  <c r="P40" i="45"/>
  <c r="R40" i="45"/>
  <c r="X40" i="45"/>
  <c r="Y40" i="45"/>
  <c r="I40" i="45"/>
  <c r="P36" i="45"/>
  <c r="Y36" i="45"/>
  <c r="P32" i="45"/>
  <c r="V33" i="45"/>
  <c r="O30" i="45"/>
  <c r="J30" i="45"/>
  <c r="I28" i="45"/>
  <c r="H28" i="45"/>
  <c r="R29" i="45"/>
  <c r="V31" i="45"/>
  <c r="F32" i="45"/>
  <c r="O33" i="45"/>
  <c r="W32" i="45"/>
  <c r="Y33" i="45"/>
  <c r="G28" i="45"/>
  <c r="U31" i="45"/>
  <c r="T38" i="45"/>
  <c r="K38" i="45"/>
  <c r="J37" i="45"/>
  <c r="O37" i="45"/>
  <c r="S40" i="45"/>
  <c r="J40" i="45"/>
  <c r="I32" i="45"/>
  <c r="W33" i="45"/>
  <c r="S28" i="45"/>
  <c r="Y31" i="45"/>
  <c r="G32" i="45"/>
  <c r="W30" i="45"/>
  <c r="I30" i="45"/>
  <c r="Q28" i="45"/>
  <c r="W28" i="45"/>
  <c r="K29" i="45"/>
  <c r="K31" i="45"/>
  <c r="S30" i="45"/>
  <c r="R30" i="45"/>
  <c r="I33" i="45"/>
  <c r="T33" i="45"/>
  <c r="M30" i="45"/>
  <c r="U28" i="45"/>
  <c r="W29" i="45"/>
  <c r="S31" i="45"/>
  <c r="H31" i="45"/>
  <c r="Y38" i="45"/>
  <c r="X38" i="45"/>
  <c r="H38" i="45"/>
  <c r="O38" i="45"/>
  <c r="Q38" i="45"/>
  <c r="V38" i="45"/>
  <c r="I39" i="45"/>
  <c r="P39" i="45"/>
  <c r="S39" i="45"/>
  <c r="V37" i="45"/>
  <c r="Y37" i="45"/>
  <c r="I37" i="45"/>
  <c r="P37" i="45"/>
  <c r="R37" i="45"/>
  <c r="S37" i="45"/>
  <c r="L35" i="45"/>
  <c r="I35" i="45"/>
  <c r="T40" i="45"/>
  <c r="N40" i="45"/>
  <c r="L40" i="45"/>
  <c r="K32" i="45"/>
  <c r="M33" i="45"/>
  <c r="F33" i="45"/>
  <c r="Q30" i="45"/>
  <c r="Y28" i="45"/>
  <c r="I29" i="45"/>
  <c r="H29" i="45"/>
  <c r="I31" i="45"/>
  <c r="O31" i="45"/>
  <c r="H30" i="45"/>
  <c r="O28" i="45"/>
  <c r="V29" i="45"/>
  <c r="E25" i="36"/>
  <c r="E26" i="36"/>
  <c r="E27" i="36"/>
  <c r="E28" i="36"/>
  <c r="E29" i="36"/>
  <c r="E30" i="36"/>
  <c r="E31" i="36"/>
  <c r="E32" i="36"/>
  <c r="E33" i="36"/>
  <c r="E34" i="36"/>
  <c r="E36" i="36"/>
  <c r="E37" i="36"/>
  <c r="E38" i="36"/>
  <c r="E39" i="36"/>
  <c r="E35" i="36"/>
  <c r="E24" i="36"/>
  <c r="C39" i="36"/>
  <c r="C99" i="33" s="1"/>
  <c r="C115" i="33" s="1"/>
  <c r="C131" i="33" s="1"/>
  <c r="C147" i="33" s="1"/>
  <c r="C37" i="36"/>
  <c r="C97" i="33" s="1"/>
  <c r="C113" i="33" s="1"/>
  <c r="C129" i="33" s="1"/>
  <c r="C145" i="33" s="1"/>
  <c r="C36" i="36"/>
  <c r="C96" i="33" s="1"/>
  <c r="C112" i="33" s="1"/>
  <c r="C128" i="33" s="1"/>
  <c r="C144" i="33" s="1"/>
  <c r="C33" i="36"/>
  <c r="C93" i="33" s="1"/>
  <c r="C109" i="33" s="1"/>
  <c r="C125" i="33" s="1"/>
  <c r="C141" i="33" s="1"/>
  <c r="C28" i="36"/>
  <c r="C88" i="33" s="1"/>
  <c r="C104" i="33" s="1"/>
  <c r="C120" i="33" s="1"/>
  <c r="C136" i="33" s="1"/>
  <c r="C24" i="36"/>
  <c r="C84" i="33" s="1"/>
  <c r="C100" i="33" s="1"/>
  <c r="C116" i="33" s="1"/>
  <c r="C132" i="33" s="1"/>
  <c r="B24" i="36"/>
  <c r="B25" i="36" s="1"/>
  <c r="B26" i="36" s="1"/>
  <c r="B27" i="36" s="1"/>
  <c r="B28" i="36" s="1"/>
  <c r="B29" i="36" s="1"/>
  <c r="B30" i="36" s="1"/>
  <c r="B31" i="36" s="1"/>
  <c r="B32" i="36" s="1"/>
  <c r="B33" i="36" s="1"/>
  <c r="B34" i="36" s="1"/>
  <c r="B36" i="36" s="1"/>
  <c r="B37" i="36" s="1"/>
  <c r="B38" i="36" s="1"/>
  <c r="B39" i="36" s="1"/>
  <c r="B35" i="36" s="1"/>
  <c r="A24" i="36"/>
  <c r="A25" i="36" s="1"/>
  <c r="A26" i="36" s="1"/>
  <c r="A27" i="36" s="1"/>
  <c r="A28" i="36" s="1"/>
  <c r="A29" i="36" s="1"/>
  <c r="A30" i="36" s="1"/>
  <c r="A31" i="36" s="1"/>
  <c r="A32" i="36" s="1"/>
  <c r="A33" i="36" s="1"/>
  <c r="A34" i="36" s="1"/>
  <c r="A36" i="36" s="1"/>
  <c r="A37" i="36" s="1"/>
  <c r="A38" i="36" s="1"/>
  <c r="A39" i="36" s="1"/>
  <c r="A35" i="36" s="1"/>
  <c r="M39" i="45" l="1"/>
  <c r="G35" i="45"/>
  <c r="W35" i="45"/>
  <c r="F39" i="45"/>
  <c r="G36" i="45"/>
  <c r="G34" i="45" s="1"/>
  <c r="G62" i="45" s="1"/>
  <c r="U36" i="45"/>
  <c r="P35" i="45"/>
  <c r="P34" i="45" s="1"/>
  <c r="P62" i="45" s="1"/>
  <c r="M36" i="45"/>
  <c r="M34" i="45" s="1"/>
  <c r="M62" i="45" s="1"/>
  <c r="Q35" i="45"/>
  <c r="Q34" i="45" s="1"/>
  <c r="Q62" i="45" s="1"/>
  <c r="W36" i="45"/>
  <c r="U35" i="45"/>
  <c r="H36" i="45"/>
  <c r="H35" i="45"/>
  <c r="O36" i="45"/>
  <c r="O34" i="45" s="1"/>
  <c r="O62" i="45" s="1"/>
  <c r="V36" i="45"/>
  <c r="V34" i="45" s="1"/>
  <c r="V62" i="45" s="1"/>
  <c r="Y27" i="45"/>
  <c r="Y61" i="45" s="1"/>
  <c r="F36" i="45"/>
  <c r="U39" i="45"/>
  <c r="W39" i="45"/>
  <c r="R36" i="45"/>
  <c r="R39" i="45"/>
  <c r="I34" i="45"/>
  <c r="I62" i="45" s="1"/>
  <c r="S27" i="45"/>
  <c r="S61" i="45" s="1"/>
  <c r="V27" i="45"/>
  <c r="V61" i="45" s="1"/>
  <c r="F27" i="45"/>
  <c r="F61" i="45" s="1"/>
  <c r="S34" i="45"/>
  <c r="S62" i="45" s="1"/>
  <c r="N34" i="45"/>
  <c r="N62" i="45" s="1"/>
  <c r="N27" i="45"/>
  <c r="N61" i="45" s="1"/>
  <c r="I27" i="45"/>
  <c r="I61" i="45" s="1"/>
  <c r="J27" i="45"/>
  <c r="J61" i="45" s="1"/>
  <c r="U27" i="45"/>
  <c r="U61" i="45" s="1"/>
  <c r="G27" i="45"/>
  <c r="G61" i="45" s="1"/>
  <c r="K34" i="45"/>
  <c r="K62" i="45" s="1"/>
  <c r="K27" i="45"/>
  <c r="K61" i="45" s="1"/>
  <c r="R27" i="45"/>
  <c r="R61" i="45" s="1"/>
  <c r="Y34" i="45"/>
  <c r="Y62" i="45" s="1"/>
  <c r="T34" i="45"/>
  <c r="T62" i="45" s="1"/>
  <c r="X34" i="45"/>
  <c r="X62" i="45" s="1"/>
  <c r="L27" i="45"/>
  <c r="L61" i="45" s="1"/>
  <c r="W27" i="45"/>
  <c r="W61" i="45" s="1"/>
  <c r="O27" i="45"/>
  <c r="O61" i="45" s="1"/>
  <c r="L34" i="45"/>
  <c r="L62" i="45" s="1"/>
  <c r="Q27" i="45"/>
  <c r="Q61" i="45" s="1"/>
  <c r="J34" i="45"/>
  <c r="J62" i="45" s="1"/>
  <c r="H27" i="45"/>
  <c r="H61" i="45" s="1"/>
  <c r="T27" i="45"/>
  <c r="T61" i="45" s="1"/>
  <c r="M27" i="45"/>
  <c r="M61" i="45" s="1"/>
  <c r="X27" i="45"/>
  <c r="X61" i="45" s="1"/>
  <c r="P27" i="45"/>
  <c r="P61" i="45" s="1"/>
  <c r="C34" i="36"/>
  <c r="C94" i="33" s="1"/>
  <c r="C110" i="33" s="1"/>
  <c r="C126" i="33" s="1"/>
  <c r="C142" i="33" s="1"/>
  <c r="C25" i="36"/>
  <c r="C85" i="33" s="1"/>
  <c r="C101" i="33" s="1"/>
  <c r="C117" i="33" s="1"/>
  <c r="C133" i="33" s="1"/>
  <c r="C29" i="36"/>
  <c r="C38" i="36"/>
  <c r="C98" i="33" s="1"/>
  <c r="C114" i="33" s="1"/>
  <c r="C130" i="33" s="1"/>
  <c r="C146" i="33" s="1"/>
  <c r="C35" i="36"/>
  <c r="C95" i="33" s="1"/>
  <c r="C111" i="33" s="1"/>
  <c r="C127" i="33" s="1"/>
  <c r="C143" i="33" s="1"/>
  <c r="F34" i="45" l="1"/>
  <c r="F62" i="45" s="1"/>
  <c r="H34" i="45"/>
  <c r="H62" i="45" s="1"/>
  <c r="W34" i="45"/>
  <c r="W62" i="45" s="1"/>
  <c r="U34" i="45"/>
  <c r="U62" i="45" s="1"/>
  <c r="R34" i="45"/>
  <c r="R62" i="45" s="1"/>
  <c r="C26" i="36"/>
  <c r="C27" i="36" s="1"/>
  <c r="C87" i="33" s="1"/>
  <c r="C103" i="33" s="1"/>
  <c r="C119" i="33" s="1"/>
  <c r="C135" i="33" s="1"/>
  <c r="C89" i="33"/>
  <c r="C105" i="33" s="1"/>
  <c r="C121" i="33" s="1"/>
  <c r="C137" i="33" s="1"/>
  <c r="C30" i="36"/>
  <c r="C86" i="33" l="1"/>
  <c r="C102" i="33" s="1"/>
  <c r="C118" i="33" s="1"/>
  <c r="C134" i="33" s="1"/>
  <c r="C90" i="33"/>
  <c r="C106" i="33" s="1"/>
  <c r="C122" i="33" s="1"/>
  <c r="C138" i="33" s="1"/>
  <c r="C31" i="36"/>
  <c r="C91" i="33" l="1"/>
  <c r="C107" i="33" s="1"/>
  <c r="C123" i="33" s="1"/>
  <c r="C139" i="33" s="1"/>
  <c r="C32" i="36"/>
  <c r="C92" i="33" s="1"/>
  <c r="C108" i="33" s="1"/>
  <c r="C124" i="33" s="1"/>
  <c r="C140" i="33" s="1"/>
  <c r="E21" i="45" l="1"/>
  <c r="D21" i="45"/>
  <c r="C21" i="62" s="1"/>
  <c r="B20" i="45"/>
  <c r="B21" i="45" s="1"/>
  <c r="B22" i="45" s="1"/>
  <c r="B23" i="45" s="1"/>
  <c r="B24" i="45" s="1"/>
  <c r="B25" i="45" s="1"/>
  <c r="B26" i="45" s="1"/>
  <c r="B19" i="45" s="1"/>
  <c r="B60" i="45" s="1"/>
  <c r="C26" i="45"/>
  <c r="A24" i="62" s="1"/>
  <c r="B24" i="62" s="1"/>
  <c r="B12" i="45"/>
  <c r="B13" i="45" s="1"/>
  <c r="E6" i="45"/>
  <c r="D6" i="45"/>
  <c r="C8" i="62" s="1"/>
  <c r="B36" i="34"/>
  <c r="B37" i="34" s="1"/>
  <c r="B38" i="34" s="1"/>
  <c r="B39" i="34" s="1"/>
  <c r="B40" i="34" s="1"/>
  <c r="B41" i="34" s="1"/>
  <c r="B42" i="34" s="1"/>
  <c r="B43" i="34" s="1"/>
  <c r="B44" i="34" s="1"/>
  <c r="B45" i="34" s="1"/>
  <c r="B46" i="34" s="1"/>
  <c r="B47" i="34" s="1"/>
  <c r="B48" i="34" s="1"/>
  <c r="B49" i="34" s="1"/>
  <c r="B50" i="34" s="1"/>
  <c r="B51" i="34" s="1"/>
  <c r="B52" i="34" s="1"/>
  <c r="B53" i="34" s="1"/>
  <c r="B18" i="34"/>
  <c r="B19" i="34" s="1"/>
  <c r="B20" i="34" s="1"/>
  <c r="B21" i="34" s="1"/>
  <c r="B22" i="34" s="1"/>
  <c r="B23" i="34" s="1"/>
  <c r="B24" i="34" s="1"/>
  <c r="B25" i="34" s="1"/>
  <c r="B26" i="34" s="1"/>
  <c r="B27" i="34" s="1"/>
  <c r="B28" i="34" s="1"/>
  <c r="B29" i="34" s="1"/>
  <c r="B30" i="34" s="1"/>
  <c r="B31" i="34" s="1"/>
  <c r="B32" i="34" s="1"/>
  <c r="B33" i="34" s="1"/>
  <c r="B34" i="34" s="1"/>
  <c r="B35" i="34" s="1"/>
  <c r="B4" i="34"/>
  <c r="B5" i="34" s="1"/>
  <c r="B6" i="34" s="1"/>
  <c r="B7" i="34" s="1"/>
  <c r="B8" i="34" s="1"/>
  <c r="B9" i="34" s="1"/>
  <c r="B10" i="34" s="1"/>
  <c r="B11" i="34" s="1"/>
  <c r="B12" i="34" s="1"/>
  <c r="B13" i="34" s="1"/>
  <c r="B14" i="34" s="1"/>
  <c r="B15" i="34" s="1"/>
  <c r="B16" i="34" s="1"/>
  <c r="B17" i="34" s="1"/>
  <c r="A4" i="34"/>
  <c r="A5" i="34" s="1"/>
  <c r="A6" i="34" s="1"/>
  <c r="A7" i="34" s="1"/>
  <c r="A8" i="34" s="1"/>
  <c r="A9" i="34" s="1"/>
  <c r="A10" i="34" s="1"/>
  <c r="A11" i="34" s="1"/>
  <c r="A12" i="34" s="1"/>
  <c r="A13" i="34" s="1"/>
  <c r="A14" i="34" s="1"/>
  <c r="A15" i="34" s="1"/>
  <c r="A16" i="34" s="1"/>
  <c r="A17" i="34" s="1"/>
  <c r="A18" i="34" s="1"/>
  <c r="A19" i="34" s="1"/>
  <c r="A20" i="34" s="1"/>
  <c r="A21" i="34" s="1"/>
  <c r="A22" i="34" s="1"/>
  <c r="A23" i="34" s="1"/>
  <c r="A24" i="34" s="1"/>
  <c r="A25" i="34" s="1"/>
  <c r="A26" i="34" s="1"/>
  <c r="A27" i="34" s="1"/>
  <c r="A28" i="34" s="1"/>
  <c r="A29" i="34" s="1"/>
  <c r="A30" i="34" s="1"/>
  <c r="A31" i="34" s="1"/>
  <c r="A32" i="34" s="1"/>
  <c r="A33" i="34" s="1"/>
  <c r="A34" i="34" s="1"/>
  <c r="A35" i="34" s="1"/>
  <c r="A36" i="34" s="1"/>
  <c r="A37" i="34" s="1"/>
  <c r="A38" i="34" s="1"/>
  <c r="A39" i="34" s="1"/>
  <c r="A40" i="34" s="1"/>
  <c r="A41" i="34" s="1"/>
  <c r="A42" i="34" s="1"/>
  <c r="A43" i="34" s="1"/>
  <c r="A44" i="34" s="1"/>
  <c r="A45" i="34" s="1"/>
  <c r="A46" i="34" s="1"/>
  <c r="A47" i="34" s="1"/>
  <c r="A48" i="34" s="1"/>
  <c r="A49" i="34" s="1"/>
  <c r="A50" i="34" s="1"/>
  <c r="A51" i="34" s="1"/>
  <c r="A52" i="34" s="1"/>
  <c r="A53" i="34" s="1"/>
  <c r="B36" i="33"/>
  <c r="B37" i="33" s="1"/>
  <c r="B38" i="33" s="1"/>
  <c r="B39" i="33" s="1"/>
  <c r="B40" i="33" s="1"/>
  <c r="B41" i="33" s="1"/>
  <c r="B42" i="33" s="1"/>
  <c r="B43" i="33" s="1"/>
  <c r="B44" i="33" s="1"/>
  <c r="B45" i="33" s="1"/>
  <c r="B46" i="33" s="1"/>
  <c r="B47" i="33" s="1"/>
  <c r="B48" i="33" s="1"/>
  <c r="B49" i="33" s="1"/>
  <c r="B50" i="33" s="1"/>
  <c r="B51" i="33" s="1"/>
  <c r="B52" i="33" s="1"/>
  <c r="B53" i="33" s="1"/>
  <c r="B54" i="33" s="1"/>
  <c r="B55" i="33" s="1"/>
  <c r="B56" i="33" s="1"/>
  <c r="B57" i="33" s="1"/>
  <c r="B58" i="33" s="1"/>
  <c r="B59" i="33" s="1"/>
  <c r="B60" i="33" s="1"/>
  <c r="B61" i="33" s="1"/>
  <c r="B62" i="33" s="1"/>
  <c r="B63" i="33" s="1"/>
  <c r="B64" i="33" s="1"/>
  <c r="B65" i="33" s="1"/>
  <c r="B66" i="33" s="1"/>
  <c r="B67" i="33" s="1"/>
  <c r="B68" i="33" s="1"/>
  <c r="B69" i="33" s="1"/>
  <c r="B70" i="33" s="1"/>
  <c r="B71" i="33" s="1"/>
  <c r="B18" i="33"/>
  <c r="B19" i="33" s="1"/>
  <c r="B20" i="33" s="1"/>
  <c r="B21" i="33" s="1"/>
  <c r="B22" i="33" s="1"/>
  <c r="B23" i="33" s="1"/>
  <c r="B24" i="33" s="1"/>
  <c r="B25" i="33" s="1"/>
  <c r="B26" i="33" s="1"/>
  <c r="B27" i="33" s="1"/>
  <c r="B28" i="33" s="1"/>
  <c r="B29" i="33" s="1"/>
  <c r="B30" i="33" s="1"/>
  <c r="B31" i="33" s="1"/>
  <c r="B32" i="33" s="1"/>
  <c r="B33" i="33" s="1"/>
  <c r="B34" i="33" s="1"/>
  <c r="B35" i="33" s="1"/>
  <c r="B4" i="33"/>
  <c r="B5" i="33" s="1"/>
  <c r="B6" i="33" s="1"/>
  <c r="B7" i="33" s="1"/>
  <c r="B8" i="33" s="1"/>
  <c r="B9" i="33" s="1"/>
  <c r="B10" i="33" s="1"/>
  <c r="B11" i="33" s="1"/>
  <c r="B12" i="33" s="1"/>
  <c r="B13" i="33" s="1"/>
  <c r="B14" i="33" s="1"/>
  <c r="B15" i="33" s="1"/>
  <c r="B16" i="33" s="1"/>
  <c r="B17" i="33" s="1"/>
  <c r="A4" i="33"/>
  <c r="A5" i="33" s="1"/>
  <c r="A6" i="33" s="1"/>
  <c r="A7" i="33" s="1"/>
  <c r="A8" i="33" s="1"/>
  <c r="A9" i="33" s="1"/>
  <c r="A10" i="33" s="1"/>
  <c r="A11" i="33" s="1"/>
  <c r="A12" i="33" s="1"/>
  <c r="A13" i="33" s="1"/>
  <c r="A14" i="33" s="1"/>
  <c r="A15" i="33" s="1"/>
  <c r="A16" i="33" s="1"/>
  <c r="A17" i="33" s="1"/>
  <c r="A18" i="33" s="1"/>
  <c r="A19" i="33" s="1"/>
  <c r="A20" i="33" s="1"/>
  <c r="A21" i="33" s="1"/>
  <c r="A22" i="33" s="1"/>
  <c r="A23" i="33" s="1"/>
  <c r="A24" i="33" s="1"/>
  <c r="A25" i="33" s="1"/>
  <c r="A26" i="33" s="1"/>
  <c r="A27" i="33" s="1"/>
  <c r="A28" i="33" s="1"/>
  <c r="A29" i="33" s="1"/>
  <c r="A30" i="33" s="1"/>
  <c r="A31" i="33" s="1"/>
  <c r="A32" i="33" s="1"/>
  <c r="A33" i="33" s="1"/>
  <c r="A34" i="33" s="1"/>
  <c r="A35" i="33" s="1"/>
  <c r="A36" i="33" s="1"/>
  <c r="A37" i="33" s="1"/>
  <c r="A38" i="33" s="1"/>
  <c r="A39" i="33" s="1"/>
  <c r="A40" i="33" s="1"/>
  <c r="A41" i="33" s="1"/>
  <c r="A42" i="33" s="1"/>
  <c r="A43" i="33" s="1"/>
  <c r="A44" i="33" s="1"/>
  <c r="A45" i="33" s="1"/>
  <c r="A46" i="33" s="1"/>
  <c r="A47" i="33" s="1"/>
  <c r="A48" i="33" s="1"/>
  <c r="A49" i="33" s="1"/>
  <c r="A50" i="33" s="1"/>
  <c r="A51" i="33" s="1"/>
  <c r="A52" i="33" s="1"/>
  <c r="A53" i="33" s="1"/>
  <c r="A54" i="33" s="1"/>
  <c r="A55" i="33" s="1"/>
  <c r="A56" i="33" s="1"/>
  <c r="A57" i="33" s="1"/>
  <c r="A58" i="33" s="1"/>
  <c r="A59" i="33" s="1"/>
  <c r="A60" i="33" s="1"/>
  <c r="A61" i="33" s="1"/>
  <c r="A62" i="33" s="1"/>
  <c r="A63" i="33" s="1"/>
  <c r="A64" i="33" s="1"/>
  <c r="A65" i="33" s="1"/>
  <c r="A66" i="33" s="1"/>
  <c r="A67" i="33" s="1"/>
  <c r="A68" i="33" s="1"/>
  <c r="A69" i="33" s="1"/>
  <c r="A70" i="33" s="1"/>
  <c r="A71" i="33" s="1"/>
  <c r="A5" i="36"/>
  <c r="A6" i="36" s="1"/>
  <c r="A7" i="36" s="1"/>
  <c r="A8" i="36" s="1"/>
  <c r="A9" i="36" s="1"/>
  <c r="A10" i="36" s="1"/>
  <c r="A11" i="36" s="1"/>
  <c r="A12" i="36" s="1"/>
  <c r="A13" i="36" s="1"/>
  <c r="A14" i="36" s="1"/>
  <c r="A15" i="36" s="1"/>
  <c r="A16" i="36" s="1"/>
  <c r="A17" i="36" s="1"/>
  <c r="A18" i="36" s="1"/>
  <c r="A19" i="36" s="1"/>
  <c r="A20" i="36" s="1"/>
  <c r="A21" i="36" s="1"/>
  <c r="A22" i="36" s="1"/>
  <c r="B5" i="45"/>
  <c r="B6" i="45" s="1"/>
  <c r="B7" i="45" s="1"/>
  <c r="B8" i="45" s="1"/>
  <c r="B9" i="45" s="1"/>
  <c r="B10" i="45" s="1"/>
  <c r="C7" i="45"/>
  <c r="C8" i="45"/>
  <c r="A10" i="62" s="1"/>
  <c r="B10" i="62" s="1"/>
  <c r="C9" i="45"/>
  <c r="C10" i="45"/>
  <c r="C6" i="45"/>
  <c r="C5" i="45"/>
  <c r="A5" i="45"/>
  <c r="A6" i="45" s="1"/>
  <c r="A7" i="45" s="1"/>
  <c r="A8" i="45" s="1"/>
  <c r="A9" i="45" s="1"/>
  <c r="A10" i="45" s="1"/>
  <c r="A12" i="45" s="1"/>
  <c r="A13" i="45" s="1"/>
  <c r="A14" i="45" s="1"/>
  <c r="A15" i="45" s="1"/>
  <c r="A16" i="45" s="1"/>
  <c r="A17" i="45" s="1"/>
  <c r="A18" i="45" s="1"/>
  <c r="A20" i="45" s="1"/>
  <c r="A21" i="45" s="1"/>
  <c r="A22" i="45" s="1"/>
  <c r="A23" i="45" s="1"/>
  <c r="A24" i="45" s="1"/>
  <c r="A25" i="45" s="1"/>
  <c r="A26" i="45" s="1"/>
  <c r="T136" i="39"/>
  <c r="H77" i="46" s="1"/>
  <c r="O170" i="34" s="1"/>
  <c r="T137" i="39"/>
  <c r="H80" i="46" s="1"/>
  <c r="T138" i="39"/>
  <c r="T135" i="39"/>
  <c r="H78" i="46" s="1"/>
  <c r="J171" i="34" s="1"/>
  <c r="G37" i="33"/>
  <c r="G38" i="33" s="1"/>
  <c r="G39" i="33" s="1"/>
  <c r="G40" i="33" s="1"/>
  <c r="G41" i="33" s="1"/>
  <c r="G42" i="33" s="1"/>
  <c r="G43" i="33" s="1"/>
  <c r="G44" i="33" s="1"/>
  <c r="G45" i="33" s="1"/>
  <c r="G46" i="33" s="1"/>
  <c r="G47" i="33" s="1"/>
  <c r="G48" i="33" s="1"/>
  <c r="G49" i="33" s="1"/>
  <c r="G50" i="33" s="1"/>
  <c r="G51" i="33" s="1"/>
  <c r="G52" i="33" s="1"/>
  <c r="G53" i="33" s="1"/>
  <c r="F37" i="33"/>
  <c r="F38" i="33" s="1"/>
  <c r="F39" i="33" s="1"/>
  <c r="F40" i="33" s="1"/>
  <c r="F41" i="33" s="1"/>
  <c r="F42" i="33" s="1"/>
  <c r="F43" i="33" s="1"/>
  <c r="F44" i="33" s="1"/>
  <c r="F45" i="33" s="1"/>
  <c r="F46" i="33" s="1"/>
  <c r="F47" i="33" s="1"/>
  <c r="F48" i="33" s="1"/>
  <c r="F49" i="33" s="1"/>
  <c r="F50" i="33" s="1"/>
  <c r="F51" i="33" s="1"/>
  <c r="F52" i="33" s="1"/>
  <c r="F53" i="33" s="1"/>
  <c r="T112" i="39"/>
  <c r="H74" i="46" s="1"/>
  <c r="T110" i="39"/>
  <c r="H73" i="46" s="1"/>
  <c r="T131" i="39"/>
  <c r="T125" i="39"/>
  <c r="T25" i="39"/>
  <c r="H68" i="46" s="1"/>
  <c r="G125" i="39"/>
  <c r="G126" i="39"/>
  <c r="T126" i="39" s="1"/>
  <c r="G127" i="39"/>
  <c r="T127" i="39" s="1"/>
  <c r="G128" i="39"/>
  <c r="T128" i="39" s="1"/>
  <c r="G129" i="39"/>
  <c r="T129" i="39" s="1"/>
  <c r="G130" i="39"/>
  <c r="T130" i="39" s="1"/>
  <c r="G131" i="39"/>
  <c r="G132" i="39"/>
  <c r="T132" i="39" s="1"/>
  <c r="G133" i="39"/>
  <c r="T133" i="39" s="1"/>
  <c r="G124" i="39"/>
  <c r="T124" i="39" s="1"/>
  <c r="G115" i="39"/>
  <c r="T115" i="39" s="1"/>
  <c r="G116" i="39"/>
  <c r="T116" i="39" s="1"/>
  <c r="G117" i="39"/>
  <c r="T117" i="39" s="1"/>
  <c r="G118" i="39"/>
  <c r="T118" i="39" s="1"/>
  <c r="G119" i="39"/>
  <c r="T119" i="39" s="1"/>
  <c r="G120" i="39"/>
  <c r="T120" i="39" s="1"/>
  <c r="G121" i="39"/>
  <c r="T121" i="39" s="1"/>
  <c r="G122" i="39"/>
  <c r="T122" i="39" s="1"/>
  <c r="G123" i="39"/>
  <c r="T123" i="39" s="1"/>
  <c r="G114" i="39"/>
  <c r="T114" i="39" s="1"/>
  <c r="G28" i="39"/>
  <c r="T28" i="39" s="1"/>
  <c r="G27" i="39"/>
  <c r="T27" i="39" s="1"/>
  <c r="G26" i="39"/>
  <c r="T26" i="39" s="1"/>
  <c r="G23" i="39"/>
  <c r="T23" i="39" s="1"/>
  <c r="G24" i="39"/>
  <c r="T24" i="39" s="1"/>
  <c r="G22" i="39"/>
  <c r="T22" i="39" s="1"/>
  <c r="G13" i="39"/>
  <c r="T13" i="39" s="1"/>
  <c r="G14" i="39"/>
  <c r="T14" i="39" s="1"/>
  <c r="G15" i="39"/>
  <c r="T15" i="39" s="1"/>
  <c r="G16" i="39"/>
  <c r="T16" i="39" s="1"/>
  <c r="G17" i="39"/>
  <c r="T17" i="39" s="1"/>
  <c r="G18" i="39"/>
  <c r="T18" i="39" s="1"/>
  <c r="G19" i="39"/>
  <c r="T19" i="39" s="1"/>
  <c r="G20" i="39"/>
  <c r="T20" i="39" s="1"/>
  <c r="G21" i="39"/>
  <c r="T21" i="39" s="1"/>
  <c r="G12" i="39"/>
  <c r="T12" i="39" s="1"/>
  <c r="D18" i="36"/>
  <c r="D76" i="46" s="1"/>
  <c r="D17" i="36"/>
  <c r="D75" i="46" s="1"/>
  <c r="D7" i="36"/>
  <c r="D65" i="46" s="1"/>
  <c r="C7" i="36"/>
  <c r="G74" i="33"/>
  <c r="G75" i="33" s="1"/>
  <c r="G76" i="33" s="1"/>
  <c r="G77" i="33" s="1"/>
  <c r="G78" i="33" s="1"/>
  <c r="G79" i="33" s="1"/>
  <c r="G80" i="33" s="1"/>
  <c r="G81" i="33" s="1"/>
  <c r="G82" i="33" s="1"/>
  <c r="F74" i="33"/>
  <c r="F75" i="33" s="1"/>
  <c r="F76" i="33" s="1"/>
  <c r="F77" i="33" s="1"/>
  <c r="F78" i="33" s="1"/>
  <c r="F79" i="33" s="1"/>
  <c r="F80" i="33" s="1"/>
  <c r="F81" i="33" s="1"/>
  <c r="F82" i="33" s="1"/>
  <c r="E74" i="33"/>
  <c r="E75" i="33" s="1"/>
  <c r="E76" i="33" s="1"/>
  <c r="E77" i="33" s="1"/>
  <c r="E78" i="33" s="1"/>
  <c r="E79" i="33" s="1"/>
  <c r="E80" i="33" s="1"/>
  <c r="E81" i="33" s="1"/>
  <c r="E82" i="33" s="1"/>
  <c r="C73" i="33"/>
  <c r="C74" i="33" s="1"/>
  <c r="C75" i="33" s="1"/>
  <c r="C76" i="33" s="1"/>
  <c r="C77" i="33" s="1"/>
  <c r="C78" i="33" s="1"/>
  <c r="C79" i="33" s="1"/>
  <c r="C80" i="33" s="1"/>
  <c r="C81" i="33" s="1"/>
  <c r="C82" i="33" s="1"/>
  <c r="Q138" i="39"/>
  <c r="P138" i="39"/>
  <c r="Q137" i="39"/>
  <c r="P137" i="39"/>
  <c r="Q136" i="39"/>
  <c r="P136" i="39"/>
  <c r="Q135" i="39"/>
  <c r="P135" i="39"/>
  <c r="Q133" i="39"/>
  <c r="P133" i="39"/>
  <c r="Q132" i="39"/>
  <c r="P132" i="39"/>
  <c r="Q131" i="39"/>
  <c r="P131" i="39"/>
  <c r="Q130" i="39"/>
  <c r="P130" i="39"/>
  <c r="Q129" i="39"/>
  <c r="P129" i="39"/>
  <c r="Q128" i="39"/>
  <c r="P128" i="39"/>
  <c r="Q127" i="39"/>
  <c r="P127" i="39"/>
  <c r="Q126" i="39"/>
  <c r="P126" i="39"/>
  <c r="Q125" i="39"/>
  <c r="P125" i="39"/>
  <c r="Q124" i="39"/>
  <c r="P124" i="39"/>
  <c r="Q123" i="39"/>
  <c r="P123" i="39"/>
  <c r="Q122" i="39"/>
  <c r="P122" i="39"/>
  <c r="Q121" i="39"/>
  <c r="P121" i="39"/>
  <c r="Q120" i="39"/>
  <c r="P120" i="39"/>
  <c r="Q119" i="39"/>
  <c r="P119" i="39"/>
  <c r="Q118" i="39"/>
  <c r="P118" i="39"/>
  <c r="Q117" i="39"/>
  <c r="P117" i="39"/>
  <c r="Q116" i="39"/>
  <c r="P116" i="39"/>
  <c r="Q115" i="39"/>
  <c r="P115" i="39"/>
  <c r="Q114" i="39"/>
  <c r="P114" i="39"/>
  <c r="Q112" i="39"/>
  <c r="P112" i="39"/>
  <c r="Q110" i="39"/>
  <c r="P110" i="39"/>
  <c r="Q108" i="39"/>
  <c r="P108" i="39"/>
  <c r="Q107" i="39"/>
  <c r="P107" i="39"/>
  <c r="Q106" i="39"/>
  <c r="P106" i="39"/>
  <c r="Q105" i="39"/>
  <c r="P105" i="39"/>
  <c r="Q104" i="39"/>
  <c r="P104" i="39"/>
  <c r="Q103" i="39"/>
  <c r="P103" i="39"/>
  <c r="Q102" i="39"/>
  <c r="P102" i="39"/>
  <c r="Q101" i="39"/>
  <c r="P101" i="39"/>
  <c r="Q100" i="39"/>
  <c r="P100" i="39"/>
  <c r="Q99" i="39"/>
  <c r="P99" i="39"/>
  <c r="Q98" i="39"/>
  <c r="P98" i="39"/>
  <c r="Q97" i="39"/>
  <c r="P97" i="39"/>
  <c r="Q96" i="39"/>
  <c r="P96" i="39"/>
  <c r="Q95" i="39"/>
  <c r="P95" i="39"/>
  <c r="Q94" i="39"/>
  <c r="P94" i="39"/>
  <c r="Q93" i="39"/>
  <c r="P93" i="39"/>
  <c r="Q92" i="39"/>
  <c r="P92" i="39"/>
  <c r="Q91" i="39"/>
  <c r="P91" i="39"/>
  <c r="Q90" i="39"/>
  <c r="P90" i="39"/>
  <c r="Q89" i="39"/>
  <c r="P89" i="39"/>
  <c r="Q88" i="39"/>
  <c r="P88" i="39"/>
  <c r="Q87" i="39"/>
  <c r="P87" i="39"/>
  <c r="Q86" i="39"/>
  <c r="P86" i="39"/>
  <c r="Q85" i="39"/>
  <c r="P85" i="39"/>
  <c r="Q83" i="39"/>
  <c r="P83" i="39"/>
  <c r="Q82" i="39"/>
  <c r="P82" i="39"/>
  <c r="Q81" i="39"/>
  <c r="P81" i="39"/>
  <c r="Q80" i="39"/>
  <c r="P80" i="39"/>
  <c r="Q79" i="39"/>
  <c r="P79" i="39"/>
  <c r="Q78" i="39"/>
  <c r="P78" i="39"/>
  <c r="Q77" i="39"/>
  <c r="P77" i="39"/>
  <c r="Q76" i="39"/>
  <c r="P76" i="39"/>
  <c r="Q75" i="39"/>
  <c r="P75" i="39"/>
  <c r="Q74" i="39"/>
  <c r="P74" i="39"/>
  <c r="Q73" i="39"/>
  <c r="P73" i="39"/>
  <c r="Q72" i="39"/>
  <c r="P72" i="39"/>
  <c r="Q71" i="39"/>
  <c r="P71" i="39"/>
  <c r="Q70" i="39"/>
  <c r="P70" i="39"/>
  <c r="Q69" i="39"/>
  <c r="P69" i="39"/>
  <c r="Q68" i="39"/>
  <c r="P68" i="39"/>
  <c r="Q67" i="39"/>
  <c r="P67" i="39"/>
  <c r="Q66" i="39"/>
  <c r="P66" i="39"/>
  <c r="Q65" i="39"/>
  <c r="P65" i="39"/>
  <c r="Q64" i="39"/>
  <c r="P64" i="39"/>
  <c r="Q63" i="39"/>
  <c r="P63" i="39"/>
  <c r="Q62" i="39"/>
  <c r="P62" i="39"/>
  <c r="Q61" i="39"/>
  <c r="P61" i="39"/>
  <c r="Q60" i="39"/>
  <c r="P60" i="39"/>
  <c r="Q59" i="39"/>
  <c r="P59" i="39"/>
  <c r="Q58" i="39"/>
  <c r="P58" i="39"/>
  <c r="Q57" i="39"/>
  <c r="P57" i="39"/>
  <c r="Q56" i="39"/>
  <c r="P56" i="39"/>
  <c r="Q55" i="39"/>
  <c r="P55" i="39"/>
  <c r="Q54" i="39"/>
  <c r="P54" i="39"/>
  <c r="Q53" i="39"/>
  <c r="P53" i="39"/>
  <c r="Q52" i="39"/>
  <c r="P52" i="39"/>
  <c r="Q51" i="39"/>
  <c r="P51" i="39"/>
  <c r="Q50" i="39"/>
  <c r="P50" i="39"/>
  <c r="Q49" i="39"/>
  <c r="P49" i="39"/>
  <c r="Q48" i="39"/>
  <c r="P48" i="39"/>
  <c r="Q47" i="39"/>
  <c r="P47" i="39"/>
  <c r="Q46" i="39"/>
  <c r="P46" i="39"/>
  <c r="Q45" i="39"/>
  <c r="P45" i="39"/>
  <c r="Q44" i="39"/>
  <c r="P44" i="39"/>
  <c r="Q43" i="39"/>
  <c r="P43" i="39"/>
  <c r="Q42" i="39"/>
  <c r="P42" i="39"/>
  <c r="Q41" i="39"/>
  <c r="P41" i="39"/>
  <c r="Q40" i="39"/>
  <c r="P40" i="39"/>
  <c r="Q39" i="39"/>
  <c r="P39" i="39"/>
  <c r="Q38" i="39"/>
  <c r="P38" i="39"/>
  <c r="Q37" i="39"/>
  <c r="P37" i="39"/>
  <c r="Q36" i="39"/>
  <c r="P36" i="39"/>
  <c r="Q34" i="39"/>
  <c r="P34" i="39"/>
  <c r="Q33" i="39"/>
  <c r="P33" i="39"/>
  <c r="Q32" i="39"/>
  <c r="P32" i="39"/>
  <c r="Q31" i="39"/>
  <c r="P31" i="39"/>
  <c r="Q30" i="39"/>
  <c r="P30" i="39"/>
  <c r="Q29" i="39"/>
  <c r="P29" i="39"/>
  <c r="Q28" i="39"/>
  <c r="P28" i="39"/>
  <c r="Q27" i="39"/>
  <c r="P27" i="39"/>
  <c r="Q26" i="39"/>
  <c r="P26" i="39"/>
  <c r="Q25" i="39"/>
  <c r="P25" i="39"/>
  <c r="Q24" i="39"/>
  <c r="P24" i="39"/>
  <c r="Q23" i="39"/>
  <c r="P23" i="39"/>
  <c r="Q22" i="39"/>
  <c r="P22" i="39"/>
  <c r="Q21" i="39"/>
  <c r="P21" i="39"/>
  <c r="Q20" i="39"/>
  <c r="P20" i="39"/>
  <c r="Q19" i="39"/>
  <c r="P19" i="39"/>
  <c r="Q18" i="39"/>
  <c r="P18" i="39"/>
  <c r="Q17" i="39"/>
  <c r="P17" i="39"/>
  <c r="Q16" i="39"/>
  <c r="P16" i="39"/>
  <c r="Q15" i="39"/>
  <c r="P15" i="39"/>
  <c r="Q14" i="39"/>
  <c r="P14" i="39"/>
  <c r="Q13" i="39"/>
  <c r="P13" i="39"/>
  <c r="Q12" i="39"/>
  <c r="P12" i="39"/>
  <c r="Q10" i="39"/>
  <c r="P10" i="39"/>
  <c r="Q9" i="39"/>
  <c r="P9" i="39"/>
  <c r="Q8" i="39"/>
  <c r="P8" i="39"/>
  <c r="Q7" i="39"/>
  <c r="P7" i="39"/>
  <c r="Q6" i="39"/>
  <c r="P6" i="39"/>
  <c r="N136" i="39"/>
  <c r="H32" i="33" s="1"/>
  <c r="N137" i="39"/>
  <c r="H35" i="33" s="1"/>
  <c r="N138" i="39"/>
  <c r="H34" i="33" s="1"/>
  <c r="N135" i="39"/>
  <c r="H33" i="33" s="1"/>
  <c r="H41" i="33" l="1"/>
  <c r="H46" i="33"/>
  <c r="C20" i="45"/>
  <c r="A20" i="62" s="1"/>
  <c r="B20" i="62" s="1"/>
  <c r="A7" i="62"/>
  <c r="B7" i="62" s="1"/>
  <c r="C21" i="45"/>
  <c r="A21" i="62" s="1"/>
  <c r="B21" i="62" s="1"/>
  <c r="A8" i="62"/>
  <c r="B8" i="62" s="1"/>
  <c r="C22" i="45"/>
  <c r="A22" i="62" s="1"/>
  <c r="B22" i="62" s="1"/>
  <c r="A9" i="62"/>
  <c r="B9" i="62" s="1"/>
  <c r="C24" i="45"/>
  <c r="A11" i="62"/>
  <c r="B11" i="62" s="1"/>
  <c r="C25" i="45"/>
  <c r="A23" i="62" s="1"/>
  <c r="B23" i="62" s="1"/>
  <c r="A12" i="62"/>
  <c r="B12" i="62" s="1"/>
  <c r="AB64" i="36"/>
  <c r="X186" i="34"/>
  <c r="K64" i="36"/>
  <c r="Q80" i="36"/>
  <c r="Z80" i="36"/>
  <c r="AC80" i="36"/>
  <c r="AC121" i="34" s="1"/>
  <c r="P186" i="34"/>
  <c r="W64" i="36"/>
  <c r="H65" i="46"/>
  <c r="H38" i="33"/>
  <c r="W38" i="34" s="1"/>
  <c r="H75" i="46"/>
  <c r="H48" i="33"/>
  <c r="AI48" i="34" s="1"/>
  <c r="X81" i="36"/>
  <c r="H52" i="33"/>
  <c r="H79" i="46"/>
  <c r="AB81" i="36"/>
  <c r="AB186" i="34"/>
  <c r="K170" i="34"/>
  <c r="Z170" i="34"/>
  <c r="Q65" i="36"/>
  <c r="Q106" i="34" s="1"/>
  <c r="P80" i="36"/>
  <c r="H81" i="36"/>
  <c r="AC65" i="36"/>
  <c r="AC106" i="34" s="1"/>
  <c r="X170" i="34"/>
  <c r="X65" i="36"/>
  <c r="Q186" i="34"/>
  <c r="AC186" i="34"/>
  <c r="R171" i="34"/>
  <c r="W80" i="36"/>
  <c r="H187" i="34"/>
  <c r="AB187" i="34"/>
  <c r="AB80" i="36"/>
  <c r="AB121" i="34" s="1"/>
  <c r="K186" i="34"/>
  <c r="Z186" i="34"/>
  <c r="Q81" i="36"/>
  <c r="Q122" i="34" s="1"/>
  <c r="P170" i="34"/>
  <c r="H65" i="36"/>
  <c r="AC187" i="34"/>
  <c r="X64" i="36"/>
  <c r="X187" i="34"/>
  <c r="Q64" i="36"/>
  <c r="AC64" i="36"/>
  <c r="AC105" i="34" s="1"/>
  <c r="R81" i="36"/>
  <c r="W186" i="34"/>
  <c r="AC81" i="36"/>
  <c r="AH76" i="36"/>
  <c r="AH117" i="34" s="1"/>
  <c r="AG76" i="36"/>
  <c r="AG117" i="34" s="1"/>
  <c r="AF76" i="36"/>
  <c r="AF117" i="34" s="1"/>
  <c r="AE76" i="36"/>
  <c r="AE117" i="34" s="1"/>
  <c r="AI76" i="36"/>
  <c r="AI117" i="34" s="1"/>
  <c r="AD60" i="36"/>
  <c r="AD101" i="34" s="1"/>
  <c r="AI60" i="36"/>
  <c r="AI101" i="34" s="1"/>
  <c r="AD76" i="36"/>
  <c r="AD117" i="34" s="1"/>
  <c r="AG60" i="36"/>
  <c r="AG101" i="34" s="1"/>
  <c r="AH60" i="36"/>
  <c r="AH101" i="34" s="1"/>
  <c r="AF60" i="36"/>
  <c r="AF101" i="34" s="1"/>
  <c r="AE60" i="36"/>
  <c r="AE101" i="34" s="1"/>
  <c r="BP60" i="36"/>
  <c r="BP101" i="34" s="1"/>
  <c r="AJ76" i="36"/>
  <c r="AJ117" i="34" s="1"/>
  <c r="BG76" i="36"/>
  <c r="BG117" i="34" s="1"/>
  <c r="AU76" i="36"/>
  <c r="AU117" i="34" s="1"/>
  <c r="BL76" i="36"/>
  <c r="BL117" i="34" s="1"/>
  <c r="AN60" i="36"/>
  <c r="AN101" i="34" s="1"/>
  <c r="BF76" i="36"/>
  <c r="BF117" i="34" s="1"/>
  <c r="AT76" i="36"/>
  <c r="AT117" i="34" s="1"/>
  <c r="AR76" i="36"/>
  <c r="AR117" i="34" s="1"/>
  <c r="BE76" i="36"/>
  <c r="BE117" i="34" s="1"/>
  <c r="AS76" i="36"/>
  <c r="AS117" i="34" s="1"/>
  <c r="AP182" i="34"/>
  <c r="AK76" i="36"/>
  <c r="AK117" i="34" s="1"/>
  <c r="AM60" i="36"/>
  <c r="AM101" i="34" s="1"/>
  <c r="AX166" i="34"/>
  <c r="AY182" i="34"/>
  <c r="BP76" i="36"/>
  <c r="BP117" i="34" s="1"/>
  <c r="AJ60" i="36"/>
  <c r="AJ101" i="34" s="1"/>
  <c r="BG60" i="36"/>
  <c r="BG101" i="34" s="1"/>
  <c r="AU60" i="36"/>
  <c r="AU101" i="34" s="1"/>
  <c r="BL60" i="36"/>
  <c r="BL101" i="34" s="1"/>
  <c r="AN76" i="36"/>
  <c r="AN117" i="34" s="1"/>
  <c r="BF60" i="36"/>
  <c r="BF101" i="34" s="1"/>
  <c r="AT60" i="36"/>
  <c r="AT101" i="34" s="1"/>
  <c r="AR60" i="36"/>
  <c r="AR101" i="34" s="1"/>
  <c r="BE60" i="36"/>
  <c r="BE101" i="34" s="1"/>
  <c r="AS60" i="36"/>
  <c r="AS101" i="34" s="1"/>
  <c r="BI60" i="36"/>
  <c r="BI101" i="34" s="1"/>
  <c r="AY166" i="34"/>
  <c r="AL182" i="34"/>
  <c r="AW166" i="34"/>
  <c r="BP166" i="34"/>
  <c r="AJ166" i="34"/>
  <c r="BG166" i="34"/>
  <c r="AU182" i="34"/>
  <c r="BL166" i="34"/>
  <c r="AN182" i="34"/>
  <c r="BF166" i="34"/>
  <c r="AT166" i="34"/>
  <c r="AR166" i="34"/>
  <c r="BE166" i="34"/>
  <c r="AS166" i="34"/>
  <c r="BC166" i="34"/>
  <c r="AX60" i="36"/>
  <c r="AX101" i="34" s="1"/>
  <c r="BI182" i="34"/>
  <c r="BK166" i="34"/>
  <c r="BP182" i="34"/>
  <c r="AJ182" i="34"/>
  <c r="BG182" i="34"/>
  <c r="AU166" i="34"/>
  <c r="BL182" i="34"/>
  <c r="AN166" i="34"/>
  <c r="BF182" i="34"/>
  <c r="AT182" i="34"/>
  <c r="AR182" i="34"/>
  <c r="BE182" i="34"/>
  <c r="AS182" i="34"/>
  <c r="AO60" i="36"/>
  <c r="AO101" i="34" s="1"/>
  <c r="AQ166" i="34"/>
  <c r="BM166" i="34"/>
  <c r="AQ182" i="34"/>
  <c r="AO182" i="34"/>
  <c r="AW60" i="36"/>
  <c r="AW101" i="34" s="1"/>
  <c r="AV166" i="34"/>
  <c r="BJ182" i="34"/>
  <c r="BH76" i="36"/>
  <c r="BH117" i="34" s="1"/>
  <c r="BO76" i="36"/>
  <c r="BO117" i="34" s="1"/>
  <c r="BC76" i="36"/>
  <c r="BC117" i="34" s="1"/>
  <c r="AQ76" i="36"/>
  <c r="AQ117" i="34" s="1"/>
  <c r="BD60" i="36"/>
  <c r="BD101" i="34" s="1"/>
  <c r="BN76" i="36"/>
  <c r="BN117" i="34" s="1"/>
  <c r="BB76" i="36"/>
  <c r="BB117" i="34" s="1"/>
  <c r="AP60" i="36"/>
  <c r="AP101" i="34" s="1"/>
  <c r="BM76" i="36"/>
  <c r="BM117" i="34" s="1"/>
  <c r="BA76" i="36"/>
  <c r="BA117" i="34" s="1"/>
  <c r="AO76" i="36"/>
  <c r="AO117" i="34" s="1"/>
  <c r="BN60" i="36"/>
  <c r="BN101" i="34" s="1"/>
  <c r="BM60" i="36"/>
  <c r="BM101" i="34" s="1"/>
  <c r="BC182" i="34"/>
  <c r="BD166" i="34"/>
  <c r="AP166" i="34"/>
  <c r="AO166" i="34"/>
  <c r="BB166" i="34"/>
  <c r="BM182" i="34"/>
  <c r="AW76" i="36"/>
  <c r="AW117" i="34" s="1"/>
  <c r="AV76" i="36"/>
  <c r="AV117" i="34" s="1"/>
  <c r="BJ166" i="34"/>
  <c r="AK166" i="34"/>
  <c r="AV182" i="34"/>
  <c r="AK182" i="34"/>
  <c r="BH60" i="36"/>
  <c r="BH101" i="34" s="1"/>
  <c r="BO60" i="36"/>
  <c r="BO101" i="34" s="1"/>
  <c r="BC60" i="36"/>
  <c r="BC101" i="34" s="1"/>
  <c r="AQ60" i="36"/>
  <c r="AQ101" i="34" s="1"/>
  <c r="BD76" i="36"/>
  <c r="BD117" i="34" s="1"/>
  <c r="BB60" i="36"/>
  <c r="BB101" i="34" s="1"/>
  <c r="AP76" i="36"/>
  <c r="AP117" i="34" s="1"/>
  <c r="BA60" i="36"/>
  <c r="BA101" i="34" s="1"/>
  <c r="BO166" i="34"/>
  <c r="BN182" i="34"/>
  <c r="BA166" i="34"/>
  <c r="BD182" i="34"/>
  <c r="BA182" i="34"/>
  <c r="AL60" i="36"/>
  <c r="AL101" i="34" s="1"/>
  <c r="AM182" i="34"/>
  <c r="AX182" i="34"/>
  <c r="BH182" i="34"/>
  <c r="BB182" i="34"/>
  <c r="BI76" i="36"/>
  <c r="BI117" i="34" s="1"/>
  <c r="BK182" i="34"/>
  <c r="BH166" i="34"/>
  <c r="BO182" i="34"/>
  <c r="BN166" i="34"/>
  <c r="AZ182" i="34"/>
  <c r="AZ60" i="36"/>
  <c r="AZ101" i="34" s="1"/>
  <c r="BK76" i="36"/>
  <c r="BK117" i="34" s="1"/>
  <c r="AY76" i="36"/>
  <c r="AY117" i="34" s="1"/>
  <c r="AM76" i="36"/>
  <c r="AM117" i="34" s="1"/>
  <c r="AV60" i="36"/>
  <c r="AV101" i="34" s="1"/>
  <c r="BJ76" i="36"/>
  <c r="BJ117" i="34" s="1"/>
  <c r="AX76" i="36"/>
  <c r="AX117" i="34" s="1"/>
  <c r="AL76" i="36"/>
  <c r="AL117" i="34" s="1"/>
  <c r="BJ60" i="36"/>
  <c r="BJ101" i="34" s="1"/>
  <c r="AL166" i="34"/>
  <c r="AM166" i="34"/>
  <c r="BI166" i="34"/>
  <c r="AZ76" i="36"/>
  <c r="AZ117" i="34" s="1"/>
  <c r="BK60" i="36"/>
  <c r="BK101" i="34" s="1"/>
  <c r="AY60" i="36"/>
  <c r="AY101" i="34" s="1"/>
  <c r="AK60" i="36"/>
  <c r="AK101" i="34" s="1"/>
  <c r="AW182" i="34"/>
  <c r="AZ166" i="34"/>
  <c r="X76" i="36"/>
  <c r="X117" i="34" s="1"/>
  <c r="Z182" i="34"/>
  <c r="P76" i="36"/>
  <c r="P117" i="34" s="1"/>
  <c r="AA182" i="34"/>
  <c r="I182" i="34"/>
  <c r="U166" i="34"/>
  <c r="K182" i="34"/>
  <c r="AD166" i="34"/>
  <c r="AE166" i="34"/>
  <c r="T76" i="36"/>
  <c r="T117" i="34" s="1"/>
  <c r="Y60" i="36"/>
  <c r="Y101" i="34" s="1"/>
  <c r="AC60" i="36"/>
  <c r="AC101" i="34" s="1"/>
  <c r="L60" i="36"/>
  <c r="L101" i="34" s="1"/>
  <c r="AB76" i="36"/>
  <c r="AB117" i="34" s="1"/>
  <c r="AC76" i="36"/>
  <c r="AC117" i="34" s="1"/>
  <c r="Z166" i="34"/>
  <c r="X182" i="34"/>
  <c r="Z60" i="36"/>
  <c r="Z101" i="34" s="1"/>
  <c r="P166" i="34"/>
  <c r="AA166" i="34"/>
  <c r="I76" i="36"/>
  <c r="I117" i="34" s="1"/>
  <c r="U76" i="36"/>
  <c r="U117" i="34" s="1"/>
  <c r="K166" i="34"/>
  <c r="AE182" i="34"/>
  <c r="AI182" i="34"/>
  <c r="H182" i="34"/>
  <c r="T182" i="34"/>
  <c r="W76" i="36"/>
  <c r="W117" i="34" s="1"/>
  <c r="AC182" i="34"/>
  <c r="V182" i="34"/>
  <c r="AG166" i="34"/>
  <c r="X166" i="34"/>
  <c r="Z76" i="36"/>
  <c r="Z117" i="34" s="1"/>
  <c r="P182" i="34"/>
  <c r="AA60" i="36"/>
  <c r="AA101" i="34" s="1"/>
  <c r="I60" i="36"/>
  <c r="I101" i="34" s="1"/>
  <c r="U60" i="36"/>
  <c r="U101" i="34" s="1"/>
  <c r="K76" i="36"/>
  <c r="K117" i="34" s="1"/>
  <c r="N166" i="34"/>
  <c r="W60" i="36"/>
  <c r="W101" i="34" s="1"/>
  <c r="N60" i="36"/>
  <c r="N101" i="34" s="1"/>
  <c r="AH182" i="34"/>
  <c r="AF166" i="34"/>
  <c r="AF182" i="34"/>
  <c r="L166" i="34"/>
  <c r="S166" i="34"/>
  <c r="I166" i="34"/>
  <c r="R182" i="34"/>
  <c r="H166" i="34"/>
  <c r="T166" i="34"/>
  <c r="N182" i="34"/>
  <c r="M60" i="36"/>
  <c r="M101" i="34" s="1"/>
  <c r="Y166" i="34"/>
  <c r="W166" i="34"/>
  <c r="AI166" i="34"/>
  <c r="Y182" i="34"/>
  <c r="M76" i="36"/>
  <c r="M117" i="34" s="1"/>
  <c r="R76" i="36"/>
  <c r="R117" i="34" s="1"/>
  <c r="Q166" i="34"/>
  <c r="S60" i="36"/>
  <c r="S101" i="34" s="1"/>
  <c r="J60" i="36"/>
  <c r="J101" i="34" s="1"/>
  <c r="O182" i="34"/>
  <c r="AD182" i="34"/>
  <c r="R166" i="34"/>
  <c r="H76" i="36"/>
  <c r="H117" i="34" s="1"/>
  <c r="T60" i="36"/>
  <c r="T101" i="34" s="1"/>
  <c r="N76" i="36"/>
  <c r="N117" i="34" s="1"/>
  <c r="M166" i="34"/>
  <c r="W182" i="34"/>
  <c r="Y76" i="36"/>
  <c r="Y117" i="34" s="1"/>
  <c r="H60" i="36"/>
  <c r="H101" i="34" s="1"/>
  <c r="AB166" i="34"/>
  <c r="O60" i="36"/>
  <c r="O101" i="34" s="1"/>
  <c r="AB182" i="34"/>
  <c r="AA76" i="36"/>
  <c r="AA117" i="34" s="1"/>
  <c r="R60" i="36"/>
  <c r="R101" i="34" s="1"/>
  <c r="AH166" i="34"/>
  <c r="O76" i="36"/>
  <c r="O117" i="34" s="1"/>
  <c r="X60" i="36"/>
  <c r="X101" i="34" s="1"/>
  <c r="M182" i="34"/>
  <c r="J166" i="34"/>
  <c r="U182" i="34"/>
  <c r="L76" i="36"/>
  <c r="L117" i="34" s="1"/>
  <c r="V166" i="34"/>
  <c r="J182" i="34"/>
  <c r="S76" i="36"/>
  <c r="S117" i="34" s="1"/>
  <c r="V60" i="36"/>
  <c r="V101" i="34" s="1"/>
  <c r="Q60" i="36"/>
  <c r="Q101" i="34" s="1"/>
  <c r="Q76" i="36"/>
  <c r="Q117" i="34" s="1"/>
  <c r="P60" i="36"/>
  <c r="P101" i="34" s="1"/>
  <c r="K60" i="36"/>
  <c r="K101" i="34" s="1"/>
  <c r="L182" i="34"/>
  <c r="V76" i="36"/>
  <c r="V117" i="34" s="1"/>
  <c r="J76" i="36"/>
  <c r="J117" i="34" s="1"/>
  <c r="S182" i="34"/>
  <c r="AB60" i="36"/>
  <c r="AB101" i="34" s="1"/>
  <c r="Q182" i="34"/>
  <c r="AC166" i="34"/>
  <c r="O166" i="34"/>
  <c r="AG182" i="34"/>
  <c r="Y81" i="36"/>
  <c r="Y122" i="34" s="1"/>
  <c r="O81" i="36"/>
  <c r="M81" i="36"/>
  <c r="N81" i="36"/>
  <c r="Q187" i="34"/>
  <c r="P64" i="36"/>
  <c r="H171" i="34"/>
  <c r="AC171" i="34"/>
  <c r="X80" i="36"/>
  <c r="X171" i="34"/>
  <c r="Q170" i="34"/>
  <c r="AC170" i="34"/>
  <c r="R187" i="34"/>
  <c r="W170" i="34"/>
  <c r="AE61" i="36"/>
  <c r="AG61" i="36"/>
  <c r="AF61" i="36"/>
  <c r="AD77" i="36"/>
  <c r="AH77" i="36"/>
  <c r="AE77" i="36"/>
  <c r="AI77" i="36"/>
  <c r="AI61" i="36"/>
  <c r="AG77" i="36"/>
  <c r="AD61" i="36"/>
  <c r="AH61" i="36"/>
  <c r="AF77" i="36"/>
  <c r="Y187" i="34"/>
  <c r="O65" i="36"/>
  <c r="M187" i="34"/>
  <c r="N65" i="36"/>
  <c r="V64" i="36"/>
  <c r="V105" i="34" s="1"/>
  <c r="AA81" i="36"/>
  <c r="I80" i="36"/>
  <c r="J64" i="36"/>
  <c r="J105" i="34" s="1"/>
  <c r="L171" i="34"/>
  <c r="H186" i="34"/>
  <c r="S65" i="36"/>
  <c r="S106" i="34" s="1"/>
  <c r="U187" i="34"/>
  <c r="AA64" i="36"/>
  <c r="AA105" i="34" s="1"/>
  <c r="W81" i="36"/>
  <c r="Z187" i="34"/>
  <c r="AM46" i="34"/>
  <c r="AR46" i="34"/>
  <c r="AT46" i="34"/>
  <c r="AJ46" i="34"/>
  <c r="AN46" i="34"/>
  <c r="AS46" i="34"/>
  <c r="AI46" i="34"/>
  <c r="BA46" i="34"/>
  <c r="BD46" i="34"/>
  <c r="BG46" i="34"/>
  <c r="BJ46" i="34"/>
  <c r="AU46" i="34"/>
  <c r="BI46" i="34"/>
  <c r="BF46" i="34"/>
  <c r="AX46" i="34"/>
  <c r="AQ46" i="34"/>
  <c r="BE46" i="34"/>
  <c r="BN46" i="34"/>
  <c r="AW46" i="34"/>
  <c r="AZ46" i="34"/>
  <c r="BC46" i="34"/>
  <c r="AO46" i="34"/>
  <c r="BO46" i="34"/>
  <c r="AK46" i="34"/>
  <c r="AP46" i="34"/>
  <c r="AV46" i="34"/>
  <c r="AY46" i="34"/>
  <c r="BB46" i="34"/>
  <c r="BM46" i="34"/>
  <c r="AL46" i="34"/>
  <c r="BH46" i="34"/>
  <c r="BP46" i="34"/>
  <c r="BL46" i="34"/>
  <c r="BK46" i="34"/>
  <c r="Y65" i="36"/>
  <c r="O171" i="34"/>
  <c r="M171" i="34"/>
  <c r="N171" i="34"/>
  <c r="V80" i="36"/>
  <c r="AA65" i="36"/>
  <c r="AA106" i="34" s="1"/>
  <c r="I186" i="34"/>
  <c r="J80" i="36"/>
  <c r="J121" i="34" s="1"/>
  <c r="L187" i="34"/>
  <c r="H64" i="36"/>
  <c r="S81" i="36"/>
  <c r="U81" i="36"/>
  <c r="U122" i="34" s="1"/>
  <c r="AA170" i="34"/>
  <c r="W187" i="34"/>
  <c r="Z171" i="34"/>
  <c r="R65" i="36"/>
  <c r="R106" i="34" s="1"/>
  <c r="H66" i="46"/>
  <c r="H47" i="33"/>
  <c r="AF47" i="34" s="1"/>
  <c r="Y171" i="34"/>
  <c r="O187" i="34"/>
  <c r="M65" i="36"/>
  <c r="N187" i="34"/>
  <c r="V186" i="34"/>
  <c r="AA187" i="34"/>
  <c r="I170" i="34"/>
  <c r="J186" i="34"/>
  <c r="L81" i="36"/>
  <c r="H170" i="34"/>
  <c r="S171" i="34"/>
  <c r="U171" i="34"/>
  <c r="AA80" i="36"/>
  <c r="AA121" i="34" s="1"/>
  <c r="W65" i="36"/>
  <c r="W106" i="34" s="1"/>
  <c r="Z65" i="36"/>
  <c r="T171" i="34"/>
  <c r="L186" i="34"/>
  <c r="U80" i="36"/>
  <c r="U121" i="34" s="1"/>
  <c r="V65" i="36"/>
  <c r="V170" i="34"/>
  <c r="AA171" i="34"/>
  <c r="I64" i="36"/>
  <c r="I105" i="34" s="1"/>
  <c r="J170" i="34"/>
  <c r="L65" i="36"/>
  <c r="L106" i="34" s="1"/>
  <c r="H80" i="36"/>
  <c r="H121" i="34" s="1"/>
  <c r="S187" i="34"/>
  <c r="U65" i="36"/>
  <c r="AA186" i="34"/>
  <c r="W171" i="34"/>
  <c r="Z81" i="36"/>
  <c r="Z122" i="34" s="1"/>
  <c r="H76" i="46"/>
  <c r="H49" i="33"/>
  <c r="AI49" i="34" s="1"/>
  <c r="T65" i="36"/>
  <c r="L170" i="34"/>
  <c r="U186" i="34"/>
  <c r="V81" i="36"/>
  <c r="V122" i="34" s="1"/>
  <c r="P187" i="34"/>
  <c r="I187" i="34"/>
  <c r="M186" i="34"/>
  <c r="R64" i="36"/>
  <c r="R105" i="34" s="1"/>
  <c r="K171" i="34"/>
  <c r="N64" i="36"/>
  <c r="N105" i="34" s="1"/>
  <c r="T64" i="36"/>
  <c r="Y80" i="36"/>
  <c r="Y121" i="34" s="1"/>
  <c r="J65" i="36"/>
  <c r="S64" i="36"/>
  <c r="S105" i="34" s="1"/>
  <c r="O64" i="36"/>
  <c r="AT41" i="34"/>
  <c r="AM41" i="34"/>
  <c r="AS41" i="34"/>
  <c r="AN41" i="34"/>
  <c r="AR41" i="34"/>
  <c r="AI41" i="34"/>
  <c r="BH41" i="34"/>
  <c r="BI41" i="34"/>
  <c r="AY41" i="34"/>
  <c r="AX41" i="34"/>
  <c r="BB41" i="34"/>
  <c r="AO41" i="34"/>
  <c r="BA41" i="34"/>
  <c r="AK41" i="34"/>
  <c r="BD41" i="34"/>
  <c r="BO41" i="34"/>
  <c r="BK41" i="34"/>
  <c r="AV41" i="34"/>
  <c r="AU41" i="34"/>
  <c r="AL41" i="34"/>
  <c r="BJ41" i="34"/>
  <c r="BE41" i="34"/>
  <c r="BL41" i="34"/>
  <c r="BN41" i="34"/>
  <c r="BM41" i="34"/>
  <c r="BC41" i="34"/>
  <c r="AZ41" i="34"/>
  <c r="BG41" i="34"/>
  <c r="BP41" i="34"/>
  <c r="AP41" i="34"/>
  <c r="AQ41" i="34"/>
  <c r="BF41" i="34"/>
  <c r="AW41" i="34"/>
  <c r="AB65" i="36"/>
  <c r="Q171" i="34"/>
  <c r="AH71" i="36"/>
  <c r="AI71" i="36"/>
  <c r="AG71" i="36"/>
  <c r="AI55" i="36"/>
  <c r="AH55" i="36"/>
  <c r="AE71" i="36"/>
  <c r="AD55" i="36"/>
  <c r="AF55" i="36"/>
  <c r="AE55" i="36"/>
  <c r="AG55" i="36"/>
  <c r="AD71" i="36"/>
  <c r="AF71" i="36"/>
  <c r="H50" i="33"/>
  <c r="T187" i="34"/>
  <c r="L80" i="36"/>
  <c r="L121" i="34" s="1"/>
  <c r="U64" i="36"/>
  <c r="U105" i="34" s="1"/>
  <c r="V171" i="34"/>
  <c r="P171" i="34"/>
  <c r="I81" i="36"/>
  <c r="M64" i="36"/>
  <c r="R80" i="36"/>
  <c r="K187" i="34"/>
  <c r="N80" i="36"/>
  <c r="T186" i="34"/>
  <c r="Y170" i="34"/>
  <c r="J187" i="34"/>
  <c r="S186" i="34"/>
  <c r="O80" i="36"/>
  <c r="O121" i="34" s="1"/>
  <c r="H39" i="33"/>
  <c r="AI39" i="34" s="1"/>
  <c r="H51" i="33"/>
  <c r="T81" i="36"/>
  <c r="L64" i="36"/>
  <c r="L105" i="34" s="1"/>
  <c r="U170" i="34"/>
  <c r="V187" i="34"/>
  <c r="P65" i="36"/>
  <c r="I65" i="36"/>
  <c r="I106" i="34" s="1"/>
  <c r="M170" i="34"/>
  <c r="R186" i="34"/>
  <c r="K65" i="36"/>
  <c r="K106" i="34" s="1"/>
  <c r="N186" i="34"/>
  <c r="T170" i="34"/>
  <c r="Y64" i="36"/>
  <c r="Y105" i="34" s="1"/>
  <c r="J81" i="36"/>
  <c r="S170" i="34"/>
  <c r="O186" i="34"/>
  <c r="C8" i="36"/>
  <c r="A53" i="57"/>
  <c r="H53" i="33"/>
  <c r="AB171" i="34"/>
  <c r="AB170" i="34"/>
  <c r="K80" i="36"/>
  <c r="K121" i="34" s="1"/>
  <c r="Z64" i="36"/>
  <c r="Z105" i="34" s="1"/>
  <c r="P81" i="36"/>
  <c r="I171" i="34"/>
  <c r="M80" i="36"/>
  <c r="R170" i="34"/>
  <c r="K81" i="36"/>
  <c r="N170" i="34"/>
  <c r="T80" i="36"/>
  <c r="Y186" i="34"/>
  <c r="S80" i="36"/>
  <c r="J33" i="34"/>
  <c r="N33" i="34"/>
  <c r="R33" i="34"/>
  <c r="V33" i="34"/>
  <c r="Z33" i="34"/>
  <c r="K33" i="34"/>
  <c r="O33" i="34"/>
  <c r="S33" i="34"/>
  <c r="W33" i="34"/>
  <c r="AA33" i="34"/>
  <c r="L33" i="34"/>
  <c r="P33" i="34"/>
  <c r="T33" i="34"/>
  <c r="X33" i="34"/>
  <c r="AB33" i="34"/>
  <c r="M33" i="34"/>
  <c r="Q33" i="34"/>
  <c r="U33" i="34"/>
  <c r="Y33" i="34"/>
  <c r="AC33" i="34"/>
  <c r="I33" i="34"/>
  <c r="H33" i="34"/>
  <c r="K34" i="34"/>
  <c r="O34" i="34"/>
  <c r="S34" i="34"/>
  <c r="W34" i="34"/>
  <c r="AA34" i="34"/>
  <c r="L34" i="34"/>
  <c r="P34" i="34"/>
  <c r="T34" i="34"/>
  <c r="X34" i="34"/>
  <c r="AB34" i="34"/>
  <c r="M34" i="34"/>
  <c r="Q34" i="34"/>
  <c r="U34" i="34"/>
  <c r="Y34" i="34"/>
  <c r="AC34" i="34"/>
  <c r="J34" i="34"/>
  <c r="N34" i="34"/>
  <c r="R34" i="34"/>
  <c r="V34" i="34"/>
  <c r="Z34" i="34"/>
  <c r="H34" i="34"/>
  <c r="I34" i="34"/>
  <c r="L39" i="34"/>
  <c r="T39" i="34"/>
  <c r="AB39" i="34"/>
  <c r="AF39" i="34"/>
  <c r="M39" i="34"/>
  <c r="Q39" i="34"/>
  <c r="J39" i="34"/>
  <c r="N39" i="34"/>
  <c r="R39" i="34"/>
  <c r="Z39" i="34"/>
  <c r="AD39" i="34"/>
  <c r="AH39" i="34"/>
  <c r="K39" i="34"/>
  <c r="W39" i="34"/>
  <c r="AE39" i="34"/>
  <c r="I39" i="34"/>
  <c r="H39" i="34"/>
  <c r="P47" i="34"/>
  <c r="T47" i="34"/>
  <c r="X47" i="34"/>
  <c r="AB47" i="34"/>
  <c r="Q47" i="34"/>
  <c r="Y47" i="34"/>
  <c r="AC47" i="34"/>
  <c r="AG47" i="34"/>
  <c r="N47" i="34"/>
  <c r="R47" i="34"/>
  <c r="V47" i="34"/>
  <c r="Z47" i="34"/>
  <c r="K47" i="34"/>
  <c r="S47" i="34"/>
  <c r="W47" i="34"/>
  <c r="AA47" i="34"/>
  <c r="I47" i="34"/>
  <c r="H47" i="34"/>
  <c r="L51" i="34"/>
  <c r="P51" i="34"/>
  <c r="T51" i="34"/>
  <c r="X51" i="34"/>
  <c r="AB51" i="34"/>
  <c r="M51" i="34"/>
  <c r="Q51" i="34"/>
  <c r="U51" i="34"/>
  <c r="Y51" i="34"/>
  <c r="AC51" i="34"/>
  <c r="J51" i="34"/>
  <c r="N51" i="34"/>
  <c r="R51" i="34"/>
  <c r="V51" i="34"/>
  <c r="Z51" i="34"/>
  <c r="K51" i="34"/>
  <c r="O51" i="34"/>
  <c r="S51" i="34"/>
  <c r="W51" i="34"/>
  <c r="AA51" i="34"/>
  <c r="I51" i="34"/>
  <c r="H51" i="34"/>
  <c r="L35" i="34"/>
  <c r="P35" i="34"/>
  <c r="T35" i="34"/>
  <c r="X35" i="34"/>
  <c r="AB35" i="34"/>
  <c r="M35" i="34"/>
  <c r="Q35" i="34"/>
  <c r="U35" i="34"/>
  <c r="Y35" i="34"/>
  <c r="AC35" i="34"/>
  <c r="J35" i="34"/>
  <c r="N35" i="34"/>
  <c r="R35" i="34"/>
  <c r="V35" i="34"/>
  <c r="Z35" i="34"/>
  <c r="K35" i="34"/>
  <c r="O35" i="34"/>
  <c r="S35" i="34"/>
  <c r="W35" i="34"/>
  <c r="AA35" i="34"/>
  <c r="H35" i="34"/>
  <c r="I35" i="34"/>
  <c r="M48" i="34"/>
  <c r="Q48" i="34"/>
  <c r="U48" i="34"/>
  <c r="Y48" i="34"/>
  <c r="AC48" i="34"/>
  <c r="AG48" i="34"/>
  <c r="J48" i="34"/>
  <c r="N48" i="34"/>
  <c r="R48" i="34"/>
  <c r="V48" i="34"/>
  <c r="Z48" i="34"/>
  <c r="AD48" i="34"/>
  <c r="AH48" i="34"/>
  <c r="K48" i="34"/>
  <c r="O48" i="34"/>
  <c r="S48" i="34"/>
  <c r="W48" i="34"/>
  <c r="AA48" i="34"/>
  <c r="AE48" i="34"/>
  <c r="L48" i="34"/>
  <c r="P48" i="34"/>
  <c r="T48" i="34"/>
  <c r="X48" i="34"/>
  <c r="AB48" i="34"/>
  <c r="AF48" i="34"/>
  <c r="H48" i="34"/>
  <c r="I48" i="34"/>
  <c r="O38" i="34"/>
  <c r="S38" i="34"/>
  <c r="L38" i="34"/>
  <c r="P38" i="34"/>
  <c r="AB38" i="34"/>
  <c r="M38" i="34"/>
  <c r="Y38" i="34"/>
  <c r="AC38" i="34"/>
  <c r="R38" i="34"/>
  <c r="V38" i="34"/>
  <c r="H38" i="34"/>
  <c r="K46" i="34"/>
  <c r="O46" i="34"/>
  <c r="S46" i="34"/>
  <c r="W46" i="34"/>
  <c r="AA46" i="34"/>
  <c r="AE46" i="34"/>
  <c r="L46" i="34"/>
  <c r="P46" i="34"/>
  <c r="T46" i="34"/>
  <c r="X46" i="34"/>
  <c r="AB46" i="34"/>
  <c r="AF46" i="34"/>
  <c r="M46" i="34"/>
  <c r="Q46" i="34"/>
  <c r="U46" i="34"/>
  <c r="Y46" i="34"/>
  <c r="AC46" i="34"/>
  <c r="AG46" i="34"/>
  <c r="J46" i="34"/>
  <c r="N46" i="34"/>
  <c r="R46" i="34"/>
  <c r="V46" i="34"/>
  <c r="Z46" i="34"/>
  <c r="AD46" i="34"/>
  <c r="AH46" i="34"/>
  <c r="I46" i="34"/>
  <c r="H46" i="34"/>
  <c r="K50" i="34"/>
  <c r="O50" i="34"/>
  <c r="S50" i="34"/>
  <c r="W50" i="34"/>
  <c r="AA50" i="34"/>
  <c r="L50" i="34"/>
  <c r="P50" i="34"/>
  <c r="T50" i="34"/>
  <c r="X50" i="34"/>
  <c r="AB50" i="34"/>
  <c r="M50" i="34"/>
  <c r="Q50" i="34"/>
  <c r="U50" i="34"/>
  <c r="Y50" i="34"/>
  <c r="AC50" i="34"/>
  <c r="J50" i="34"/>
  <c r="N50" i="34"/>
  <c r="R50" i="34"/>
  <c r="V50" i="34"/>
  <c r="Z50" i="34"/>
  <c r="I50" i="34"/>
  <c r="H50" i="34"/>
  <c r="M52" i="34"/>
  <c r="Q52" i="34"/>
  <c r="U52" i="34"/>
  <c r="Y52" i="34"/>
  <c r="AC52" i="34"/>
  <c r="J52" i="34"/>
  <c r="N52" i="34"/>
  <c r="R52" i="34"/>
  <c r="V52" i="34"/>
  <c r="Z52" i="34"/>
  <c r="K52" i="34"/>
  <c r="O52" i="34"/>
  <c r="S52" i="34"/>
  <c r="W52" i="34"/>
  <c r="AA52" i="34"/>
  <c r="L52" i="34"/>
  <c r="P52" i="34"/>
  <c r="T52" i="34"/>
  <c r="X52" i="34"/>
  <c r="AB52" i="34"/>
  <c r="H52" i="34"/>
  <c r="I52" i="34"/>
  <c r="M32" i="34"/>
  <c r="Q32" i="34"/>
  <c r="U32" i="34"/>
  <c r="Y32" i="34"/>
  <c r="AC32" i="34"/>
  <c r="J32" i="34"/>
  <c r="N32" i="34"/>
  <c r="R32" i="34"/>
  <c r="V32" i="34"/>
  <c r="Z32" i="34"/>
  <c r="K32" i="34"/>
  <c r="O32" i="34"/>
  <c r="S32" i="34"/>
  <c r="W32" i="34"/>
  <c r="AA32" i="34"/>
  <c r="L32" i="34"/>
  <c r="P32" i="34"/>
  <c r="T32" i="34"/>
  <c r="X32" i="34"/>
  <c r="AB32" i="34"/>
  <c r="I32" i="34"/>
  <c r="H32" i="34"/>
  <c r="J41" i="34"/>
  <c r="N41" i="34"/>
  <c r="R41" i="34"/>
  <c r="V41" i="34"/>
  <c r="Z41" i="34"/>
  <c r="AD41" i="34"/>
  <c r="AH41" i="34"/>
  <c r="K41" i="34"/>
  <c r="O41" i="34"/>
  <c r="S41" i="34"/>
  <c r="W41" i="34"/>
  <c r="AA41" i="34"/>
  <c r="AE41" i="34"/>
  <c r="L41" i="34"/>
  <c r="P41" i="34"/>
  <c r="T41" i="34"/>
  <c r="X41" i="34"/>
  <c r="AB41" i="34"/>
  <c r="AF41" i="34"/>
  <c r="M41" i="34"/>
  <c r="Q41" i="34"/>
  <c r="U41" i="34"/>
  <c r="Y41" i="34"/>
  <c r="AC41" i="34"/>
  <c r="AG41" i="34"/>
  <c r="I41" i="34"/>
  <c r="H41" i="34"/>
  <c r="J49" i="34"/>
  <c r="N49" i="34"/>
  <c r="R49" i="34"/>
  <c r="V49" i="34"/>
  <c r="Z49" i="34"/>
  <c r="AD49" i="34"/>
  <c r="AH49" i="34"/>
  <c r="K49" i="34"/>
  <c r="O49" i="34"/>
  <c r="S49" i="34"/>
  <c r="W49" i="34"/>
  <c r="AA49" i="34"/>
  <c r="AE49" i="34"/>
  <c r="L49" i="34"/>
  <c r="P49" i="34"/>
  <c r="T49" i="34"/>
  <c r="X49" i="34"/>
  <c r="AB49" i="34"/>
  <c r="AF49" i="34"/>
  <c r="M49" i="34"/>
  <c r="Q49" i="34"/>
  <c r="U49" i="34"/>
  <c r="Y49" i="34"/>
  <c r="AC49" i="34"/>
  <c r="AG49" i="34"/>
  <c r="I49" i="34"/>
  <c r="H49" i="34"/>
  <c r="D94" i="46"/>
  <c r="E76" i="46"/>
  <c r="D93" i="46"/>
  <c r="E75" i="46"/>
  <c r="E65" i="46"/>
  <c r="D83" i="46"/>
  <c r="H105" i="34"/>
  <c r="W121" i="34"/>
  <c r="T122" i="34"/>
  <c r="M106" i="34"/>
  <c r="P106" i="34"/>
  <c r="H106" i="34"/>
  <c r="L122" i="34"/>
  <c r="X105" i="34"/>
  <c r="Q105" i="34"/>
  <c r="J122" i="34"/>
  <c r="R122" i="34"/>
  <c r="Z106" i="34"/>
  <c r="Y106" i="34"/>
  <c r="I122" i="34"/>
  <c r="P121" i="34"/>
  <c r="H122" i="34"/>
  <c r="R121" i="34"/>
  <c r="X106" i="34"/>
  <c r="O122" i="34"/>
  <c r="M122" i="34"/>
  <c r="N122" i="34"/>
  <c r="V106" i="34"/>
  <c r="P122" i="34"/>
  <c r="P105" i="34"/>
  <c r="M121" i="34"/>
  <c r="K122" i="34"/>
  <c r="X121" i="34"/>
  <c r="T121" i="34"/>
  <c r="U106" i="34"/>
  <c r="S121" i="34"/>
  <c r="AB122" i="34"/>
  <c r="V121" i="34"/>
  <c r="M105" i="34"/>
  <c r="N121" i="34"/>
  <c r="S122" i="34"/>
  <c r="T106" i="34"/>
  <c r="AB106" i="34"/>
  <c r="O106" i="34"/>
  <c r="AB105" i="34"/>
  <c r="K105" i="34"/>
  <c r="N106" i="34"/>
  <c r="Z121" i="34"/>
  <c r="AA122" i="34"/>
  <c r="I121" i="34"/>
  <c r="AC122" i="34"/>
  <c r="X122" i="34"/>
  <c r="T105" i="34"/>
  <c r="Q121" i="34"/>
  <c r="J106" i="34"/>
  <c r="W122" i="34"/>
  <c r="W105" i="34"/>
  <c r="O105" i="34"/>
  <c r="U175" i="34"/>
  <c r="Z159" i="34"/>
  <c r="T69" i="36"/>
  <c r="X86" i="34"/>
  <c r="X87" i="34"/>
  <c r="R86" i="34"/>
  <c r="R87" i="34"/>
  <c r="AA86" i="34"/>
  <c r="AA87" i="34"/>
  <c r="H86" i="34"/>
  <c r="H87" i="34"/>
  <c r="U86" i="34"/>
  <c r="U87" i="34"/>
  <c r="L86" i="34"/>
  <c r="L87" i="34"/>
  <c r="S86" i="34"/>
  <c r="S87" i="34"/>
  <c r="N86" i="34"/>
  <c r="N87" i="34"/>
  <c r="W86" i="34"/>
  <c r="W87" i="34"/>
  <c r="Q86" i="34"/>
  <c r="Q87" i="34"/>
  <c r="AB86" i="34"/>
  <c r="AB87" i="34"/>
  <c r="Z86" i="34"/>
  <c r="Z87" i="34"/>
  <c r="J86" i="34"/>
  <c r="J87" i="34"/>
  <c r="O86" i="34"/>
  <c r="O87" i="34"/>
  <c r="AC86" i="34"/>
  <c r="AC87" i="34"/>
  <c r="M86" i="34"/>
  <c r="M87" i="34"/>
  <c r="T86" i="34"/>
  <c r="T87" i="34"/>
  <c r="P86" i="34"/>
  <c r="P87" i="34"/>
  <c r="V86" i="34"/>
  <c r="V87" i="34"/>
  <c r="K86" i="34"/>
  <c r="K87" i="34"/>
  <c r="Y86" i="34"/>
  <c r="Y87" i="34"/>
  <c r="I86" i="34"/>
  <c r="I87" i="34"/>
  <c r="P68" i="36"/>
  <c r="P52" i="36"/>
  <c r="P158" i="34"/>
  <c r="P174" i="34"/>
  <c r="AI159" i="34"/>
  <c r="AI175" i="34"/>
  <c r="S68" i="36"/>
  <c r="S52" i="36"/>
  <c r="S158" i="34"/>
  <c r="S174" i="34"/>
  <c r="I53" i="36"/>
  <c r="I69" i="36"/>
  <c r="I159" i="34"/>
  <c r="I175" i="34"/>
  <c r="Q68" i="36"/>
  <c r="Q52" i="36"/>
  <c r="Q158" i="34"/>
  <c r="Q174" i="34"/>
  <c r="H69" i="36"/>
  <c r="H53" i="36"/>
  <c r="H175" i="34"/>
  <c r="H159" i="34"/>
  <c r="AG175" i="34"/>
  <c r="AG159" i="34"/>
  <c r="J53" i="36"/>
  <c r="J69" i="36"/>
  <c r="J159" i="34"/>
  <c r="J175" i="34"/>
  <c r="AD159" i="34"/>
  <c r="AD175" i="34"/>
  <c r="AB53" i="36"/>
  <c r="AB69" i="36"/>
  <c r="AB159" i="34"/>
  <c r="AB175" i="34"/>
  <c r="Z53" i="36"/>
  <c r="X69" i="36"/>
  <c r="X53" i="36"/>
  <c r="X175" i="34"/>
  <c r="X159" i="34"/>
  <c r="AA69" i="36"/>
  <c r="AA53" i="36"/>
  <c r="AA159" i="34"/>
  <c r="AA175" i="34"/>
  <c r="R68" i="36"/>
  <c r="R158" i="34"/>
  <c r="R52" i="36"/>
  <c r="R174" i="34"/>
  <c r="M52" i="36"/>
  <c r="M68" i="36"/>
  <c r="M158" i="34"/>
  <c r="M174" i="34"/>
  <c r="Y68" i="36"/>
  <c r="Y174" i="34"/>
  <c r="Y52" i="36"/>
  <c r="Y158" i="34"/>
  <c r="P69" i="36"/>
  <c r="P53" i="36"/>
  <c r="P175" i="34"/>
  <c r="P159" i="34"/>
  <c r="O52" i="36"/>
  <c r="O174" i="34"/>
  <c r="O158" i="34"/>
  <c r="O68" i="36"/>
  <c r="U52" i="36"/>
  <c r="U68" i="36"/>
  <c r="U174" i="34"/>
  <c r="U158" i="34"/>
  <c r="AC68" i="36"/>
  <c r="AC174" i="34"/>
  <c r="AC52" i="36"/>
  <c r="AC158" i="34"/>
  <c r="W68" i="36"/>
  <c r="W52" i="36"/>
  <c r="W158" i="34"/>
  <c r="W174" i="34"/>
  <c r="S69" i="36"/>
  <c r="S53" i="36"/>
  <c r="S175" i="34"/>
  <c r="S159" i="34"/>
  <c r="Q69" i="36"/>
  <c r="Q53" i="36"/>
  <c r="Q175" i="34"/>
  <c r="Q159" i="34"/>
  <c r="L68" i="36"/>
  <c r="L52" i="36"/>
  <c r="L174" i="34"/>
  <c r="L158" i="34"/>
  <c r="M69" i="36"/>
  <c r="M175" i="34"/>
  <c r="M53" i="36"/>
  <c r="M159" i="34"/>
  <c r="Y69" i="36"/>
  <c r="Y53" i="36"/>
  <c r="Y159" i="34"/>
  <c r="Y175" i="34"/>
  <c r="K68" i="36"/>
  <c r="K52" i="36"/>
  <c r="K158" i="34"/>
  <c r="K174" i="34"/>
  <c r="O69" i="36"/>
  <c r="O175" i="34"/>
  <c r="O159" i="34"/>
  <c r="O53" i="36"/>
  <c r="U69" i="36"/>
  <c r="AC69" i="36"/>
  <c r="AC175" i="34"/>
  <c r="AC53" i="36"/>
  <c r="AC159" i="34"/>
  <c r="W69" i="36"/>
  <c r="W175" i="34"/>
  <c r="W159" i="34"/>
  <c r="W53" i="36"/>
  <c r="AH159" i="34"/>
  <c r="AH175" i="34"/>
  <c r="V68" i="36"/>
  <c r="V158" i="34"/>
  <c r="V52" i="36"/>
  <c r="V174" i="34"/>
  <c r="Z52" i="36"/>
  <c r="Z68" i="36"/>
  <c r="Z158" i="34"/>
  <c r="Z174" i="34"/>
  <c r="AA68" i="36"/>
  <c r="AA52" i="36"/>
  <c r="AA158" i="34"/>
  <c r="AA174" i="34"/>
  <c r="N68" i="36"/>
  <c r="N52" i="36"/>
  <c r="N158" i="34"/>
  <c r="N174" i="34"/>
  <c r="L69" i="36"/>
  <c r="L53" i="36"/>
  <c r="L159" i="34"/>
  <c r="L175" i="34"/>
  <c r="R69" i="36"/>
  <c r="R53" i="36"/>
  <c r="R159" i="34"/>
  <c r="R175" i="34"/>
  <c r="T68" i="36"/>
  <c r="T52" i="36"/>
  <c r="T158" i="34"/>
  <c r="T174" i="34"/>
  <c r="K69" i="36"/>
  <c r="K53" i="36"/>
  <c r="K175" i="34"/>
  <c r="K159" i="34"/>
  <c r="AF159" i="34"/>
  <c r="AF175" i="34"/>
  <c r="AE159" i="34"/>
  <c r="AE175" i="34"/>
  <c r="I68" i="36"/>
  <c r="I52" i="36"/>
  <c r="I174" i="34"/>
  <c r="I158" i="34"/>
  <c r="V69" i="36"/>
  <c r="V53" i="36"/>
  <c r="V159" i="34"/>
  <c r="V175" i="34"/>
  <c r="H68" i="36"/>
  <c r="H174" i="34"/>
  <c r="H52" i="36"/>
  <c r="H158" i="34"/>
  <c r="J68" i="36"/>
  <c r="J52" i="36"/>
  <c r="J174" i="34"/>
  <c r="J158" i="34"/>
  <c r="AB68" i="36"/>
  <c r="AB52" i="36"/>
  <c r="AB158" i="34"/>
  <c r="AB174" i="34"/>
  <c r="X68" i="36"/>
  <c r="X174" i="34"/>
  <c r="X52" i="36"/>
  <c r="X158" i="34"/>
  <c r="N69" i="36"/>
  <c r="N53" i="36"/>
  <c r="N159" i="34"/>
  <c r="N175" i="34"/>
  <c r="D20" i="33"/>
  <c r="E22" i="45"/>
  <c r="E7" i="45"/>
  <c r="E8" i="45" s="1"/>
  <c r="E9" i="45" s="1"/>
  <c r="D22" i="45"/>
  <c r="C22" i="62" s="1"/>
  <c r="D7" i="45"/>
  <c r="A19" i="45"/>
  <c r="A60" i="45" s="1"/>
  <c r="A11" i="45"/>
  <c r="A59" i="45" s="1"/>
  <c r="B4" i="45"/>
  <c r="B58" i="45" s="1"/>
  <c r="A4" i="45"/>
  <c r="A58" i="45" s="1"/>
  <c r="B14" i="45"/>
  <c r="C20" i="33"/>
  <c r="C6" i="33"/>
  <c r="C56" i="33"/>
  <c r="D6" i="33"/>
  <c r="D56" i="33"/>
  <c r="N133" i="39"/>
  <c r="N132" i="39"/>
  <c r="N131" i="39"/>
  <c r="N130" i="39"/>
  <c r="N129" i="39"/>
  <c r="N128" i="39"/>
  <c r="N127" i="39"/>
  <c r="N126" i="39"/>
  <c r="N125" i="39"/>
  <c r="N124" i="39"/>
  <c r="N123" i="39"/>
  <c r="N122" i="39"/>
  <c r="N121" i="39"/>
  <c r="N120" i="39"/>
  <c r="N119" i="39"/>
  <c r="N118" i="39"/>
  <c r="N117" i="39"/>
  <c r="N116" i="39"/>
  <c r="N115" i="39"/>
  <c r="N114" i="39"/>
  <c r="N112" i="39"/>
  <c r="H29" i="33" s="1"/>
  <c r="O29" i="34" s="1"/>
  <c r="N110" i="39"/>
  <c r="H28" i="33" s="1"/>
  <c r="R28" i="34" s="1"/>
  <c r="N28" i="39"/>
  <c r="N27" i="39"/>
  <c r="N26" i="39"/>
  <c r="N25" i="39"/>
  <c r="H23" i="33" s="1"/>
  <c r="AP23" i="34" s="1"/>
  <c r="N24" i="39"/>
  <c r="N23" i="39"/>
  <c r="N22" i="39"/>
  <c r="N21" i="39"/>
  <c r="N20" i="39"/>
  <c r="N19" i="39"/>
  <c r="N18" i="39"/>
  <c r="N17" i="39"/>
  <c r="N16" i="39"/>
  <c r="N15" i="39"/>
  <c r="N14" i="39"/>
  <c r="N13" i="39"/>
  <c r="N12" i="39"/>
  <c r="K138" i="39"/>
  <c r="J138" i="39"/>
  <c r="K137" i="39"/>
  <c r="J137" i="39"/>
  <c r="K136" i="39"/>
  <c r="J136" i="39"/>
  <c r="K135" i="39"/>
  <c r="J135" i="39"/>
  <c r="K133" i="39"/>
  <c r="J133" i="39"/>
  <c r="K132" i="39"/>
  <c r="J132" i="39"/>
  <c r="K131" i="39"/>
  <c r="J131" i="39"/>
  <c r="K130" i="39"/>
  <c r="J130" i="39"/>
  <c r="K129" i="39"/>
  <c r="J129" i="39"/>
  <c r="K128" i="39"/>
  <c r="J128" i="39"/>
  <c r="K127" i="39"/>
  <c r="J127" i="39"/>
  <c r="K126" i="39"/>
  <c r="J126" i="39"/>
  <c r="K125" i="39"/>
  <c r="J125" i="39"/>
  <c r="K124" i="39"/>
  <c r="J124" i="39"/>
  <c r="K123" i="39"/>
  <c r="J123" i="39"/>
  <c r="K122" i="39"/>
  <c r="J122" i="39"/>
  <c r="K121" i="39"/>
  <c r="J121" i="39"/>
  <c r="K120" i="39"/>
  <c r="J120" i="39"/>
  <c r="K119" i="39"/>
  <c r="J119" i="39"/>
  <c r="K118" i="39"/>
  <c r="J118" i="39"/>
  <c r="K117" i="39"/>
  <c r="J117" i="39"/>
  <c r="K116" i="39"/>
  <c r="J116" i="39"/>
  <c r="K115" i="39"/>
  <c r="J115" i="39"/>
  <c r="K114" i="39"/>
  <c r="J114" i="39"/>
  <c r="K112" i="39"/>
  <c r="J112" i="39"/>
  <c r="K110" i="39"/>
  <c r="J110" i="39"/>
  <c r="K108" i="39"/>
  <c r="J108" i="39"/>
  <c r="K107" i="39"/>
  <c r="J107" i="39"/>
  <c r="K106" i="39"/>
  <c r="J106" i="39"/>
  <c r="K105" i="39"/>
  <c r="J105" i="39"/>
  <c r="K104" i="39"/>
  <c r="J104" i="39"/>
  <c r="K103" i="39"/>
  <c r="J103" i="39"/>
  <c r="K102" i="39"/>
  <c r="J102" i="39"/>
  <c r="K101" i="39"/>
  <c r="J101" i="39"/>
  <c r="K100" i="39"/>
  <c r="J100" i="39"/>
  <c r="K99" i="39"/>
  <c r="J99" i="39"/>
  <c r="K98" i="39"/>
  <c r="J98" i="39"/>
  <c r="K97" i="39"/>
  <c r="J97" i="39"/>
  <c r="K96" i="39"/>
  <c r="J96" i="39"/>
  <c r="K95" i="39"/>
  <c r="J95" i="39"/>
  <c r="K94" i="39"/>
  <c r="J94" i="39"/>
  <c r="K93" i="39"/>
  <c r="J93" i="39"/>
  <c r="K92" i="39"/>
  <c r="J92" i="39"/>
  <c r="K91" i="39"/>
  <c r="J91" i="39"/>
  <c r="K90" i="39"/>
  <c r="J90" i="39"/>
  <c r="K89" i="39"/>
  <c r="J89" i="39"/>
  <c r="K88" i="39"/>
  <c r="J88" i="39"/>
  <c r="K87" i="39"/>
  <c r="J87" i="39"/>
  <c r="K86" i="39"/>
  <c r="J86" i="39"/>
  <c r="K85" i="39"/>
  <c r="J85" i="39"/>
  <c r="K83" i="39"/>
  <c r="J83" i="39"/>
  <c r="K82" i="39"/>
  <c r="J82" i="39"/>
  <c r="K81" i="39"/>
  <c r="J81" i="39"/>
  <c r="K80" i="39"/>
  <c r="J80" i="39"/>
  <c r="K79" i="39"/>
  <c r="J79" i="39"/>
  <c r="K78" i="39"/>
  <c r="J78" i="39"/>
  <c r="K77" i="39"/>
  <c r="J77" i="39"/>
  <c r="K76" i="39"/>
  <c r="J76" i="39"/>
  <c r="K75" i="39"/>
  <c r="J75" i="39"/>
  <c r="K74" i="39"/>
  <c r="J74" i="39"/>
  <c r="K73" i="39"/>
  <c r="J73" i="39"/>
  <c r="K72" i="39"/>
  <c r="J72" i="39"/>
  <c r="K71" i="39"/>
  <c r="J71" i="39"/>
  <c r="K70" i="39"/>
  <c r="J70" i="39"/>
  <c r="K69" i="39"/>
  <c r="J69" i="39"/>
  <c r="K68" i="39"/>
  <c r="J68" i="39"/>
  <c r="K67" i="39"/>
  <c r="J67" i="39"/>
  <c r="K66" i="39"/>
  <c r="J66" i="39"/>
  <c r="K65" i="39"/>
  <c r="J65" i="39"/>
  <c r="K64" i="39"/>
  <c r="J64" i="39"/>
  <c r="K63" i="39"/>
  <c r="J63" i="39"/>
  <c r="K62" i="39"/>
  <c r="J62" i="39"/>
  <c r="K61" i="39"/>
  <c r="J61" i="39"/>
  <c r="K60" i="39"/>
  <c r="J60" i="39"/>
  <c r="K59" i="39"/>
  <c r="J59" i="39"/>
  <c r="K58" i="39"/>
  <c r="J58" i="39"/>
  <c r="K57" i="39"/>
  <c r="J57" i="39"/>
  <c r="K56" i="39"/>
  <c r="J56" i="39"/>
  <c r="K55" i="39"/>
  <c r="J55" i="39"/>
  <c r="K54" i="39"/>
  <c r="J54" i="39"/>
  <c r="K53" i="39"/>
  <c r="J53" i="39"/>
  <c r="K52" i="39"/>
  <c r="J52" i="39"/>
  <c r="K51" i="39"/>
  <c r="J51" i="39"/>
  <c r="K50" i="39"/>
  <c r="J50" i="39"/>
  <c r="K49" i="39"/>
  <c r="J49" i="39"/>
  <c r="K48" i="39"/>
  <c r="J48" i="39"/>
  <c r="K47" i="39"/>
  <c r="J47" i="39"/>
  <c r="K46" i="39"/>
  <c r="J46" i="39"/>
  <c r="K45" i="39"/>
  <c r="J45" i="39"/>
  <c r="K44" i="39"/>
  <c r="J44" i="39"/>
  <c r="K43" i="39"/>
  <c r="J43" i="39"/>
  <c r="K42" i="39"/>
  <c r="J42" i="39"/>
  <c r="K41" i="39"/>
  <c r="J41" i="39"/>
  <c r="K40" i="39"/>
  <c r="J40" i="39"/>
  <c r="K39" i="39"/>
  <c r="J39" i="39"/>
  <c r="K38" i="39"/>
  <c r="J38" i="39"/>
  <c r="K37" i="39"/>
  <c r="J37" i="39"/>
  <c r="K36" i="39"/>
  <c r="J36" i="39"/>
  <c r="K34" i="39"/>
  <c r="J34" i="39"/>
  <c r="K33" i="39"/>
  <c r="J33" i="39"/>
  <c r="K32" i="39"/>
  <c r="J32" i="39"/>
  <c r="K31" i="39"/>
  <c r="J31" i="39"/>
  <c r="K30" i="39"/>
  <c r="J30" i="39"/>
  <c r="K29" i="39"/>
  <c r="J29" i="39"/>
  <c r="K28" i="39"/>
  <c r="J28" i="39"/>
  <c r="K27" i="39"/>
  <c r="J27" i="39"/>
  <c r="K26" i="39"/>
  <c r="J26" i="39"/>
  <c r="K25" i="39"/>
  <c r="J25" i="39"/>
  <c r="K24" i="39"/>
  <c r="J24" i="39"/>
  <c r="K23" i="39"/>
  <c r="J23" i="39"/>
  <c r="K22" i="39"/>
  <c r="J22" i="39"/>
  <c r="K21" i="39"/>
  <c r="J21" i="39"/>
  <c r="K20" i="39"/>
  <c r="J20" i="39"/>
  <c r="K19" i="39"/>
  <c r="J19" i="39"/>
  <c r="K18" i="39"/>
  <c r="J18" i="39"/>
  <c r="K17" i="39"/>
  <c r="J17" i="39"/>
  <c r="K16" i="39"/>
  <c r="J16" i="39"/>
  <c r="K15" i="39"/>
  <c r="J15" i="39"/>
  <c r="K14" i="39"/>
  <c r="J14" i="39"/>
  <c r="K13" i="39"/>
  <c r="J13" i="39"/>
  <c r="K12" i="39"/>
  <c r="J12" i="39"/>
  <c r="K10" i="39"/>
  <c r="J10" i="39"/>
  <c r="K9" i="39"/>
  <c r="J9" i="39"/>
  <c r="K8" i="39"/>
  <c r="J8" i="39"/>
  <c r="K7" i="39"/>
  <c r="J7" i="39"/>
  <c r="K6" i="39"/>
  <c r="J6" i="39"/>
  <c r="AQ28" i="34" l="1"/>
  <c r="AF29" i="34"/>
  <c r="I23" i="34"/>
  <c r="AE47" i="34"/>
  <c r="J47" i="34"/>
  <c r="L47" i="34"/>
  <c r="V39" i="34"/>
  <c r="X39" i="34"/>
  <c r="P39" i="34"/>
  <c r="O47" i="34"/>
  <c r="U47" i="34"/>
  <c r="AA39" i="34"/>
  <c r="AG39" i="34"/>
  <c r="BB28" i="34"/>
  <c r="AC39" i="34"/>
  <c r="D8" i="45"/>
  <c r="C9" i="62"/>
  <c r="I28" i="34"/>
  <c r="AH47" i="34"/>
  <c r="M47" i="34"/>
  <c r="S39" i="34"/>
  <c r="Y39" i="34"/>
  <c r="U28" i="34"/>
  <c r="AD47" i="34"/>
  <c r="O39" i="34"/>
  <c r="U39" i="34"/>
  <c r="AF28" i="34"/>
  <c r="I38" i="34"/>
  <c r="N38" i="34"/>
  <c r="U38" i="34"/>
  <c r="X38" i="34"/>
  <c r="AA38" i="34"/>
  <c r="K38" i="34"/>
  <c r="Z38" i="34"/>
  <c r="J38" i="34"/>
  <c r="Q38" i="34"/>
  <c r="T38" i="34"/>
  <c r="Q53" i="34"/>
  <c r="S53" i="34"/>
  <c r="U53" i="34"/>
  <c r="AA53" i="34"/>
  <c r="Y53" i="34"/>
  <c r="N53" i="34"/>
  <c r="AC53" i="34"/>
  <c r="V53" i="34"/>
  <c r="O53" i="34"/>
  <c r="W53" i="34"/>
  <c r="P53" i="34"/>
  <c r="J53" i="34"/>
  <c r="T53" i="34"/>
  <c r="R53" i="34"/>
  <c r="X53" i="34"/>
  <c r="Z53" i="34"/>
  <c r="AB53" i="34"/>
  <c r="H53" i="34"/>
  <c r="BM28" i="34"/>
  <c r="Q28" i="34"/>
  <c r="AB28" i="34"/>
  <c r="AM28" i="34"/>
  <c r="AX28" i="34"/>
  <c r="BK29" i="34"/>
  <c r="AR23" i="34"/>
  <c r="H21" i="33"/>
  <c r="BI28" i="34"/>
  <c r="M28" i="34"/>
  <c r="X28" i="34"/>
  <c r="AI28" i="34"/>
  <c r="AT28" i="34"/>
  <c r="AQ29" i="34"/>
  <c r="T23" i="34"/>
  <c r="H31" i="33"/>
  <c r="BE28" i="34"/>
  <c r="BP28" i="34"/>
  <c r="T28" i="34"/>
  <c r="AE28" i="34"/>
  <c r="AP28" i="34"/>
  <c r="K53" i="34"/>
  <c r="AY23" i="34"/>
  <c r="H20" i="33"/>
  <c r="S29" i="34"/>
  <c r="BO29" i="34"/>
  <c r="BD29" i="34"/>
  <c r="AS29" i="34"/>
  <c r="AH29" i="34"/>
  <c r="W29" i="34"/>
  <c r="L29" i="34"/>
  <c r="BH29" i="34"/>
  <c r="AW29" i="34"/>
  <c r="AL29" i="34"/>
  <c r="AA29" i="34"/>
  <c r="P29" i="34"/>
  <c r="BL29" i="34"/>
  <c r="BA29" i="34"/>
  <c r="AP29" i="34"/>
  <c r="AE29" i="34"/>
  <c r="T29" i="34"/>
  <c r="BP29" i="34"/>
  <c r="BE29" i="34"/>
  <c r="AT29" i="34"/>
  <c r="AI29" i="34"/>
  <c r="X29" i="34"/>
  <c r="M29" i="34"/>
  <c r="BI29" i="34"/>
  <c r="AX29" i="34"/>
  <c r="AM29" i="34"/>
  <c r="AB29" i="34"/>
  <c r="Q29" i="34"/>
  <c r="BM29" i="34"/>
  <c r="BB29" i="34"/>
  <c r="AU29" i="34"/>
  <c r="AJ29" i="34"/>
  <c r="Y29" i="34"/>
  <c r="N29" i="34"/>
  <c r="BJ29" i="34"/>
  <c r="AY29" i="34"/>
  <c r="AN29" i="34"/>
  <c r="AC29" i="34"/>
  <c r="R29" i="34"/>
  <c r="BN29" i="34"/>
  <c r="BC29" i="34"/>
  <c r="AR29" i="34"/>
  <c r="AG29" i="34"/>
  <c r="V29" i="34"/>
  <c r="I29" i="34"/>
  <c r="K29" i="34"/>
  <c r="BG29" i="34"/>
  <c r="AV29" i="34"/>
  <c r="AK29" i="34"/>
  <c r="Z29" i="34"/>
  <c r="H29" i="34"/>
  <c r="BA28" i="34"/>
  <c r="BL28" i="34"/>
  <c r="P28" i="34"/>
  <c r="AA28" i="34"/>
  <c r="AL28" i="34"/>
  <c r="I53" i="34"/>
  <c r="AE23" i="34"/>
  <c r="AW28" i="34"/>
  <c r="BH28" i="34"/>
  <c r="L28" i="34"/>
  <c r="W28" i="34"/>
  <c r="AH28" i="34"/>
  <c r="M53" i="34"/>
  <c r="BJ23" i="34"/>
  <c r="H30" i="33"/>
  <c r="AS28" i="34"/>
  <c r="BD28" i="34"/>
  <c r="BO28" i="34"/>
  <c r="S28" i="34"/>
  <c r="AD28" i="34"/>
  <c r="BF29" i="34"/>
  <c r="L53" i="34"/>
  <c r="AC23" i="34"/>
  <c r="R23" i="34"/>
  <c r="BN23" i="34"/>
  <c r="BC23" i="34"/>
  <c r="AV23" i="34"/>
  <c r="AG23" i="34"/>
  <c r="V23" i="34"/>
  <c r="K23" i="34"/>
  <c r="BG23" i="34"/>
  <c r="AZ23" i="34"/>
  <c r="AK23" i="34"/>
  <c r="Z23" i="34"/>
  <c r="O23" i="34"/>
  <c r="BK23" i="34"/>
  <c r="BD23" i="34"/>
  <c r="AO23" i="34"/>
  <c r="AD23" i="34"/>
  <c r="S23" i="34"/>
  <c r="BO23" i="34"/>
  <c r="BH23" i="34"/>
  <c r="AS23" i="34"/>
  <c r="AH23" i="34"/>
  <c r="W23" i="34"/>
  <c r="L23" i="34"/>
  <c r="BL23" i="34"/>
  <c r="AW23" i="34"/>
  <c r="AL23" i="34"/>
  <c r="AA23" i="34"/>
  <c r="P23" i="34"/>
  <c r="BP23" i="34"/>
  <c r="BE23" i="34"/>
  <c r="AT23" i="34"/>
  <c r="AI23" i="34"/>
  <c r="X23" i="34"/>
  <c r="H23" i="34"/>
  <c r="M23" i="34"/>
  <c r="BI23" i="34"/>
  <c r="AX23" i="34"/>
  <c r="AM23" i="34"/>
  <c r="AB23" i="34"/>
  <c r="Q23" i="34"/>
  <c r="BM23" i="34"/>
  <c r="BB23" i="34"/>
  <c r="AQ23" i="34"/>
  <c r="AF23" i="34"/>
  <c r="U23" i="34"/>
  <c r="J23" i="34"/>
  <c r="BF23" i="34"/>
  <c r="AU23" i="34"/>
  <c r="AN23" i="34"/>
  <c r="AO28" i="34"/>
  <c r="AZ28" i="34"/>
  <c r="BK28" i="34"/>
  <c r="O28" i="34"/>
  <c r="Z28" i="34"/>
  <c r="AD29" i="34"/>
  <c r="N23" i="34"/>
  <c r="AK28" i="34"/>
  <c r="AV28" i="34"/>
  <c r="BG28" i="34"/>
  <c r="K28" i="34"/>
  <c r="V28" i="34"/>
  <c r="J29" i="34"/>
  <c r="BA23" i="34"/>
  <c r="AG28" i="34"/>
  <c r="AR28" i="34"/>
  <c r="BC28" i="34"/>
  <c r="BN28" i="34"/>
  <c r="N28" i="34"/>
  <c r="AO29" i="34"/>
  <c r="Y23" i="34"/>
  <c r="AC28" i="34"/>
  <c r="AN28" i="34"/>
  <c r="AY28" i="34"/>
  <c r="BJ28" i="34"/>
  <c r="J28" i="34"/>
  <c r="U29" i="34"/>
  <c r="H28" i="34"/>
  <c r="Y28" i="34"/>
  <c r="AJ28" i="34"/>
  <c r="AU28" i="34"/>
  <c r="BF28" i="34"/>
  <c r="AZ29" i="34"/>
  <c r="AH63" i="36"/>
  <c r="AD63" i="36"/>
  <c r="AH79" i="36"/>
  <c r="AF79" i="36"/>
  <c r="AF63" i="36"/>
  <c r="AE63" i="36"/>
  <c r="AI63" i="36"/>
  <c r="AE79" i="36"/>
  <c r="AG63" i="36"/>
  <c r="AI79" i="36"/>
  <c r="AG79" i="36"/>
  <c r="AD79" i="36"/>
  <c r="AH78" i="36"/>
  <c r="AG62" i="36"/>
  <c r="AI78" i="36"/>
  <c r="AF62" i="36"/>
  <c r="AD62" i="36"/>
  <c r="AF78" i="36"/>
  <c r="AE62" i="36"/>
  <c r="AG78" i="36"/>
  <c r="AH62" i="36"/>
  <c r="AD78" i="36"/>
  <c r="AE78" i="36"/>
  <c r="AI62" i="36"/>
  <c r="BI47" i="34"/>
  <c r="AO47" i="34"/>
  <c r="BB47" i="34"/>
  <c r="AS47" i="34"/>
  <c r="AI47" i="34"/>
  <c r="AL47" i="34"/>
  <c r="AV47" i="34"/>
  <c r="BK47" i="34"/>
  <c r="AU47" i="34"/>
  <c r="AW47" i="34"/>
  <c r="BN47" i="34"/>
  <c r="AJ47" i="34"/>
  <c r="AZ47" i="34"/>
  <c r="BO47" i="34"/>
  <c r="AY47" i="34"/>
  <c r="BF47" i="34"/>
  <c r="AN47" i="34"/>
  <c r="BM47" i="34"/>
  <c r="AP47" i="34"/>
  <c r="BH47" i="34"/>
  <c r="BD47" i="34"/>
  <c r="BE47" i="34"/>
  <c r="BC47" i="34"/>
  <c r="BJ47" i="34"/>
  <c r="BA47" i="34"/>
  <c r="AR47" i="34"/>
  <c r="AM47" i="34"/>
  <c r="AT47" i="34"/>
  <c r="AK47" i="34"/>
  <c r="AX47" i="34"/>
  <c r="BL47" i="34"/>
  <c r="BG47" i="34"/>
  <c r="BP47" i="34"/>
  <c r="AQ47" i="34"/>
  <c r="AE69" i="36"/>
  <c r="AE110" i="34" s="1"/>
  <c r="AF53" i="36"/>
  <c r="AF94" i="34" s="1"/>
  <c r="AI69" i="36"/>
  <c r="AI110" i="34" s="1"/>
  <c r="AD69" i="36"/>
  <c r="AD110" i="34" s="1"/>
  <c r="AI53" i="36"/>
  <c r="AI94" i="34" s="1"/>
  <c r="AD53" i="36"/>
  <c r="AD94" i="34" s="1"/>
  <c r="AG53" i="36"/>
  <c r="AG94" i="34" s="1"/>
  <c r="AF69" i="36"/>
  <c r="AF110" i="34" s="1"/>
  <c r="AH53" i="36"/>
  <c r="AH94" i="34" s="1"/>
  <c r="AE53" i="36"/>
  <c r="AE94" i="34" s="1"/>
  <c r="AG69" i="36"/>
  <c r="AG110" i="34" s="1"/>
  <c r="AH69" i="36"/>
  <c r="AH110" i="34" s="1"/>
  <c r="D111" i="46"/>
  <c r="E93" i="46"/>
  <c r="D101" i="46"/>
  <c r="E83" i="46"/>
  <c r="D112" i="46"/>
  <c r="E94" i="46"/>
  <c r="C38" i="34"/>
  <c r="N94" i="34"/>
  <c r="K94" i="34"/>
  <c r="R94" i="34"/>
  <c r="AA93" i="34"/>
  <c r="AC93" i="34"/>
  <c r="M93" i="34"/>
  <c r="AA110" i="34"/>
  <c r="AB110" i="34"/>
  <c r="S93" i="34"/>
  <c r="P93" i="34"/>
  <c r="W42" i="45"/>
  <c r="W64" i="45" s="1"/>
  <c r="N42" i="45"/>
  <c r="N64" i="45" s="1"/>
  <c r="AA42" i="45"/>
  <c r="AA64" i="45" s="1"/>
  <c r="H42" i="45"/>
  <c r="H64" i="45" s="1"/>
  <c r="Z42" i="45"/>
  <c r="Z64" i="45" s="1"/>
  <c r="Q42" i="45"/>
  <c r="Q64" i="45" s="1"/>
  <c r="S41" i="45"/>
  <c r="S63" i="45" s="1"/>
  <c r="Y41" i="45"/>
  <c r="Y63" i="45" s="1"/>
  <c r="C6" i="34"/>
  <c r="D20" i="34"/>
  <c r="N110" i="34"/>
  <c r="X109" i="34"/>
  <c r="AB109" i="34"/>
  <c r="J109" i="34"/>
  <c r="H109" i="34"/>
  <c r="V110" i="34"/>
  <c r="I109" i="34"/>
  <c r="K110" i="34"/>
  <c r="T109" i="34"/>
  <c r="R110" i="34"/>
  <c r="L110" i="34"/>
  <c r="N109" i="34"/>
  <c r="AA109" i="34"/>
  <c r="Z93" i="34"/>
  <c r="V109" i="34"/>
  <c r="W110" i="34"/>
  <c r="AC110" i="34"/>
  <c r="K93" i="34"/>
  <c r="Y94" i="34"/>
  <c r="L93" i="34"/>
  <c r="Q94" i="34"/>
  <c r="S94" i="34"/>
  <c r="W93" i="34"/>
  <c r="U109" i="34"/>
  <c r="Z94" i="34"/>
  <c r="AB94" i="34"/>
  <c r="J94" i="34"/>
  <c r="H110" i="34"/>
  <c r="Q109" i="34"/>
  <c r="I94" i="34"/>
  <c r="S109" i="34"/>
  <c r="P109" i="34"/>
  <c r="G42" i="45"/>
  <c r="G64" i="45" s="1"/>
  <c r="W41" i="45"/>
  <c r="W63" i="45" s="1"/>
  <c r="I42" i="45"/>
  <c r="I64" i="45" s="1"/>
  <c r="N41" i="45"/>
  <c r="N63" i="45" s="1"/>
  <c r="R42" i="45"/>
  <c r="R64" i="45" s="1"/>
  <c r="K42" i="45"/>
  <c r="K64" i="45" s="1"/>
  <c r="AA41" i="45"/>
  <c r="AA63" i="45" s="1"/>
  <c r="M42" i="45"/>
  <c r="M64" i="45" s="1"/>
  <c r="H41" i="45"/>
  <c r="H63" i="45" s="1"/>
  <c r="Z41" i="45"/>
  <c r="Z63" i="45" s="1"/>
  <c r="L42" i="45"/>
  <c r="L64" i="45" s="1"/>
  <c r="Q41" i="45"/>
  <c r="Q63" i="45" s="1"/>
  <c r="J42" i="45"/>
  <c r="J64" i="45" s="1"/>
  <c r="F41" i="45"/>
  <c r="F63" i="45" s="1"/>
  <c r="J93" i="34"/>
  <c r="V94" i="34"/>
  <c r="T93" i="34"/>
  <c r="L94" i="34"/>
  <c r="Z109" i="34"/>
  <c r="R109" i="34"/>
  <c r="Q93" i="34"/>
  <c r="W94" i="34"/>
  <c r="U110" i="34"/>
  <c r="O110" i="34"/>
  <c r="K109" i="34"/>
  <c r="Y110" i="34"/>
  <c r="M110" i="34"/>
  <c r="L109" i="34"/>
  <c r="Q110" i="34"/>
  <c r="S110" i="34"/>
  <c r="W109" i="34"/>
  <c r="AC109" i="34"/>
  <c r="U93" i="34"/>
  <c r="O93" i="34"/>
  <c r="Y93" i="34"/>
  <c r="R93" i="34"/>
  <c r="G41" i="45"/>
  <c r="G63" i="45" s="1"/>
  <c r="I41" i="45"/>
  <c r="I63" i="45" s="1"/>
  <c r="R41" i="45"/>
  <c r="R63" i="45" s="1"/>
  <c r="K41" i="45"/>
  <c r="K63" i="45" s="1"/>
  <c r="M41" i="45"/>
  <c r="M63" i="45" s="1"/>
  <c r="O42" i="45"/>
  <c r="O64" i="45" s="1"/>
  <c r="U42" i="45"/>
  <c r="U64" i="45" s="1"/>
  <c r="L41" i="45"/>
  <c r="L63" i="45" s="1"/>
  <c r="J41" i="45"/>
  <c r="J63" i="45" s="1"/>
  <c r="P42" i="45"/>
  <c r="P64" i="45" s="1"/>
  <c r="V42" i="45"/>
  <c r="V64" i="45" s="1"/>
  <c r="T110" i="34"/>
  <c r="AB93" i="34"/>
  <c r="I93" i="34"/>
  <c r="N93" i="34"/>
  <c r="M94" i="34"/>
  <c r="P110" i="34"/>
  <c r="Y109" i="34"/>
  <c r="X110" i="34"/>
  <c r="J110" i="34"/>
  <c r="H94" i="34"/>
  <c r="I110" i="34"/>
  <c r="T41" i="45"/>
  <c r="T63" i="45" s="1"/>
  <c r="X41" i="45"/>
  <c r="X63" i="45" s="1"/>
  <c r="F42" i="45"/>
  <c r="F64" i="45" s="1"/>
  <c r="D38" i="34"/>
  <c r="D6" i="34"/>
  <c r="X93" i="34"/>
  <c r="H93" i="34"/>
  <c r="V93" i="34"/>
  <c r="AC94" i="34"/>
  <c r="O94" i="34"/>
  <c r="O109" i="34"/>
  <c r="P94" i="34"/>
  <c r="M109" i="34"/>
  <c r="AA94" i="34"/>
  <c r="X94" i="34"/>
  <c r="T42" i="45"/>
  <c r="T64" i="45" s="1"/>
  <c r="X42" i="45"/>
  <c r="X64" i="45" s="1"/>
  <c r="O41" i="45"/>
  <c r="O63" i="45" s="1"/>
  <c r="U41" i="45"/>
  <c r="U63" i="45" s="1"/>
  <c r="S42" i="45"/>
  <c r="S64" i="45" s="1"/>
  <c r="Y42" i="45"/>
  <c r="Y64" i="45" s="1"/>
  <c r="P41" i="45"/>
  <c r="P63" i="45" s="1"/>
  <c r="V41" i="45"/>
  <c r="V63" i="45" s="1"/>
  <c r="U159" i="34"/>
  <c r="Z69" i="36"/>
  <c r="U53" i="36"/>
  <c r="Z175" i="34"/>
  <c r="T53" i="36"/>
  <c r="T175" i="34"/>
  <c r="T159" i="34"/>
  <c r="I48" i="36"/>
  <c r="I139" i="34"/>
  <c r="I135" i="34"/>
  <c r="I88" i="34"/>
  <c r="G44" i="45" s="1"/>
  <c r="Y48" i="36"/>
  <c r="Y139" i="34"/>
  <c r="Y135" i="34"/>
  <c r="Y88" i="34"/>
  <c r="W44" i="45" s="1"/>
  <c r="K48" i="36"/>
  <c r="K135" i="34"/>
  <c r="K88" i="34"/>
  <c r="I44" i="45" s="1"/>
  <c r="K139" i="34"/>
  <c r="L78" i="36"/>
  <c r="L184" i="34"/>
  <c r="L62" i="36"/>
  <c r="L168" i="34"/>
  <c r="K62" i="36"/>
  <c r="K184" i="34"/>
  <c r="K168" i="34"/>
  <c r="K78" i="36"/>
  <c r="AI168" i="34"/>
  <c r="AI184" i="34"/>
  <c r="M48" i="36"/>
  <c r="M139" i="34"/>
  <c r="M135" i="34"/>
  <c r="M88" i="34"/>
  <c r="K44" i="45" s="1"/>
  <c r="AC48" i="36"/>
  <c r="AC139" i="34"/>
  <c r="AC135" i="34"/>
  <c r="AC88" i="34"/>
  <c r="AA44" i="45" s="1"/>
  <c r="O48" i="36"/>
  <c r="O139" i="34"/>
  <c r="O135" i="34"/>
  <c r="O88" i="34"/>
  <c r="M44" i="45" s="1"/>
  <c r="AE169" i="34"/>
  <c r="AE185" i="34"/>
  <c r="AA184" i="34"/>
  <c r="AA168" i="34"/>
  <c r="AA62" i="36"/>
  <c r="AA78" i="36"/>
  <c r="R79" i="36"/>
  <c r="R185" i="34"/>
  <c r="R169" i="34"/>
  <c r="R63" i="36"/>
  <c r="N48" i="36"/>
  <c r="N88" i="34"/>
  <c r="L44" i="45" s="1"/>
  <c r="N139" i="34"/>
  <c r="N135" i="34"/>
  <c r="L48" i="36"/>
  <c r="L139" i="34"/>
  <c r="L135" i="34"/>
  <c r="L88" i="34"/>
  <c r="J44" i="45" s="1"/>
  <c r="Q78" i="36"/>
  <c r="Q168" i="34"/>
  <c r="Q184" i="34"/>
  <c r="Q62" i="36"/>
  <c r="X79" i="36"/>
  <c r="X185" i="34"/>
  <c r="X63" i="36"/>
  <c r="X169" i="34"/>
  <c r="AH168" i="34"/>
  <c r="AH184" i="34"/>
  <c r="W63" i="36"/>
  <c r="W185" i="34"/>
  <c r="W169" i="34"/>
  <c r="W79" i="36"/>
  <c r="S62" i="36"/>
  <c r="S78" i="36"/>
  <c r="S168" i="34"/>
  <c r="S184" i="34"/>
  <c r="AF168" i="34"/>
  <c r="AF184" i="34"/>
  <c r="Y185" i="34"/>
  <c r="Y63" i="36"/>
  <c r="Y79" i="36"/>
  <c r="Y169" i="34"/>
  <c r="I143" i="34"/>
  <c r="I90" i="34"/>
  <c r="G46" i="45" s="1"/>
  <c r="Y143" i="34"/>
  <c r="Y90" i="34"/>
  <c r="W46" i="45" s="1"/>
  <c r="K143" i="34"/>
  <c r="K90" i="34"/>
  <c r="I46" i="45" s="1"/>
  <c r="V143" i="34"/>
  <c r="V90" i="34"/>
  <c r="T46" i="45" s="1"/>
  <c r="P143" i="34"/>
  <c r="P90" i="34"/>
  <c r="N46" i="45" s="1"/>
  <c r="T143" i="34"/>
  <c r="T90" i="34"/>
  <c r="R46" i="45" s="1"/>
  <c r="P184" i="34"/>
  <c r="P78" i="36"/>
  <c r="P168" i="34"/>
  <c r="P62" i="36"/>
  <c r="L185" i="34"/>
  <c r="L79" i="36"/>
  <c r="L63" i="36"/>
  <c r="L169" i="34"/>
  <c r="AD185" i="34"/>
  <c r="AD169" i="34"/>
  <c r="J63" i="36"/>
  <c r="J79" i="36"/>
  <c r="J169" i="34"/>
  <c r="J185" i="34"/>
  <c r="M143" i="34"/>
  <c r="M90" i="34"/>
  <c r="K46" i="45" s="1"/>
  <c r="AC143" i="34"/>
  <c r="AC90" i="34"/>
  <c r="AA46" i="45" s="1"/>
  <c r="O143" i="34"/>
  <c r="O90" i="34"/>
  <c r="M46" i="45" s="1"/>
  <c r="J143" i="34"/>
  <c r="J90" i="34"/>
  <c r="H46" i="45" s="1"/>
  <c r="Z143" i="34"/>
  <c r="Z90" i="34"/>
  <c r="X46" i="45" s="1"/>
  <c r="AB143" i="34"/>
  <c r="AB90" i="34"/>
  <c r="Z46" i="45" s="1"/>
  <c r="AC79" i="36"/>
  <c r="AC185" i="34"/>
  <c r="AC63" i="36"/>
  <c r="AC169" i="34"/>
  <c r="AE184" i="34"/>
  <c r="AE168" i="34"/>
  <c r="T62" i="36"/>
  <c r="T184" i="34"/>
  <c r="T168" i="34"/>
  <c r="T78" i="36"/>
  <c r="R62" i="36"/>
  <c r="R168" i="34"/>
  <c r="R78" i="36"/>
  <c r="R184" i="34"/>
  <c r="Q48" i="36"/>
  <c r="Q139" i="34"/>
  <c r="Q135" i="34"/>
  <c r="Q88" i="34"/>
  <c r="O44" i="45" s="1"/>
  <c r="W48" i="36"/>
  <c r="W139" i="34"/>
  <c r="W135" i="34"/>
  <c r="W88" i="34"/>
  <c r="U44" i="45" s="1"/>
  <c r="S48" i="36"/>
  <c r="S139" i="34"/>
  <c r="S135" i="34"/>
  <c r="S88" i="34"/>
  <c r="Q44" i="45" s="1"/>
  <c r="Z79" i="36"/>
  <c r="Z169" i="34"/>
  <c r="Z63" i="36"/>
  <c r="Z185" i="34"/>
  <c r="X78" i="36"/>
  <c r="X184" i="34"/>
  <c r="X62" i="36"/>
  <c r="X168" i="34"/>
  <c r="AB185" i="34"/>
  <c r="AB63" i="36"/>
  <c r="AB79" i="36"/>
  <c r="AB169" i="34"/>
  <c r="R48" i="36"/>
  <c r="R88" i="34"/>
  <c r="P44" i="45" s="1"/>
  <c r="R135" i="34"/>
  <c r="R139" i="34"/>
  <c r="X48" i="36"/>
  <c r="X88" i="34"/>
  <c r="V44" i="45" s="1"/>
  <c r="X135" i="34"/>
  <c r="X139" i="34"/>
  <c r="W168" i="34"/>
  <c r="W62" i="36"/>
  <c r="W184" i="34"/>
  <c r="W78" i="36"/>
  <c r="V168" i="34"/>
  <c r="V184" i="34"/>
  <c r="V78" i="36"/>
  <c r="V62" i="36"/>
  <c r="AF185" i="34"/>
  <c r="AF169" i="34"/>
  <c r="H168" i="34"/>
  <c r="H78" i="36"/>
  <c r="H62" i="36"/>
  <c r="H184" i="34"/>
  <c r="AD168" i="34"/>
  <c r="AD184" i="34"/>
  <c r="O169" i="34"/>
  <c r="O79" i="36"/>
  <c r="O63" i="36"/>
  <c r="O185" i="34"/>
  <c r="AC168" i="34"/>
  <c r="AC78" i="36"/>
  <c r="AC62" i="36"/>
  <c r="AC184" i="34"/>
  <c r="U168" i="34"/>
  <c r="U62" i="36"/>
  <c r="U78" i="36"/>
  <c r="U184" i="34"/>
  <c r="T185" i="34"/>
  <c r="T79" i="36"/>
  <c r="T169" i="34"/>
  <c r="T63" i="36"/>
  <c r="Q143" i="34"/>
  <c r="Q90" i="34"/>
  <c r="O46" i="45" s="1"/>
  <c r="W143" i="34"/>
  <c r="W90" i="34"/>
  <c r="U46" i="45" s="1"/>
  <c r="N143" i="34"/>
  <c r="N90" i="34"/>
  <c r="L46" i="45" s="1"/>
  <c r="S143" i="34"/>
  <c r="S90" i="34"/>
  <c r="Q46" i="45" s="1"/>
  <c r="L143" i="34"/>
  <c r="L90" i="34"/>
  <c r="J46" i="45" s="1"/>
  <c r="N185" i="34"/>
  <c r="N169" i="34"/>
  <c r="N79" i="36"/>
  <c r="N63" i="36"/>
  <c r="Z62" i="36"/>
  <c r="Z184" i="34"/>
  <c r="Z78" i="36"/>
  <c r="Z168" i="34"/>
  <c r="AG184" i="34"/>
  <c r="AG168" i="34"/>
  <c r="AB168" i="34"/>
  <c r="AB78" i="36"/>
  <c r="AB62" i="36"/>
  <c r="AB184" i="34"/>
  <c r="U48" i="36"/>
  <c r="U139" i="34"/>
  <c r="U135" i="34"/>
  <c r="U88" i="34"/>
  <c r="S44" i="45" s="1"/>
  <c r="H48" i="36"/>
  <c r="H88" i="34"/>
  <c r="F44" i="45" s="1"/>
  <c r="H139" i="34"/>
  <c r="H135" i="34"/>
  <c r="AA48" i="36"/>
  <c r="AA139" i="34"/>
  <c r="AA135" i="34"/>
  <c r="AA88" i="34"/>
  <c r="Y44" i="45" s="1"/>
  <c r="I79" i="36"/>
  <c r="I185" i="34"/>
  <c r="I63" i="36"/>
  <c r="I169" i="34"/>
  <c r="V185" i="34"/>
  <c r="V63" i="36"/>
  <c r="V79" i="36"/>
  <c r="V169" i="34"/>
  <c r="M63" i="36"/>
  <c r="M169" i="34"/>
  <c r="M79" i="36"/>
  <c r="M185" i="34"/>
  <c r="V48" i="36"/>
  <c r="V135" i="34"/>
  <c r="V139" i="34"/>
  <c r="V88" i="34"/>
  <c r="T44" i="45" s="1"/>
  <c r="P48" i="36"/>
  <c r="P139" i="34"/>
  <c r="P88" i="34"/>
  <c r="N44" i="45" s="1"/>
  <c r="P135" i="34"/>
  <c r="T48" i="36"/>
  <c r="T139" i="34"/>
  <c r="T135" i="34"/>
  <c r="T88" i="34"/>
  <c r="R44" i="45" s="1"/>
  <c r="K79" i="36"/>
  <c r="K185" i="34"/>
  <c r="K63" i="36"/>
  <c r="K169" i="34"/>
  <c r="H79" i="36"/>
  <c r="H63" i="36"/>
  <c r="H169" i="34"/>
  <c r="H185" i="34"/>
  <c r="J78" i="36"/>
  <c r="J184" i="34"/>
  <c r="J62" i="36"/>
  <c r="J168" i="34"/>
  <c r="AI169" i="34"/>
  <c r="AI185" i="34"/>
  <c r="J48" i="36"/>
  <c r="J135" i="34"/>
  <c r="J139" i="34"/>
  <c r="J88" i="34"/>
  <c r="H44" i="45" s="1"/>
  <c r="Z48" i="36"/>
  <c r="Z139" i="34"/>
  <c r="Z135" i="34"/>
  <c r="Z88" i="34"/>
  <c r="X44" i="45" s="1"/>
  <c r="AB48" i="36"/>
  <c r="AB139" i="34"/>
  <c r="AB135" i="34"/>
  <c r="AB88" i="34"/>
  <c r="Z44" i="45" s="1"/>
  <c r="O78" i="36"/>
  <c r="O62" i="36"/>
  <c r="O168" i="34"/>
  <c r="O184" i="34"/>
  <c r="AA185" i="34"/>
  <c r="AA79" i="36"/>
  <c r="AA63" i="36"/>
  <c r="AA169" i="34"/>
  <c r="U185" i="34"/>
  <c r="U63" i="36"/>
  <c r="U79" i="36"/>
  <c r="U169" i="34"/>
  <c r="Q185" i="34"/>
  <c r="Q63" i="36"/>
  <c r="Q79" i="36"/>
  <c r="Q169" i="34"/>
  <c r="N184" i="34"/>
  <c r="N168" i="34"/>
  <c r="N62" i="36"/>
  <c r="N78" i="36"/>
  <c r="AH185" i="34"/>
  <c r="AH169" i="34"/>
  <c r="AG185" i="34"/>
  <c r="AG169" i="34"/>
  <c r="U143" i="34"/>
  <c r="U90" i="34"/>
  <c r="S46" i="45" s="1"/>
  <c r="H90" i="34"/>
  <c r="F46" i="45" s="1"/>
  <c r="H143" i="34"/>
  <c r="AA143" i="34"/>
  <c r="AA90" i="34"/>
  <c r="Y46" i="45" s="1"/>
  <c r="R143" i="34"/>
  <c r="R90" i="34"/>
  <c r="P46" i="45" s="1"/>
  <c r="X143" i="34"/>
  <c r="X90" i="34"/>
  <c r="V46" i="45" s="1"/>
  <c r="S79" i="36"/>
  <c r="S185" i="34"/>
  <c r="S63" i="36"/>
  <c r="S169" i="34"/>
  <c r="I168" i="34"/>
  <c r="I62" i="36"/>
  <c r="I78" i="36"/>
  <c r="I184" i="34"/>
  <c r="Y62" i="36"/>
  <c r="Y184" i="34"/>
  <c r="Y78" i="36"/>
  <c r="Y168" i="34"/>
  <c r="M78" i="36"/>
  <c r="M184" i="34"/>
  <c r="M62" i="36"/>
  <c r="M168" i="34"/>
  <c r="D38" i="33"/>
  <c r="D23" i="45"/>
  <c r="E23" i="45"/>
  <c r="B15" i="45"/>
  <c r="C23" i="45"/>
  <c r="E10" i="45"/>
  <c r="E4" i="45" s="1"/>
  <c r="C38" i="33"/>
  <c r="C20" i="34"/>
  <c r="G86" i="39"/>
  <c r="G87" i="39"/>
  <c r="H87" i="39" s="1"/>
  <c r="G88" i="39"/>
  <c r="G89" i="39"/>
  <c r="G90" i="39"/>
  <c r="G91" i="39"/>
  <c r="G92" i="39"/>
  <c r="G93" i="39"/>
  <c r="G94" i="39"/>
  <c r="G95" i="39"/>
  <c r="G96" i="39"/>
  <c r="H96" i="39" s="1"/>
  <c r="G97" i="39"/>
  <c r="G98" i="39"/>
  <c r="G99" i="39"/>
  <c r="H99" i="39" s="1"/>
  <c r="G100" i="39"/>
  <c r="G101" i="39"/>
  <c r="G102" i="39"/>
  <c r="G85" i="39"/>
  <c r="H51" i="39"/>
  <c r="H53" i="39"/>
  <c r="H55" i="39"/>
  <c r="H57" i="39"/>
  <c r="G37" i="39"/>
  <c r="G38" i="39"/>
  <c r="G39" i="39"/>
  <c r="G40" i="39"/>
  <c r="G41" i="39"/>
  <c r="H41" i="39" s="1"/>
  <c r="G42" i="39"/>
  <c r="G43" i="39"/>
  <c r="G44" i="39"/>
  <c r="G45" i="39"/>
  <c r="H45" i="39" s="1"/>
  <c r="G46" i="39"/>
  <c r="G47" i="39"/>
  <c r="G48" i="39"/>
  <c r="G49" i="39"/>
  <c r="H49" i="39" s="1"/>
  <c r="G50" i="39"/>
  <c r="G51" i="39"/>
  <c r="G52" i="39"/>
  <c r="G53" i="39"/>
  <c r="G54" i="39"/>
  <c r="G55" i="39"/>
  <c r="G56" i="39"/>
  <c r="G57" i="39"/>
  <c r="G58" i="39"/>
  <c r="G59" i="39"/>
  <c r="H59" i="39" s="1"/>
  <c r="G36" i="39"/>
  <c r="H36" i="39" s="1"/>
  <c r="D13" i="36"/>
  <c r="D71" i="46" s="1"/>
  <c r="C12" i="36"/>
  <c r="D11" i="36"/>
  <c r="D69" i="46" s="1"/>
  <c r="G9" i="39"/>
  <c r="H9" i="39" s="1"/>
  <c r="G10" i="39"/>
  <c r="G8" i="39"/>
  <c r="G6" i="39"/>
  <c r="H6" i="39" s="1"/>
  <c r="G7" i="39"/>
  <c r="G5" i="39"/>
  <c r="H133" i="39"/>
  <c r="H130" i="39"/>
  <c r="H129" i="39"/>
  <c r="H124" i="39"/>
  <c r="H17" i="33" s="1"/>
  <c r="H121" i="39"/>
  <c r="H120" i="39"/>
  <c r="H117" i="39"/>
  <c r="H114" i="39"/>
  <c r="H132" i="39"/>
  <c r="H131" i="39"/>
  <c r="H126" i="39"/>
  <c r="H127" i="39"/>
  <c r="H128" i="39"/>
  <c r="H125" i="39"/>
  <c r="H123" i="39"/>
  <c r="H122" i="39"/>
  <c r="H116" i="39"/>
  <c r="H118" i="39"/>
  <c r="H119" i="39"/>
  <c r="H115" i="39"/>
  <c r="H112" i="39"/>
  <c r="H15" i="33" s="1"/>
  <c r="H110" i="39"/>
  <c r="H14" i="33" s="1"/>
  <c r="H105" i="39"/>
  <c r="H102" i="39"/>
  <c r="H100" i="39"/>
  <c r="H95" i="39"/>
  <c r="H92" i="39"/>
  <c r="H90" i="39"/>
  <c r="G104" i="39"/>
  <c r="G105" i="39"/>
  <c r="G106" i="39"/>
  <c r="G107" i="39"/>
  <c r="G108" i="39"/>
  <c r="G103" i="39"/>
  <c r="H74" i="39"/>
  <c r="H67" i="39"/>
  <c r="H63" i="39"/>
  <c r="H62" i="39"/>
  <c r="G61" i="39"/>
  <c r="G62" i="39"/>
  <c r="G63" i="39"/>
  <c r="G64" i="39"/>
  <c r="G65" i="39"/>
  <c r="G66" i="39"/>
  <c r="H66" i="39" s="1"/>
  <c r="G67" i="39"/>
  <c r="G68" i="39"/>
  <c r="G69" i="39"/>
  <c r="G70" i="39"/>
  <c r="H70" i="39" s="1"/>
  <c r="G71" i="39"/>
  <c r="H71" i="39" s="1"/>
  <c r="G72" i="39"/>
  <c r="G73" i="39"/>
  <c r="G74" i="39"/>
  <c r="G75" i="39"/>
  <c r="H75" i="39" s="1"/>
  <c r="G76" i="39"/>
  <c r="G77" i="39"/>
  <c r="G78" i="39"/>
  <c r="G79" i="39"/>
  <c r="G80" i="39"/>
  <c r="G81" i="39"/>
  <c r="G82" i="39"/>
  <c r="G83" i="39"/>
  <c r="H83" i="39" s="1"/>
  <c r="G60" i="39"/>
  <c r="H28" i="39"/>
  <c r="H32" i="39"/>
  <c r="H25" i="39"/>
  <c r="H9" i="33" s="1"/>
  <c r="H26" i="39"/>
  <c r="H23" i="39"/>
  <c r="H24" i="39"/>
  <c r="H15" i="39"/>
  <c r="H16" i="39"/>
  <c r="H19" i="39"/>
  <c r="H20" i="39"/>
  <c r="H7" i="39"/>
  <c r="H10" i="39"/>
  <c r="G30" i="39"/>
  <c r="G31" i="39"/>
  <c r="G32" i="39"/>
  <c r="G33" i="39"/>
  <c r="G34" i="39"/>
  <c r="G29" i="39"/>
  <c r="H13" i="39"/>
  <c r="H14" i="39"/>
  <c r="H17" i="39"/>
  <c r="H18" i="39"/>
  <c r="H21" i="39"/>
  <c r="H22" i="39"/>
  <c r="H27" i="39"/>
  <c r="H12" i="39"/>
  <c r="C133" i="39"/>
  <c r="B133" i="39"/>
  <c r="C132" i="39"/>
  <c r="B132" i="39"/>
  <c r="C131" i="39"/>
  <c r="B131" i="39"/>
  <c r="C130" i="39"/>
  <c r="B130" i="39"/>
  <c r="C129" i="39"/>
  <c r="B129" i="39"/>
  <c r="C128" i="39"/>
  <c r="B128" i="39"/>
  <c r="C127" i="39"/>
  <c r="B127" i="39"/>
  <c r="C126" i="39"/>
  <c r="B126" i="39"/>
  <c r="C125" i="39"/>
  <c r="B125" i="39"/>
  <c r="C124" i="39"/>
  <c r="B124" i="39"/>
  <c r="C123" i="39"/>
  <c r="B123" i="39"/>
  <c r="C122" i="39"/>
  <c r="B122" i="39"/>
  <c r="C121" i="39"/>
  <c r="B121" i="39"/>
  <c r="C120" i="39"/>
  <c r="B120" i="39"/>
  <c r="C119" i="39"/>
  <c r="B119" i="39"/>
  <c r="C118" i="39"/>
  <c r="B118" i="39"/>
  <c r="C117" i="39"/>
  <c r="B117" i="39"/>
  <c r="C116" i="39"/>
  <c r="B116" i="39"/>
  <c r="C115" i="39"/>
  <c r="B115" i="39"/>
  <c r="C114" i="39"/>
  <c r="B114" i="39"/>
  <c r="C112" i="39"/>
  <c r="B112" i="39"/>
  <c r="C110" i="39"/>
  <c r="B110" i="39"/>
  <c r="C108" i="39"/>
  <c r="B108" i="39"/>
  <c r="C107" i="39"/>
  <c r="B107" i="39"/>
  <c r="C106" i="39"/>
  <c r="B106" i="39"/>
  <c r="C105" i="39"/>
  <c r="B105" i="39"/>
  <c r="C104" i="39"/>
  <c r="B104" i="39"/>
  <c r="C103" i="39"/>
  <c r="B103" i="39"/>
  <c r="C102" i="39"/>
  <c r="B102" i="39"/>
  <c r="C101" i="39"/>
  <c r="B101" i="39"/>
  <c r="C100" i="39"/>
  <c r="B100" i="39"/>
  <c r="C99" i="39"/>
  <c r="B99" i="39"/>
  <c r="C98" i="39"/>
  <c r="B98" i="39"/>
  <c r="C97" i="39"/>
  <c r="B97" i="39"/>
  <c r="C96" i="39"/>
  <c r="B96" i="39"/>
  <c r="C95" i="39"/>
  <c r="B95" i="39"/>
  <c r="C94" i="39"/>
  <c r="B94" i="39"/>
  <c r="C93" i="39"/>
  <c r="B93" i="39"/>
  <c r="C92" i="39"/>
  <c r="B92" i="39"/>
  <c r="C91" i="39"/>
  <c r="B91" i="39"/>
  <c r="C90" i="39"/>
  <c r="B90" i="39"/>
  <c r="C89" i="39"/>
  <c r="B89" i="39"/>
  <c r="C88" i="39"/>
  <c r="B88" i="39"/>
  <c r="C87" i="39"/>
  <c r="B87" i="39"/>
  <c r="C86" i="39"/>
  <c r="B86" i="39"/>
  <c r="C85" i="39"/>
  <c r="B85" i="39"/>
  <c r="C83" i="39"/>
  <c r="B83" i="39"/>
  <c r="C82" i="39"/>
  <c r="B82" i="39"/>
  <c r="C81" i="39"/>
  <c r="B81" i="39"/>
  <c r="C80" i="39"/>
  <c r="B80" i="39"/>
  <c r="C79" i="39"/>
  <c r="B79" i="39"/>
  <c r="C78" i="39"/>
  <c r="B78" i="39"/>
  <c r="C77" i="39"/>
  <c r="B77" i="39"/>
  <c r="C76" i="39"/>
  <c r="B76" i="39"/>
  <c r="C75" i="39"/>
  <c r="B75" i="39"/>
  <c r="C74" i="39"/>
  <c r="B74" i="39"/>
  <c r="C73" i="39"/>
  <c r="B73" i="39"/>
  <c r="C72" i="39"/>
  <c r="B72" i="39"/>
  <c r="C71" i="39"/>
  <c r="B71" i="39"/>
  <c r="C70" i="39"/>
  <c r="B70" i="39"/>
  <c r="C69" i="39"/>
  <c r="B69" i="39"/>
  <c r="C68" i="39"/>
  <c r="B68" i="39"/>
  <c r="C67" i="39"/>
  <c r="B67" i="39"/>
  <c r="C66" i="39"/>
  <c r="B66" i="39"/>
  <c r="C65" i="39"/>
  <c r="B65" i="39"/>
  <c r="C64" i="39"/>
  <c r="B64" i="39"/>
  <c r="C63" i="39"/>
  <c r="B63" i="39"/>
  <c r="C62" i="39"/>
  <c r="B62" i="39"/>
  <c r="C61" i="39"/>
  <c r="B61" i="39"/>
  <c r="C60" i="39"/>
  <c r="B60" i="39"/>
  <c r="C59" i="39"/>
  <c r="B59" i="39"/>
  <c r="C58" i="39"/>
  <c r="B58" i="39"/>
  <c r="C57" i="39"/>
  <c r="B57" i="39"/>
  <c r="C56" i="39"/>
  <c r="B56" i="39"/>
  <c r="C55" i="39"/>
  <c r="B55" i="39"/>
  <c r="C54" i="39"/>
  <c r="B54" i="39"/>
  <c r="C53" i="39"/>
  <c r="B53" i="39"/>
  <c r="C52" i="39"/>
  <c r="B52" i="39"/>
  <c r="C51" i="39"/>
  <c r="B51" i="39"/>
  <c r="C50" i="39"/>
  <c r="B50" i="39"/>
  <c r="C49" i="39"/>
  <c r="B49" i="39"/>
  <c r="C48" i="39"/>
  <c r="B48" i="39"/>
  <c r="C47" i="39"/>
  <c r="B47" i="39"/>
  <c r="C46" i="39"/>
  <c r="B46" i="39"/>
  <c r="C45" i="39"/>
  <c r="B45" i="39"/>
  <c r="C44" i="39"/>
  <c r="B44" i="39"/>
  <c r="C43" i="39"/>
  <c r="B43" i="39"/>
  <c r="C42" i="39"/>
  <c r="B42" i="39"/>
  <c r="C41" i="39"/>
  <c r="B41" i="39"/>
  <c r="C40" i="39"/>
  <c r="B40" i="39"/>
  <c r="C39" i="39"/>
  <c r="B39" i="39"/>
  <c r="C38" i="39"/>
  <c r="B38" i="39"/>
  <c r="C37" i="39"/>
  <c r="B37" i="39"/>
  <c r="C36" i="39"/>
  <c r="B36" i="39"/>
  <c r="C34" i="39"/>
  <c r="B34" i="39"/>
  <c r="C33" i="39"/>
  <c r="B33" i="39"/>
  <c r="C32" i="39"/>
  <c r="B32" i="39"/>
  <c r="C31" i="39"/>
  <c r="B31" i="39"/>
  <c r="C30" i="39"/>
  <c r="B30" i="39"/>
  <c r="C29" i="39"/>
  <c r="B29" i="39"/>
  <c r="C28" i="39"/>
  <c r="B28" i="39"/>
  <c r="C27" i="39"/>
  <c r="B27" i="39"/>
  <c r="C26" i="39"/>
  <c r="B26" i="39"/>
  <c r="C25" i="39"/>
  <c r="B25" i="39"/>
  <c r="C24" i="39"/>
  <c r="B24" i="39"/>
  <c r="C23" i="39"/>
  <c r="B23" i="39"/>
  <c r="C22" i="39"/>
  <c r="B22" i="39"/>
  <c r="C21" i="39"/>
  <c r="B21" i="39"/>
  <c r="C20" i="39"/>
  <c r="B20" i="39"/>
  <c r="C19" i="39"/>
  <c r="B19" i="39"/>
  <c r="C18" i="39"/>
  <c r="B18" i="39"/>
  <c r="C17" i="39"/>
  <c r="B17" i="39"/>
  <c r="C16" i="39"/>
  <c r="B16" i="39"/>
  <c r="C15" i="39"/>
  <c r="B15" i="39"/>
  <c r="C14" i="39"/>
  <c r="B14" i="39"/>
  <c r="C13" i="39"/>
  <c r="B13" i="39"/>
  <c r="C12" i="39"/>
  <c r="B12" i="39"/>
  <c r="C10" i="39"/>
  <c r="B10" i="39"/>
  <c r="C9" i="39"/>
  <c r="B9" i="39"/>
  <c r="C8" i="39"/>
  <c r="B8" i="39"/>
  <c r="C7" i="39"/>
  <c r="B7" i="39"/>
  <c r="C6" i="39"/>
  <c r="B6" i="39"/>
  <c r="D9" i="45" l="1"/>
  <c r="C10" i="62"/>
  <c r="T85" i="39"/>
  <c r="N85" i="39"/>
  <c r="M30" i="34"/>
  <c r="AH30" i="34"/>
  <c r="Q30" i="34"/>
  <c r="K30" i="34"/>
  <c r="U30" i="34"/>
  <c r="O30" i="34"/>
  <c r="Y30" i="34"/>
  <c r="S30" i="34"/>
  <c r="AC30" i="34"/>
  <c r="W30" i="34"/>
  <c r="AG30" i="34"/>
  <c r="AA30" i="34"/>
  <c r="L30" i="34"/>
  <c r="J30" i="34"/>
  <c r="AE30" i="34"/>
  <c r="P30" i="34"/>
  <c r="N30" i="34"/>
  <c r="AI30" i="34"/>
  <c r="T30" i="34"/>
  <c r="R30" i="34"/>
  <c r="I30" i="34"/>
  <c r="X30" i="34"/>
  <c r="V30" i="34"/>
  <c r="H30" i="34"/>
  <c r="AB30" i="34"/>
  <c r="Z30" i="34"/>
  <c r="AF30" i="34"/>
  <c r="AD30" i="34"/>
  <c r="H34" i="39"/>
  <c r="T34" i="39"/>
  <c r="N34" i="39"/>
  <c r="H81" i="39"/>
  <c r="T81" i="39"/>
  <c r="N81" i="39"/>
  <c r="H69" i="39"/>
  <c r="T69" i="39"/>
  <c r="N69" i="39"/>
  <c r="H107" i="39"/>
  <c r="T107" i="39"/>
  <c r="N107" i="39"/>
  <c r="T36" i="39"/>
  <c r="N36" i="39"/>
  <c r="H48" i="39"/>
  <c r="T48" i="39"/>
  <c r="N48" i="39"/>
  <c r="T102" i="39"/>
  <c r="N102" i="39"/>
  <c r="T90" i="39"/>
  <c r="N90" i="39"/>
  <c r="H33" i="39"/>
  <c r="T33" i="39"/>
  <c r="N33" i="39"/>
  <c r="H106" i="39"/>
  <c r="T106" i="39"/>
  <c r="N106" i="39"/>
  <c r="H89" i="39"/>
  <c r="T89" i="39"/>
  <c r="N89" i="39"/>
  <c r="Y31" i="34"/>
  <c r="S31" i="34"/>
  <c r="H31" i="34"/>
  <c r="AC31" i="34"/>
  <c r="W31" i="34"/>
  <c r="AG31" i="34"/>
  <c r="AA31" i="34"/>
  <c r="J31" i="34"/>
  <c r="AE31" i="34"/>
  <c r="N31" i="34"/>
  <c r="AI31" i="34"/>
  <c r="R31" i="34"/>
  <c r="L31" i="34"/>
  <c r="Z31" i="34"/>
  <c r="T31" i="34"/>
  <c r="AD31" i="34"/>
  <c r="X31" i="34"/>
  <c r="M31" i="34"/>
  <c r="AH31" i="34"/>
  <c r="AB31" i="34"/>
  <c r="Q31" i="34"/>
  <c r="K31" i="34"/>
  <c r="AF31" i="34"/>
  <c r="O31" i="34"/>
  <c r="P31" i="34"/>
  <c r="I31" i="34"/>
  <c r="V31" i="34"/>
  <c r="U31" i="34"/>
  <c r="H108" i="39"/>
  <c r="T108" i="39"/>
  <c r="N108" i="39"/>
  <c r="T91" i="39"/>
  <c r="N91" i="39"/>
  <c r="T32" i="39"/>
  <c r="N32" i="39"/>
  <c r="T79" i="39"/>
  <c r="N79" i="39"/>
  <c r="T67" i="39"/>
  <c r="N67" i="39"/>
  <c r="T105" i="39"/>
  <c r="N105" i="39"/>
  <c r="H58" i="39"/>
  <c r="T58" i="39"/>
  <c r="N58" i="39"/>
  <c r="H46" i="39"/>
  <c r="T46" i="39"/>
  <c r="N46" i="39"/>
  <c r="T100" i="39"/>
  <c r="N100" i="39"/>
  <c r="T88" i="39"/>
  <c r="N88" i="39"/>
  <c r="T59" i="39"/>
  <c r="N59" i="39"/>
  <c r="H6" i="33"/>
  <c r="T31" i="39"/>
  <c r="N31" i="39"/>
  <c r="T78" i="39"/>
  <c r="N78" i="39"/>
  <c r="T66" i="39"/>
  <c r="N66" i="39"/>
  <c r="H104" i="39"/>
  <c r="T104" i="39"/>
  <c r="N104" i="39"/>
  <c r="T5" i="39"/>
  <c r="N5" i="39"/>
  <c r="T57" i="39"/>
  <c r="N57" i="39"/>
  <c r="T45" i="39"/>
  <c r="N45" i="39"/>
  <c r="T99" i="39"/>
  <c r="N99" i="39"/>
  <c r="T87" i="39"/>
  <c r="N87" i="39"/>
  <c r="H68" i="39"/>
  <c r="T68" i="39"/>
  <c r="N68" i="39"/>
  <c r="H47" i="39"/>
  <c r="T47" i="39"/>
  <c r="N47" i="39"/>
  <c r="T7" i="39"/>
  <c r="N7" i="39"/>
  <c r="H98" i="39"/>
  <c r="T98" i="39"/>
  <c r="N98" i="39"/>
  <c r="T70" i="39"/>
  <c r="N70" i="39"/>
  <c r="H30" i="39"/>
  <c r="T30" i="39"/>
  <c r="N30" i="39"/>
  <c r="H77" i="39"/>
  <c r="T77" i="39"/>
  <c r="N77" i="39"/>
  <c r="H65" i="39"/>
  <c r="T65" i="39"/>
  <c r="N65" i="39"/>
  <c r="H85" i="39"/>
  <c r="H56" i="39"/>
  <c r="T56" i="39"/>
  <c r="N56" i="39"/>
  <c r="H44" i="39"/>
  <c r="T44" i="39"/>
  <c r="N44" i="39"/>
  <c r="T86" i="39"/>
  <c r="N86" i="39"/>
  <c r="H7" i="33"/>
  <c r="H5" i="39"/>
  <c r="H5" i="33" s="1"/>
  <c r="H76" i="39"/>
  <c r="T76" i="39"/>
  <c r="N76" i="39"/>
  <c r="H64" i="39"/>
  <c r="T64" i="39"/>
  <c r="N64" i="39"/>
  <c r="H86" i="39"/>
  <c r="T6" i="39"/>
  <c r="N6" i="39"/>
  <c r="T55" i="39"/>
  <c r="N55" i="39"/>
  <c r="T43" i="39"/>
  <c r="N43" i="39"/>
  <c r="H97" i="39"/>
  <c r="T97" i="39"/>
  <c r="N97" i="39"/>
  <c r="R20" i="34"/>
  <c r="X20" i="34"/>
  <c r="V20" i="34"/>
  <c r="Q20" i="34"/>
  <c r="Z20" i="34"/>
  <c r="Y20" i="34"/>
  <c r="K20" i="34"/>
  <c r="L20" i="34"/>
  <c r="O20" i="34"/>
  <c r="T20" i="34"/>
  <c r="S20" i="34"/>
  <c r="AB20" i="34"/>
  <c r="AA20" i="34"/>
  <c r="H20" i="34"/>
  <c r="M20" i="34"/>
  <c r="U20" i="34"/>
  <c r="J20" i="34"/>
  <c r="AC20" i="34"/>
  <c r="P20" i="34"/>
  <c r="I20" i="34"/>
  <c r="W20" i="34"/>
  <c r="N20" i="34"/>
  <c r="T75" i="39"/>
  <c r="N75" i="39"/>
  <c r="H8" i="39"/>
  <c r="H4" i="33" s="1"/>
  <c r="T8" i="39"/>
  <c r="N8" i="39"/>
  <c r="T49" i="39"/>
  <c r="N49" i="39"/>
  <c r="H80" i="39"/>
  <c r="T80" i="39"/>
  <c r="N80" i="39"/>
  <c r="T63" i="39"/>
  <c r="N63" i="39"/>
  <c r="H78" i="39"/>
  <c r="H54" i="39"/>
  <c r="T54" i="39"/>
  <c r="N54" i="39"/>
  <c r="H42" i="39"/>
  <c r="T42" i="39"/>
  <c r="N42" i="39"/>
  <c r="T96" i="39"/>
  <c r="N96" i="39"/>
  <c r="H31" i="39"/>
  <c r="T74" i="39"/>
  <c r="N74" i="39"/>
  <c r="T62" i="39"/>
  <c r="N62" i="39"/>
  <c r="H79" i="39"/>
  <c r="H88" i="39"/>
  <c r="H16" i="33"/>
  <c r="T10" i="39"/>
  <c r="N10" i="39"/>
  <c r="T53" i="39"/>
  <c r="N53" i="39"/>
  <c r="T41" i="39"/>
  <c r="N41" i="39"/>
  <c r="H43" i="39"/>
  <c r="T95" i="39"/>
  <c r="N95" i="39"/>
  <c r="H29" i="39"/>
  <c r="T29" i="39"/>
  <c r="N29" i="39"/>
  <c r="T82" i="39"/>
  <c r="N82" i="39"/>
  <c r="T37" i="39"/>
  <c r="N37" i="39"/>
  <c r="H101" i="39"/>
  <c r="T101" i="39"/>
  <c r="N101" i="39"/>
  <c r="H61" i="39"/>
  <c r="T61" i="39"/>
  <c r="N61" i="39"/>
  <c r="H52" i="39"/>
  <c r="T52" i="39"/>
  <c r="N52" i="39"/>
  <c r="H60" i="39"/>
  <c r="T60" i="39"/>
  <c r="N60" i="39"/>
  <c r="H72" i="39"/>
  <c r="T72" i="39"/>
  <c r="N72" i="39"/>
  <c r="H91" i="39"/>
  <c r="T51" i="39"/>
  <c r="N51" i="39"/>
  <c r="T39" i="39"/>
  <c r="N39" i="39"/>
  <c r="H39" i="39"/>
  <c r="H93" i="39"/>
  <c r="T93" i="39"/>
  <c r="N93" i="39"/>
  <c r="T21" i="34"/>
  <c r="V21" i="34"/>
  <c r="X21" i="34"/>
  <c r="Z21" i="34"/>
  <c r="K21" i="34"/>
  <c r="AB21" i="34"/>
  <c r="AD21" i="34"/>
  <c r="J21" i="34"/>
  <c r="AF21" i="34"/>
  <c r="AH21" i="34"/>
  <c r="O21" i="34"/>
  <c r="M21" i="34"/>
  <c r="I21" i="34"/>
  <c r="S21" i="34"/>
  <c r="Q21" i="34"/>
  <c r="H21" i="34"/>
  <c r="W21" i="34"/>
  <c r="U21" i="34"/>
  <c r="AA21" i="34"/>
  <c r="Y21" i="34"/>
  <c r="AE21" i="34"/>
  <c r="AC21" i="34"/>
  <c r="AI21" i="34"/>
  <c r="AG21" i="34"/>
  <c r="L21" i="34"/>
  <c r="N21" i="34"/>
  <c r="P21" i="34"/>
  <c r="R21" i="34"/>
  <c r="Y17" i="34"/>
  <c r="S17" i="34"/>
  <c r="H17" i="34"/>
  <c r="R17" i="34"/>
  <c r="L17" i="34"/>
  <c r="AG17" i="34"/>
  <c r="AI17" i="34"/>
  <c r="AC17" i="34"/>
  <c r="J17" i="34"/>
  <c r="P17" i="34"/>
  <c r="N17" i="34"/>
  <c r="T17" i="34"/>
  <c r="AE17" i="34"/>
  <c r="V17" i="34"/>
  <c r="X17" i="34"/>
  <c r="Z17" i="34"/>
  <c r="AB17" i="34"/>
  <c r="AD17" i="34"/>
  <c r="AF17" i="34"/>
  <c r="AH17" i="34"/>
  <c r="I17" i="34"/>
  <c r="K17" i="34"/>
  <c r="M17" i="34"/>
  <c r="O17" i="34"/>
  <c r="Q17" i="34"/>
  <c r="W17" i="34"/>
  <c r="U17" i="34"/>
  <c r="AA17" i="34"/>
  <c r="H73" i="39"/>
  <c r="T73" i="39"/>
  <c r="N73" i="39"/>
  <c r="H82" i="39"/>
  <c r="T9" i="39"/>
  <c r="N9" i="39"/>
  <c r="H40" i="39"/>
  <c r="T40" i="39"/>
  <c r="N40" i="39"/>
  <c r="H94" i="39"/>
  <c r="T94" i="39"/>
  <c r="N94" i="39"/>
  <c r="T83" i="39"/>
  <c r="N83" i="39"/>
  <c r="T71" i="39"/>
  <c r="N71" i="39"/>
  <c r="H103" i="39"/>
  <c r="T103" i="39"/>
  <c r="N103" i="39"/>
  <c r="H50" i="39"/>
  <c r="T50" i="39"/>
  <c r="N50" i="39"/>
  <c r="H38" i="39"/>
  <c r="T38" i="39"/>
  <c r="N38" i="39"/>
  <c r="H37" i="39"/>
  <c r="T92" i="39"/>
  <c r="N92" i="39"/>
  <c r="K15" i="34"/>
  <c r="O15" i="34"/>
  <c r="S15" i="34"/>
  <c r="W15" i="34"/>
  <c r="AA15" i="34"/>
  <c r="AE15" i="34"/>
  <c r="AI15" i="34"/>
  <c r="AM15" i="34"/>
  <c r="L15" i="34"/>
  <c r="P15" i="34"/>
  <c r="T15" i="34"/>
  <c r="X15" i="34"/>
  <c r="AB15" i="34"/>
  <c r="AF15" i="34"/>
  <c r="AJ15" i="34"/>
  <c r="AN15" i="34"/>
  <c r="M15" i="34"/>
  <c r="U15" i="34"/>
  <c r="AC15" i="34"/>
  <c r="AK15" i="34"/>
  <c r="AQ15" i="34"/>
  <c r="AU15" i="34"/>
  <c r="AY15" i="34"/>
  <c r="BC15" i="34"/>
  <c r="BG15" i="34"/>
  <c r="BK15" i="34"/>
  <c r="BO15" i="34"/>
  <c r="N15" i="34"/>
  <c r="V15" i="34"/>
  <c r="AD15" i="34"/>
  <c r="AL15" i="34"/>
  <c r="AR15" i="34"/>
  <c r="AV15" i="34"/>
  <c r="AZ15" i="34"/>
  <c r="BD15" i="34"/>
  <c r="BH15" i="34"/>
  <c r="BL15" i="34"/>
  <c r="BP15" i="34"/>
  <c r="Q15" i="34"/>
  <c r="Y15" i="34"/>
  <c r="AG15" i="34"/>
  <c r="AO15" i="34"/>
  <c r="AS15" i="34"/>
  <c r="AW15" i="34"/>
  <c r="BA15" i="34"/>
  <c r="BE15" i="34"/>
  <c r="BI15" i="34"/>
  <c r="BM15" i="34"/>
  <c r="J15" i="34"/>
  <c r="R15" i="34"/>
  <c r="Z15" i="34"/>
  <c r="AH15" i="34"/>
  <c r="AP15" i="34"/>
  <c r="AT15" i="34"/>
  <c r="AX15" i="34"/>
  <c r="BB15" i="34"/>
  <c r="BF15" i="34"/>
  <c r="BJ15" i="34"/>
  <c r="BN15" i="34"/>
  <c r="I15" i="34"/>
  <c r="H15" i="34"/>
  <c r="K9" i="34"/>
  <c r="O9" i="34"/>
  <c r="S9" i="34"/>
  <c r="W9" i="34"/>
  <c r="AA9" i="34"/>
  <c r="AE9" i="34"/>
  <c r="AI9" i="34"/>
  <c r="AM9" i="34"/>
  <c r="AQ9" i="34"/>
  <c r="AU9" i="34"/>
  <c r="AY9" i="34"/>
  <c r="L9" i="34"/>
  <c r="P9" i="34"/>
  <c r="T9" i="34"/>
  <c r="X9" i="34"/>
  <c r="AB9" i="34"/>
  <c r="AF9" i="34"/>
  <c r="AN9" i="34"/>
  <c r="AR9" i="34"/>
  <c r="AV9" i="34"/>
  <c r="AZ9" i="34"/>
  <c r="M9" i="34"/>
  <c r="Q9" i="34"/>
  <c r="U9" i="34"/>
  <c r="Y9" i="34"/>
  <c r="AC9" i="34"/>
  <c r="AG9" i="34"/>
  <c r="AK9" i="34"/>
  <c r="AO9" i="34"/>
  <c r="AS9" i="34"/>
  <c r="AW9" i="34"/>
  <c r="BA9" i="34"/>
  <c r="J9" i="34"/>
  <c r="N9" i="34"/>
  <c r="R9" i="34"/>
  <c r="V9" i="34"/>
  <c r="Z9" i="34"/>
  <c r="AD9" i="34"/>
  <c r="AH9" i="34"/>
  <c r="AL9" i="34"/>
  <c r="AP9" i="34"/>
  <c r="AT9" i="34"/>
  <c r="AX9" i="34"/>
  <c r="BB9" i="34"/>
  <c r="BC9" i="34"/>
  <c r="BG9" i="34"/>
  <c r="BK9" i="34"/>
  <c r="BO9" i="34"/>
  <c r="BD9" i="34"/>
  <c r="BH9" i="34"/>
  <c r="BL9" i="34"/>
  <c r="BP9" i="34"/>
  <c r="BE9" i="34"/>
  <c r="BI9" i="34"/>
  <c r="BM9" i="34"/>
  <c r="BF9" i="34"/>
  <c r="BJ9" i="34"/>
  <c r="BN9" i="34"/>
  <c r="I9" i="34"/>
  <c r="H9" i="34"/>
  <c r="L14" i="34"/>
  <c r="P14" i="34"/>
  <c r="T14" i="34"/>
  <c r="X14" i="34"/>
  <c r="AB14" i="34"/>
  <c r="AF14" i="34"/>
  <c r="AJ14" i="34"/>
  <c r="AN14" i="34"/>
  <c r="AR14" i="34"/>
  <c r="AV14" i="34"/>
  <c r="AZ14" i="34"/>
  <c r="BD14" i="34"/>
  <c r="BH14" i="34"/>
  <c r="BL14" i="34"/>
  <c r="M14" i="34"/>
  <c r="Q14" i="34"/>
  <c r="U14" i="34"/>
  <c r="Y14" i="34"/>
  <c r="AC14" i="34"/>
  <c r="AG14" i="34"/>
  <c r="AK14" i="34"/>
  <c r="AO14" i="34"/>
  <c r="AS14" i="34"/>
  <c r="AW14" i="34"/>
  <c r="BA14" i="34"/>
  <c r="BE14" i="34"/>
  <c r="J14" i="34"/>
  <c r="N14" i="34"/>
  <c r="R14" i="34"/>
  <c r="V14" i="34"/>
  <c r="Z14" i="34"/>
  <c r="AD14" i="34"/>
  <c r="AH14" i="34"/>
  <c r="AL14" i="34"/>
  <c r="AP14" i="34"/>
  <c r="AT14" i="34"/>
  <c r="AX14" i="34"/>
  <c r="BB14" i="34"/>
  <c r="BF14" i="34"/>
  <c r="BJ14" i="34"/>
  <c r="BN14" i="34"/>
  <c r="K14" i="34"/>
  <c r="O14" i="34"/>
  <c r="S14" i="34"/>
  <c r="W14" i="34"/>
  <c r="AA14" i="34"/>
  <c r="AE14" i="34"/>
  <c r="AI14" i="34"/>
  <c r="AM14" i="34"/>
  <c r="AQ14" i="34"/>
  <c r="AU14" i="34"/>
  <c r="AY14" i="34"/>
  <c r="BC14" i="34"/>
  <c r="BG14" i="34"/>
  <c r="BK14" i="34"/>
  <c r="BO14" i="34"/>
  <c r="BI14" i="34"/>
  <c r="BM14" i="34"/>
  <c r="BP14" i="34"/>
  <c r="I14" i="34"/>
  <c r="H14" i="34"/>
  <c r="D117" i="46"/>
  <c r="E117" i="46" s="1"/>
  <c r="E101" i="46"/>
  <c r="D89" i="46"/>
  <c r="E71" i="46"/>
  <c r="D87" i="46"/>
  <c r="E69" i="46"/>
  <c r="E112" i="46"/>
  <c r="D128" i="46"/>
  <c r="E128" i="46" s="1"/>
  <c r="D127" i="46"/>
  <c r="E127" i="46" s="1"/>
  <c r="E111" i="46"/>
  <c r="H104" i="34"/>
  <c r="V104" i="34"/>
  <c r="W119" i="34"/>
  <c r="J120" i="34"/>
  <c r="L120" i="34"/>
  <c r="S119" i="34"/>
  <c r="AE104" i="34"/>
  <c r="AI103" i="34"/>
  <c r="I119" i="34"/>
  <c r="AG104" i="34"/>
  <c r="O119" i="34"/>
  <c r="AI120" i="34"/>
  <c r="J119" i="34"/>
  <c r="H120" i="34"/>
  <c r="K120" i="34"/>
  <c r="M104" i="34"/>
  <c r="I120" i="34"/>
  <c r="AG103" i="34"/>
  <c r="Z103" i="34"/>
  <c r="U119" i="34"/>
  <c r="AC103" i="34"/>
  <c r="O104" i="34"/>
  <c r="H103" i="34"/>
  <c r="AF104" i="34"/>
  <c r="V119" i="34"/>
  <c r="AB120" i="34"/>
  <c r="X103" i="34"/>
  <c r="Z104" i="34"/>
  <c r="R119" i="34"/>
  <c r="AC104" i="34"/>
  <c r="J104" i="34"/>
  <c r="AD120" i="34"/>
  <c r="S103" i="34"/>
  <c r="W104" i="34"/>
  <c r="AH103" i="34"/>
  <c r="X120" i="34"/>
  <c r="Q119" i="34"/>
  <c r="R120" i="34"/>
  <c r="AI119" i="34"/>
  <c r="K103" i="34"/>
  <c r="L119" i="34"/>
  <c r="U104" i="34"/>
  <c r="AA120" i="34"/>
  <c r="AB119" i="34"/>
  <c r="AG119" i="34"/>
  <c r="T119" i="34"/>
  <c r="AE103" i="34"/>
  <c r="Y104" i="34"/>
  <c r="Y119" i="34"/>
  <c r="AH120" i="34"/>
  <c r="I103" i="34"/>
  <c r="N119" i="34"/>
  <c r="N104" i="34"/>
  <c r="T120" i="34"/>
  <c r="U103" i="34"/>
  <c r="AC119" i="34"/>
  <c r="O120" i="34"/>
  <c r="H119" i="34"/>
  <c r="AF120" i="34"/>
  <c r="W103" i="34"/>
  <c r="AB104" i="34"/>
  <c r="AE119" i="34"/>
  <c r="P103" i="34"/>
  <c r="AF119" i="34"/>
  <c r="W120" i="34"/>
  <c r="Q103" i="34"/>
  <c r="R104" i="34"/>
  <c r="AA119" i="34"/>
  <c r="K119" i="34"/>
  <c r="AG120" i="34"/>
  <c r="Q104" i="34"/>
  <c r="O103" i="34"/>
  <c r="T104" i="34"/>
  <c r="AD119" i="34"/>
  <c r="V103" i="34"/>
  <c r="P119" i="34"/>
  <c r="T94" i="34"/>
  <c r="Z110" i="34"/>
  <c r="M103" i="34"/>
  <c r="S104" i="34"/>
  <c r="M119" i="34"/>
  <c r="Y103" i="34"/>
  <c r="S120" i="34"/>
  <c r="AH104" i="34"/>
  <c r="N103" i="34"/>
  <c r="Q120" i="34"/>
  <c r="U120" i="34"/>
  <c r="AA104" i="34"/>
  <c r="AI104" i="34"/>
  <c r="J103" i="34"/>
  <c r="K104" i="34"/>
  <c r="M120" i="34"/>
  <c r="V120" i="34"/>
  <c r="I104" i="34"/>
  <c r="AB103" i="34"/>
  <c r="Z119" i="34"/>
  <c r="N120" i="34"/>
  <c r="AD103" i="34"/>
  <c r="X119" i="34"/>
  <c r="Z120" i="34"/>
  <c r="R103" i="34"/>
  <c r="T103" i="34"/>
  <c r="AC120" i="34"/>
  <c r="AD104" i="34"/>
  <c r="L104" i="34"/>
  <c r="Y120" i="34"/>
  <c r="AF103" i="34"/>
  <c r="AH119" i="34"/>
  <c r="X104" i="34"/>
  <c r="AA103" i="34"/>
  <c r="AE120" i="34"/>
  <c r="L103" i="34"/>
  <c r="U94" i="34"/>
  <c r="P136" i="34"/>
  <c r="P89" i="34"/>
  <c r="P140" i="34"/>
  <c r="V136" i="34"/>
  <c r="V140" i="34"/>
  <c r="V89" i="34"/>
  <c r="AA89" i="34"/>
  <c r="AA140" i="34"/>
  <c r="AA136" i="34"/>
  <c r="X89" i="34"/>
  <c r="X140" i="34"/>
  <c r="X136" i="34"/>
  <c r="R89" i="34"/>
  <c r="R136" i="34"/>
  <c r="R140" i="34"/>
  <c r="AB140" i="34"/>
  <c r="AB89" i="34"/>
  <c r="AB136" i="34"/>
  <c r="Z140" i="34"/>
  <c r="Z89" i="34"/>
  <c r="Z136" i="34"/>
  <c r="J136" i="34"/>
  <c r="J140" i="34"/>
  <c r="J89" i="34"/>
  <c r="T140" i="34"/>
  <c r="T89" i="34"/>
  <c r="T136" i="34"/>
  <c r="H140" i="34"/>
  <c r="H136" i="34"/>
  <c r="H89" i="34"/>
  <c r="U89" i="34"/>
  <c r="U140" i="34"/>
  <c r="U136" i="34"/>
  <c r="P63" i="36"/>
  <c r="P79" i="36"/>
  <c r="P185" i="34"/>
  <c r="P169" i="34"/>
  <c r="S89" i="34"/>
  <c r="S140" i="34"/>
  <c r="S136" i="34"/>
  <c r="W136" i="34"/>
  <c r="W89" i="34"/>
  <c r="W140" i="34"/>
  <c r="Q140" i="34"/>
  <c r="Q136" i="34"/>
  <c r="Q89" i="34"/>
  <c r="L140" i="34"/>
  <c r="L89" i="34"/>
  <c r="L136" i="34"/>
  <c r="N140" i="34"/>
  <c r="N89" i="34"/>
  <c r="N136" i="34"/>
  <c r="O140" i="34"/>
  <c r="O136" i="34"/>
  <c r="O89" i="34"/>
  <c r="AC136" i="34"/>
  <c r="AC89" i="34"/>
  <c r="AC140" i="34"/>
  <c r="M140" i="34"/>
  <c r="M136" i="34"/>
  <c r="M89" i="34"/>
  <c r="K140" i="34"/>
  <c r="K136" i="34"/>
  <c r="K89" i="34"/>
  <c r="Y140" i="34"/>
  <c r="Y136" i="34"/>
  <c r="Y89" i="34"/>
  <c r="I89" i="34"/>
  <c r="I140" i="34"/>
  <c r="I136" i="34"/>
  <c r="D24" i="45"/>
  <c r="E24" i="45"/>
  <c r="E12" i="45"/>
  <c r="B16" i="45"/>
  <c r="H10" i="33" l="1"/>
  <c r="H27" i="33"/>
  <c r="D10" i="45"/>
  <c r="C11" i="62"/>
  <c r="H22" i="33"/>
  <c r="AB10" i="34"/>
  <c r="O10" i="34"/>
  <c r="M10" i="34"/>
  <c r="S10" i="34"/>
  <c r="Q10" i="34"/>
  <c r="W10" i="34"/>
  <c r="U10" i="34"/>
  <c r="AA10" i="34"/>
  <c r="Y10" i="34"/>
  <c r="H10" i="34"/>
  <c r="AC10" i="34"/>
  <c r="I10" i="34"/>
  <c r="N10" i="34"/>
  <c r="L10" i="34"/>
  <c r="R10" i="34"/>
  <c r="P10" i="34"/>
  <c r="V10" i="34"/>
  <c r="T10" i="34"/>
  <c r="Z10" i="34"/>
  <c r="X10" i="34"/>
  <c r="J10" i="34"/>
  <c r="K10" i="34"/>
  <c r="H72" i="46"/>
  <c r="H45" i="33"/>
  <c r="H12" i="33"/>
  <c r="H13" i="33"/>
  <c r="H25" i="33"/>
  <c r="AD7" i="34"/>
  <c r="X7" i="34"/>
  <c r="AC7" i="34"/>
  <c r="W7" i="34"/>
  <c r="J7" i="34"/>
  <c r="L7" i="34"/>
  <c r="N7" i="34"/>
  <c r="P7" i="34"/>
  <c r="AI7" i="34"/>
  <c r="R7" i="34"/>
  <c r="T7" i="34"/>
  <c r="V7" i="34"/>
  <c r="AB7" i="34"/>
  <c r="Z7" i="34"/>
  <c r="AF7" i="34"/>
  <c r="AH7" i="34"/>
  <c r="I7" i="34"/>
  <c r="K7" i="34"/>
  <c r="H7" i="34"/>
  <c r="M7" i="34"/>
  <c r="O7" i="34"/>
  <c r="AG7" i="34"/>
  <c r="Q7" i="34"/>
  <c r="S7" i="34"/>
  <c r="U7" i="34"/>
  <c r="AA7" i="34"/>
  <c r="Y7" i="34"/>
  <c r="AE7" i="34"/>
  <c r="H70" i="46"/>
  <c r="H43" i="33"/>
  <c r="H24" i="33"/>
  <c r="Q5" i="34"/>
  <c r="AA5" i="34"/>
  <c r="N5" i="34"/>
  <c r="P5" i="34"/>
  <c r="H5" i="34"/>
  <c r="T5" i="34"/>
  <c r="I5" i="34"/>
  <c r="X5" i="34"/>
  <c r="AB5" i="34"/>
  <c r="M5" i="34"/>
  <c r="U5" i="34"/>
  <c r="Y5" i="34"/>
  <c r="K5" i="34"/>
  <c r="AC5" i="34"/>
  <c r="L5" i="34"/>
  <c r="O5" i="34"/>
  <c r="J5" i="34"/>
  <c r="S5" i="34"/>
  <c r="R5" i="34"/>
  <c r="W5" i="34"/>
  <c r="V5" i="34"/>
  <c r="Z5" i="34"/>
  <c r="H11" i="33"/>
  <c r="H69" i="46"/>
  <c r="H42" i="33"/>
  <c r="Y6" i="34"/>
  <c r="I6" i="34"/>
  <c r="AC6" i="34"/>
  <c r="H6" i="34"/>
  <c r="J6" i="34"/>
  <c r="N6" i="34"/>
  <c r="L6" i="34"/>
  <c r="R6" i="34"/>
  <c r="P6" i="34"/>
  <c r="V6" i="34"/>
  <c r="X6" i="34"/>
  <c r="K6" i="34"/>
  <c r="AB6" i="34"/>
  <c r="O6" i="34"/>
  <c r="M6" i="34"/>
  <c r="S6" i="34"/>
  <c r="Q6" i="34"/>
  <c r="W6" i="34"/>
  <c r="AA6" i="34"/>
  <c r="Z6" i="34"/>
  <c r="T6" i="34"/>
  <c r="U6" i="34"/>
  <c r="AR22" i="34"/>
  <c r="AG22" i="34"/>
  <c r="V22" i="34"/>
  <c r="K22" i="34"/>
  <c r="BG22" i="34"/>
  <c r="AV22" i="34"/>
  <c r="AK22" i="34"/>
  <c r="Z22" i="34"/>
  <c r="O22" i="34"/>
  <c r="BK22" i="34"/>
  <c r="AZ22" i="34"/>
  <c r="AO22" i="34"/>
  <c r="AD22" i="34"/>
  <c r="S22" i="34"/>
  <c r="BO22" i="34"/>
  <c r="BD22" i="34"/>
  <c r="AS22" i="34"/>
  <c r="AH22" i="34"/>
  <c r="W22" i="34"/>
  <c r="I22" i="34"/>
  <c r="L22" i="34"/>
  <c r="BH22" i="34"/>
  <c r="AW22" i="34"/>
  <c r="AL22" i="34"/>
  <c r="AA22" i="34"/>
  <c r="H22" i="34"/>
  <c r="P22" i="34"/>
  <c r="BL22" i="34"/>
  <c r="BA22" i="34"/>
  <c r="AP22" i="34"/>
  <c r="AE22" i="34"/>
  <c r="T22" i="34"/>
  <c r="BP22" i="34"/>
  <c r="BE22" i="34"/>
  <c r="AT22" i="34"/>
  <c r="AI22" i="34"/>
  <c r="X22" i="34"/>
  <c r="M22" i="34"/>
  <c r="BI22" i="34"/>
  <c r="AX22" i="34"/>
  <c r="AM22" i="34"/>
  <c r="AB22" i="34"/>
  <c r="Q22" i="34"/>
  <c r="BM22" i="34"/>
  <c r="BB22" i="34"/>
  <c r="AQ22" i="34"/>
  <c r="AF22" i="34"/>
  <c r="U22" i="34"/>
  <c r="J22" i="34"/>
  <c r="BF22" i="34"/>
  <c r="AU22" i="34"/>
  <c r="AJ22" i="34"/>
  <c r="Y22" i="34"/>
  <c r="N22" i="34"/>
  <c r="BJ22" i="34"/>
  <c r="AY22" i="34"/>
  <c r="AN22" i="34"/>
  <c r="AC22" i="34"/>
  <c r="R22" i="34"/>
  <c r="BN22" i="34"/>
  <c r="BC22" i="34"/>
  <c r="M16" i="34"/>
  <c r="AH16" i="34"/>
  <c r="Q16" i="34"/>
  <c r="K16" i="34"/>
  <c r="U16" i="34"/>
  <c r="O16" i="34"/>
  <c r="Y16" i="34"/>
  <c r="S16" i="34"/>
  <c r="AC16" i="34"/>
  <c r="W16" i="34"/>
  <c r="AG16" i="34"/>
  <c r="AA16" i="34"/>
  <c r="P16" i="34"/>
  <c r="N16" i="34"/>
  <c r="AI16" i="34"/>
  <c r="T16" i="34"/>
  <c r="R16" i="34"/>
  <c r="I16" i="34"/>
  <c r="X16" i="34"/>
  <c r="V16" i="34"/>
  <c r="H16" i="34"/>
  <c r="AB16" i="34"/>
  <c r="Z16" i="34"/>
  <c r="L16" i="34"/>
  <c r="AF16" i="34"/>
  <c r="J16" i="34"/>
  <c r="AD16" i="34"/>
  <c r="AE16" i="34"/>
  <c r="H18" i="33"/>
  <c r="H19" i="33"/>
  <c r="H67" i="46"/>
  <c r="H40" i="33"/>
  <c r="H63" i="46"/>
  <c r="H36" i="33"/>
  <c r="H64" i="46"/>
  <c r="H37" i="33"/>
  <c r="H8" i="33"/>
  <c r="R4" i="34"/>
  <c r="AB4" i="34"/>
  <c r="V4" i="34"/>
  <c r="M4" i="34"/>
  <c r="Z4" i="34"/>
  <c r="Q4" i="34"/>
  <c r="K4" i="34"/>
  <c r="U4" i="34"/>
  <c r="O4" i="34"/>
  <c r="Y4" i="34"/>
  <c r="S4" i="34"/>
  <c r="AC4" i="34"/>
  <c r="AA4" i="34"/>
  <c r="H4" i="34"/>
  <c r="L4" i="34"/>
  <c r="P4" i="34"/>
  <c r="J4" i="34"/>
  <c r="T4" i="34"/>
  <c r="X4" i="34"/>
  <c r="I4" i="34"/>
  <c r="W4" i="34"/>
  <c r="N4" i="34"/>
  <c r="H26" i="33"/>
  <c r="AC27" i="34"/>
  <c r="R27" i="34"/>
  <c r="BN27" i="34"/>
  <c r="BC27" i="34"/>
  <c r="AR27" i="34"/>
  <c r="AG27" i="34"/>
  <c r="V27" i="34"/>
  <c r="K27" i="34"/>
  <c r="BG27" i="34"/>
  <c r="AV27" i="34"/>
  <c r="AK27" i="34"/>
  <c r="Z27" i="34"/>
  <c r="O27" i="34"/>
  <c r="BK27" i="34"/>
  <c r="AZ27" i="34"/>
  <c r="AO27" i="34"/>
  <c r="AD27" i="34"/>
  <c r="S27" i="34"/>
  <c r="BO27" i="34"/>
  <c r="BD27" i="34"/>
  <c r="AS27" i="34"/>
  <c r="AH27" i="34"/>
  <c r="W27" i="34"/>
  <c r="L27" i="34"/>
  <c r="BH27" i="34"/>
  <c r="AW27" i="34"/>
  <c r="AL27" i="34"/>
  <c r="AA27" i="34"/>
  <c r="P27" i="34"/>
  <c r="BL27" i="34"/>
  <c r="BE27" i="34"/>
  <c r="AT27" i="34"/>
  <c r="AI27" i="34"/>
  <c r="X27" i="34"/>
  <c r="I27" i="34"/>
  <c r="M27" i="34"/>
  <c r="BI27" i="34"/>
  <c r="AX27" i="34"/>
  <c r="AM27" i="34"/>
  <c r="AB27" i="34"/>
  <c r="H27" i="34"/>
  <c r="Q27" i="34"/>
  <c r="BM27" i="34"/>
  <c r="BB27" i="34"/>
  <c r="AQ27" i="34"/>
  <c r="AF27" i="34"/>
  <c r="U27" i="34"/>
  <c r="J27" i="34"/>
  <c r="BF27" i="34"/>
  <c r="AU27" i="34"/>
  <c r="AJ27" i="34"/>
  <c r="Y27" i="34"/>
  <c r="BA27" i="34"/>
  <c r="N27" i="34"/>
  <c r="AP27" i="34"/>
  <c r="BJ27" i="34"/>
  <c r="AE27" i="34"/>
  <c r="AY27" i="34"/>
  <c r="T27" i="34"/>
  <c r="AN27" i="34"/>
  <c r="BP27" i="34"/>
  <c r="H71" i="46"/>
  <c r="H44" i="33"/>
  <c r="D107" i="46"/>
  <c r="E89" i="46"/>
  <c r="E87" i="46"/>
  <c r="D105" i="46"/>
  <c r="P104" i="34"/>
  <c r="P120" i="34"/>
  <c r="E25" i="45"/>
  <c r="D25" i="45"/>
  <c r="C23" i="62" s="1"/>
  <c r="B17" i="45"/>
  <c r="E13" i="45"/>
  <c r="C12" i="62" l="1"/>
  <c r="D4" i="45"/>
  <c r="D58" i="45" s="1"/>
  <c r="D12" i="45"/>
  <c r="AG74" i="36"/>
  <c r="AG115" i="34" s="1"/>
  <c r="AE74" i="36"/>
  <c r="AE115" i="34" s="1"/>
  <c r="AH74" i="36"/>
  <c r="AH115" i="34" s="1"/>
  <c r="AD74" i="36"/>
  <c r="AD115" i="34" s="1"/>
  <c r="AE58" i="36"/>
  <c r="AE99" i="34" s="1"/>
  <c r="AI58" i="36"/>
  <c r="AI99" i="34" s="1"/>
  <c r="AH58" i="36"/>
  <c r="AH99" i="34" s="1"/>
  <c r="AD58" i="36"/>
  <c r="AD99" i="34" s="1"/>
  <c r="AI74" i="36"/>
  <c r="AI115" i="34" s="1"/>
  <c r="AF74" i="36"/>
  <c r="AF115" i="34" s="1"/>
  <c r="AG58" i="36"/>
  <c r="AG99" i="34" s="1"/>
  <c r="AF58" i="36"/>
  <c r="AF99" i="34" s="1"/>
  <c r="AX74" i="36"/>
  <c r="AX115" i="34" s="1"/>
  <c r="BM74" i="36"/>
  <c r="BM115" i="34" s="1"/>
  <c r="BL74" i="36"/>
  <c r="BL115" i="34" s="1"/>
  <c r="AZ74" i="36"/>
  <c r="AZ115" i="34" s="1"/>
  <c r="AN74" i="36"/>
  <c r="AN115" i="34" s="1"/>
  <c r="BJ58" i="36"/>
  <c r="BJ99" i="34" s="1"/>
  <c r="AL74" i="36"/>
  <c r="AL115" i="34" s="1"/>
  <c r="BI74" i="36"/>
  <c r="BI115" i="34" s="1"/>
  <c r="AO74" i="36"/>
  <c r="AO115" i="34" s="1"/>
  <c r="BG74" i="36"/>
  <c r="BG115" i="34" s="1"/>
  <c r="AU74" i="36"/>
  <c r="AU115" i="34" s="1"/>
  <c r="BC180" i="34"/>
  <c r="BP74" i="36"/>
  <c r="BP115" i="34" s="1"/>
  <c r="AR58" i="36"/>
  <c r="AR99" i="34" s="1"/>
  <c r="AT74" i="36"/>
  <c r="AT115" i="34" s="1"/>
  <c r="AY58" i="36"/>
  <c r="AY99" i="34" s="1"/>
  <c r="BF180" i="34"/>
  <c r="BD180" i="34"/>
  <c r="AX58" i="36"/>
  <c r="AX99" i="34" s="1"/>
  <c r="BM58" i="36"/>
  <c r="BM99" i="34" s="1"/>
  <c r="BL58" i="36"/>
  <c r="BL99" i="34" s="1"/>
  <c r="AZ58" i="36"/>
  <c r="AZ99" i="34" s="1"/>
  <c r="AN58" i="36"/>
  <c r="AN99" i="34" s="1"/>
  <c r="BJ74" i="36"/>
  <c r="BJ115" i="34" s="1"/>
  <c r="AL58" i="36"/>
  <c r="AL99" i="34" s="1"/>
  <c r="BI58" i="36"/>
  <c r="BI99" i="34" s="1"/>
  <c r="AO58" i="36"/>
  <c r="AO99" i="34" s="1"/>
  <c r="BG58" i="36"/>
  <c r="BG99" i="34" s="1"/>
  <c r="AU58" i="36"/>
  <c r="AU99" i="34" s="1"/>
  <c r="AW180" i="34"/>
  <c r="AX164" i="34"/>
  <c r="BM164" i="34"/>
  <c r="BL164" i="34"/>
  <c r="AZ180" i="34"/>
  <c r="AN164" i="34"/>
  <c r="BJ180" i="34"/>
  <c r="AL164" i="34"/>
  <c r="BI180" i="34"/>
  <c r="AO180" i="34"/>
  <c r="BG180" i="34"/>
  <c r="AU180" i="34"/>
  <c r="BP164" i="34"/>
  <c r="AX180" i="34"/>
  <c r="BM180" i="34"/>
  <c r="BL180" i="34"/>
  <c r="AZ164" i="34"/>
  <c r="AN180" i="34"/>
  <c r="BJ164" i="34"/>
  <c r="AL180" i="34"/>
  <c r="BI164" i="34"/>
  <c r="AO164" i="34"/>
  <c r="BG164" i="34"/>
  <c r="AU164" i="34"/>
  <c r="AW58" i="36"/>
  <c r="AW99" i="34" s="1"/>
  <c r="AM58" i="36"/>
  <c r="AM99" i="34" s="1"/>
  <c r="BN74" i="36"/>
  <c r="BN115" i="34" s="1"/>
  <c r="AP74" i="36"/>
  <c r="AP115" i="34" s="1"/>
  <c r="BA74" i="36"/>
  <c r="BA115" i="34" s="1"/>
  <c r="BH74" i="36"/>
  <c r="BH115" i="34" s="1"/>
  <c r="AV74" i="36"/>
  <c r="AV115" i="34" s="1"/>
  <c r="AJ58" i="36"/>
  <c r="AJ99" i="34" s="1"/>
  <c r="BB58" i="36"/>
  <c r="BB99" i="34" s="1"/>
  <c r="BE74" i="36"/>
  <c r="BE115" i="34" s="1"/>
  <c r="AK74" i="36"/>
  <c r="AK115" i="34" s="1"/>
  <c r="BO74" i="36"/>
  <c r="BO115" i="34" s="1"/>
  <c r="BC74" i="36"/>
  <c r="BC115" i="34" s="1"/>
  <c r="AQ74" i="36"/>
  <c r="AQ115" i="34" s="1"/>
  <c r="AS58" i="36"/>
  <c r="AS99" i="34" s="1"/>
  <c r="BD58" i="36"/>
  <c r="BD99" i="34" s="1"/>
  <c r="BN58" i="36"/>
  <c r="BN99" i="34" s="1"/>
  <c r="AP58" i="36"/>
  <c r="AP99" i="34" s="1"/>
  <c r="BA58" i="36"/>
  <c r="BA99" i="34" s="1"/>
  <c r="BH58" i="36"/>
  <c r="BH99" i="34" s="1"/>
  <c r="AV58" i="36"/>
  <c r="AV99" i="34" s="1"/>
  <c r="AJ74" i="36"/>
  <c r="AJ115" i="34" s="1"/>
  <c r="BB74" i="36"/>
  <c r="BB115" i="34" s="1"/>
  <c r="BE58" i="36"/>
  <c r="BE99" i="34" s="1"/>
  <c r="AK58" i="36"/>
  <c r="AK99" i="34" s="1"/>
  <c r="BO58" i="36"/>
  <c r="BO99" i="34" s="1"/>
  <c r="BC58" i="36"/>
  <c r="BC99" i="34" s="1"/>
  <c r="AQ58" i="36"/>
  <c r="AQ99" i="34" s="1"/>
  <c r="BE164" i="34"/>
  <c r="BC164" i="34"/>
  <c r="AQ180" i="34"/>
  <c r="AT180" i="34"/>
  <c r="AY164" i="34"/>
  <c r="BN164" i="34"/>
  <c r="AP164" i="34"/>
  <c r="BA164" i="34"/>
  <c r="BH180" i="34"/>
  <c r="AV164" i="34"/>
  <c r="AJ180" i="34"/>
  <c r="BB164" i="34"/>
  <c r="AK164" i="34"/>
  <c r="BO180" i="34"/>
  <c r="BK58" i="36"/>
  <c r="BK99" i="34" s="1"/>
  <c r="BK164" i="34"/>
  <c r="BN180" i="34"/>
  <c r="AP180" i="34"/>
  <c r="BA180" i="34"/>
  <c r="BH164" i="34"/>
  <c r="AV180" i="34"/>
  <c r="AJ164" i="34"/>
  <c r="BB180" i="34"/>
  <c r="BE180" i="34"/>
  <c r="AK180" i="34"/>
  <c r="BO164" i="34"/>
  <c r="AQ164" i="34"/>
  <c r="BF58" i="36"/>
  <c r="BF99" i="34" s="1"/>
  <c r="AR180" i="34"/>
  <c r="BF74" i="36"/>
  <c r="BF115" i="34" s="1"/>
  <c r="AS74" i="36"/>
  <c r="AS115" i="34" s="1"/>
  <c r="BP58" i="36"/>
  <c r="BP99" i="34" s="1"/>
  <c r="BD74" i="36"/>
  <c r="BD115" i="34" s="1"/>
  <c r="AR74" i="36"/>
  <c r="AR115" i="34" s="1"/>
  <c r="AT58" i="36"/>
  <c r="AT99" i="34" s="1"/>
  <c r="AW74" i="36"/>
  <c r="AW115" i="34" s="1"/>
  <c r="BK74" i="36"/>
  <c r="BK115" i="34" s="1"/>
  <c r="AY74" i="36"/>
  <c r="AY115" i="34" s="1"/>
  <c r="AM74" i="36"/>
  <c r="AM115" i="34" s="1"/>
  <c r="BF164" i="34"/>
  <c r="AS180" i="34"/>
  <c r="BP180" i="34"/>
  <c r="BD164" i="34"/>
  <c r="AR164" i="34"/>
  <c r="AT164" i="34"/>
  <c r="AW164" i="34"/>
  <c r="BK180" i="34"/>
  <c r="AY180" i="34"/>
  <c r="AM164" i="34"/>
  <c r="AS164" i="34"/>
  <c r="AM180" i="34"/>
  <c r="K180" i="34"/>
  <c r="T74" i="36"/>
  <c r="T115" i="34" s="1"/>
  <c r="L164" i="34"/>
  <c r="V164" i="34"/>
  <c r="J58" i="36"/>
  <c r="J99" i="34" s="1"/>
  <c r="AH180" i="34"/>
  <c r="M58" i="36"/>
  <c r="M99" i="34" s="1"/>
  <c r="O58" i="36"/>
  <c r="O99" i="34" s="1"/>
  <c r="AH164" i="34"/>
  <c r="P164" i="34"/>
  <c r="T164" i="34"/>
  <c r="AC180" i="34"/>
  <c r="X164" i="34"/>
  <c r="J164" i="34"/>
  <c r="AF180" i="34"/>
  <c r="AA58" i="36"/>
  <c r="AA99" i="34" s="1"/>
  <c r="S164" i="34"/>
  <c r="K74" i="36"/>
  <c r="K115" i="34" s="1"/>
  <c r="P58" i="36"/>
  <c r="P99" i="34" s="1"/>
  <c r="T180" i="34"/>
  <c r="AC74" i="36"/>
  <c r="AC115" i="34" s="1"/>
  <c r="X58" i="36"/>
  <c r="X99" i="34" s="1"/>
  <c r="J180" i="34"/>
  <c r="AF164" i="34"/>
  <c r="AA180" i="34"/>
  <c r="S74" i="36"/>
  <c r="S115" i="34" s="1"/>
  <c r="P74" i="36"/>
  <c r="P115" i="34" s="1"/>
  <c r="U58" i="36"/>
  <c r="U99" i="34" s="1"/>
  <c r="AC164" i="34"/>
  <c r="X74" i="36"/>
  <c r="X115" i="34" s="1"/>
  <c r="N164" i="34"/>
  <c r="W58" i="36"/>
  <c r="W99" i="34" s="1"/>
  <c r="AA74" i="36"/>
  <c r="AA115" i="34" s="1"/>
  <c r="S58" i="36"/>
  <c r="S99" i="34" s="1"/>
  <c r="T58" i="36"/>
  <c r="T99" i="34" s="1"/>
  <c r="P180" i="34"/>
  <c r="U180" i="34"/>
  <c r="AC58" i="36"/>
  <c r="AC99" i="34" s="1"/>
  <c r="X180" i="34"/>
  <c r="N58" i="36"/>
  <c r="N99" i="34" s="1"/>
  <c r="W74" i="36"/>
  <c r="W115" i="34" s="1"/>
  <c r="AA164" i="34"/>
  <c r="S180" i="34"/>
  <c r="K164" i="34"/>
  <c r="AB74" i="36"/>
  <c r="AB115" i="34" s="1"/>
  <c r="Z164" i="34"/>
  <c r="U164" i="34"/>
  <c r="Q58" i="36"/>
  <c r="Q99" i="34" s="1"/>
  <c r="R180" i="34"/>
  <c r="N74" i="36"/>
  <c r="N115" i="34" s="1"/>
  <c r="W180" i="34"/>
  <c r="H180" i="34"/>
  <c r="I180" i="34"/>
  <c r="M74" i="36"/>
  <c r="M115" i="34" s="1"/>
  <c r="AB58" i="36"/>
  <c r="AB99" i="34" s="1"/>
  <c r="Z180" i="34"/>
  <c r="U74" i="36"/>
  <c r="U115" i="34" s="1"/>
  <c r="Q180" i="34"/>
  <c r="R164" i="34"/>
  <c r="N180" i="34"/>
  <c r="W164" i="34"/>
  <c r="H74" i="36"/>
  <c r="H115" i="34" s="1"/>
  <c r="I58" i="36"/>
  <c r="I99" i="34" s="1"/>
  <c r="J74" i="36"/>
  <c r="J115" i="34" s="1"/>
  <c r="AB164" i="34"/>
  <c r="Z58" i="36"/>
  <c r="Z99" i="34" s="1"/>
  <c r="AE164" i="34"/>
  <c r="Q164" i="34"/>
  <c r="R58" i="36"/>
  <c r="R99" i="34" s="1"/>
  <c r="Y180" i="34"/>
  <c r="AD164" i="34"/>
  <c r="H58" i="36"/>
  <c r="H99" i="34" s="1"/>
  <c r="I74" i="36"/>
  <c r="I115" i="34" s="1"/>
  <c r="L74" i="36"/>
  <c r="L115" i="34" s="1"/>
  <c r="AB180" i="34"/>
  <c r="Z74" i="36"/>
  <c r="Z115" i="34" s="1"/>
  <c r="AE180" i="34"/>
  <c r="Q74" i="36"/>
  <c r="Q115" i="34" s="1"/>
  <c r="R74" i="36"/>
  <c r="R115" i="34" s="1"/>
  <c r="Y58" i="36"/>
  <c r="Y99" i="34" s="1"/>
  <c r="AD180" i="34"/>
  <c r="H164" i="34"/>
  <c r="I164" i="34"/>
  <c r="Y164" i="34"/>
  <c r="V74" i="36"/>
  <c r="V115" i="34" s="1"/>
  <c r="AG164" i="34"/>
  <c r="V180" i="34"/>
  <c r="AI164" i="34"/>
  <c r="M180" i="34"/>
  <c r="O180" i="34"/>
  <c r="K58" i="36"/>
  <c r="K99" i="34" s="1"/>
  <c r="AG180" i="34"/>
  <c r="L180" i="34"/>
  <c r="V58" i="36"/>
  <c r="V99" i="34" s="1"/>
  <c r="AI180" i="34"/>
  <c r="Y74" i="36"/>
  <c r="Y115" i="34" s="1"/>
  <c r="M164" i="34"/>
  <c r="O164" i="34"/>
  <c r="L58" i="36"/>
  <c r="L99" i="34" s="1"/>
  <c r="O74" i="36"/>
  <c r="O115" i="34" s="1"/>
  <c r="AP45" i="34"/>
  <c r="BP45" i="34"/>
  <c r="AN45" i="34"/>
  <c r="AK45" i="34"/>
  <c r="AY45" i="34"/>
  <c r="BD45" i="34"/>
  <c r="AL45" i="34"/>
  <c r="BB45" i="34"/>
  <c r="AS45" i="34"/>
  <c r="AQ45" i="34"/>
  <c r="AM45" i="34"/>
  <c r="AO45" i="34"/>
  <c r="AR45" i="34"/>
  <c r="AT45" i="34"/>
  <c r="AJ45" i="34"/>
  <c r="AZ45" i="34"/>
  <c r="AU45" i="34"/>
  <c r="BG45" i="34"/>
  <c r="BI45" i="34"/>
  <c r="AX45" i="34"/>
  <c r="BK45" i="34"/>
  <c r="BJ45" i="34"/>
  <c r="BN45" i="34"/>
  <c r="BF45" i="34"/>
  <c r="BO45" i="34"/>
  <c r="BC45" i="34"/>
  <c r="AI45" i="34"/>
  <c r="BA45" i="34"/>
  <c r="BL45" i="34"/>
  <c r="BM45" i="34"/>
  <c r="AW45" i="34"/>
  <c r="AV45" i="34"/>
  <c r="BE45" i="34"/>
  <c r="BH45" i="34"/>
  <c r="J45" i="34"/>
  <c r="AE45" i="34"/>
  <c r="AG45" i="34"/>
  <c r="N45" i="34"/>
  <c r="L45" i="34"/>
  <c r="I45" i="34"/>
  <c r="AA45" i="34"/>
  <c r="R45" i="34"/>
  <c r="P45" i="34"/>
  <c r="H45" i="34"/>
  <c r="V45" i="34"/>
  <c r="T45" i="34"/>
  <c r="Z45" i="34"/>
  <c r="X45" i="34"/>
  <c r="AD45" i="34"/>
  <c r="AB45" i="34"/>
  <c r="AH45" i="34"/>
  <c r="AF45" i="34"/>
  <c r="K45" i="34"/>
  <c r="M45" i="34"/>
  <c r="AC45" i="34"/>
  <c r="O45" i="34"/>
  <c r="Q45" i="34"/>
  <c r="S45" i="34"/>
  <c r="U45" i="34"/>
  <c r="W45" i="34"/>
  <c r="Y45" i="34"/>
  <c r="AN26" i="34"/>
  <c r="AC26" i="34"/>
  <c r="R26" i="34"/>
  <c r="BN26" i="34"/>
  <c r="BC26" i="34"/>
  <c r="AR26" i="34"/>
  <c r="AG26" i="34"/>
  <c r="V26" i="34"/>
  <c r="K26" i="34"/>
  <c r="BG26" i="34"/>
  <c r="AV26" i="34"/>
  <c r="AK26" i="34"/>
  <c r="Z26" i="34"/>
  <c r="O26" i="34"/>
  <c r="BK26" i="34"/>
  <c r="AZ26" i="34"/>
  <c r="AO26" i="34"/>
  <c r="AD26" i="34"/>
  <c r="S26" i="34"/>
  <c r="BO26" i="34"/>
  <c r="BD26" i="34"/>
  <c r="AS26" i="34"/>
  <c r="AH26" i="34"/>
  <c r="W26" i="34"/>
  <c r="H26" i="34"/>
  <c r="L26" i="34"/>
  <c r="BH26" i="34"/>
  <c r="AW26" i="34"/>
  <c r="AL26" i="34"/>
  <c r="AA26" i="34"/>
  <c r="I26" i="34"/>
  <c r="P26" i="34"/>
  <c r="BL26" i="34"/>
  <c r="BA26" i="34"/>
  <c r="AP26" i="34"/>
  <c r="AE26" i="34"/>
  <c r="T26" i="34"/>
  <c r="BP26" i="34"/>
  <c r="BE26" i="34"/>
  <c r="AT26" i="34"/>
  <c r="AI26" i="34"/>
  <c r="X26" i="34"/>
  <c r="M26" i="34"/>
  <c r="BI26" i="34"/>
  <c r="AX26" i="34"/>
  <c r="AM26" i="34"/>
  <c r="AB26" i="34"/>
  <c r="Q26" i="34"/>
  <c r="BM26" i="34"/>
  <c r="BB26" i="34"/>
  <c r="AQ26" i="34"/>
  <c r="AF26" i="34"/>
  <c r="U26" i="34"/>
  <c r="J26" i="34"/>
  <c r="BF26" i="34"/>
  <c r="AU26" i="34"/>
  <c r="Y26" i="34"/>
  <c r="AJ26" i="34"/>
  <c r="N26" i="34"/>
  <c r="BJ26" i="34"/>
  <c r="AY26" i="34"/>
  <c r="N37" i="34"/>
  <c r="X37" i="34"/>
  <c r="R37" i="34"/>
  <c r="AB37" i="34"/>
  <c r="V37" i="34"/>
  <c r="M37" i="34"/>
  <c r="T37" i="34"/>
  <c r="Z37" i="34"/>
  <c r="Q37" i="34"/>
  <c r="J37" i="34"/>
  <c r="K37" i="34"/>
  <c r="U37" i="34"/>
  <c r="O37" i="34"/>
  <c r="Y37" i="34"/>
  <c r="S37" i="34"/>
  <c r="AC37" i="34"/>
  <c r="W37" i="34"/>
  <c r="I37" i="34"/>
  <c r="AA37" i="34"/>
  <c r="H37" i="34"/>
  <c r="L37" i="34"/>
  <c r="P37" i="34"/>
  <c r="X178" i="34"/>
  <c r="Z72" i="36"/>
  <c r="Z113" i="34" s="1"/>
  <c r="O72" i="36"/>
  <c r="O113" i="34" s="1"/>
  <c r="J162" i="34"/>
  <c r="J178" i="34"/>
  <c r="J72" i="36"/>
  <c r="J113" i="34" s="1"/>
  <c r="J56" i="36"/>
  <c r="J97" i="34" s="1"/>
  <c r="R56" i="36"/>
  <c r="R97" i="34" s="1"/>
  <c r="V56" i="36"/>
  <c r="V97" i="34" s="1"/>
  <c r="Q72" i="36"/>
  <c r="Q113" i="34" s="1"/>
  <c r="R178" i="34"/>
  <c r="U178" i="34"/>
  <c r="AB72" i="36"/>
  <c r="AB113" i="34" s="1"/>
  <c r="AA162" i="34"/>
  <c r="S178" i="34"/>
  <c r="V162" i="34"/>
  <c r="V72" i="36"/>
  <c r="V113" i="34" s="1"/>
  <c r="AB162" i="34"/>
  <c r="AC72" i="36"/>
  <c r="AC113" i="34" s="1"/>
  <c r="Z162" i="34"/>
  <c r="R72" i="36"/>
  <c r="R113" i="34" s="1"/>
  <c r="AA178" i="34"/>
  <c r="Z56" i="36"/>
  <c r="Z97" i="34" s="1"/>
  <c r="Z178" i="34"/>
  <c r="P72" i="36"/>
  <c r="P113" i="34" s="1"/>
  <c r="O162" i="34"/>
  <c r="I178" i="34"/>
  <c r="S72" i="36"/>
  <c r="S113" i="34" s="1"/>
  <c r="X56" i="36"/>
  <c r="X97" i="34" s="1"/>
  <c r="N162" i="34"/>
  <c r="P162" i="34"/>
  <c r="T178" i="34"/>
  <c r="O178" i="34"/>
  <c r="I162" i="34"/>
  <c r="X162" i="34"/>
  <c r="W162" i="34"/>
  <c r="P178" i="34"/>
  <c r="AA56" i="36"/>
  <c r="AA97" i="34" s="1"/>
  <c r="X72" i="36"/>
  <c r="X113" i="34" s="1"/>
  <c r="P56" i="36"/>
  <c r="P97" i="34" s="1"/>
  <c r="U56" i="36"/>
  <c r="U97" i="34" s="1"/>
  <c r="L178" i="34"/>
  <c r="L56" i="36"/>
  <c r="L97" i="34" s="1"/>
  <c r="AB178" i="34"/>
  <c r="I56" i="36"/>
  <c r="I97" i="34" s="1"/>
  <c r="L162" i="34"/>
  <c r="Q178" i="34"/>
  <c r="Q162" i="34"/>
  <c r="S56" i="36"/>
  <c r="S97" i="34" s="1"/>
  <c r="K162" i="34"/>
  <c r="K178" i="34"/>
  <c r="AB56" i="36"/>
  <c r="AB97" i="34" s="1"/>
  <c r="U72" i="36"/>
  <c r="U113" i="34" s="1"/>
  <c r="S162" i="34"/>
  <c r="V178" i="34"/>
  <c r="W178" i="34"/>
  <c r="AA72" i="36"/>
  <c r="AA113" i="34" s="1"/>
  <c r="O56" i="36"/>
  <c r="O97" i="34" s="1"/>
  <c r="Q56" i="36"/>
  <c r="Q97" i="34" s="1"/>
  <c r="I72" i="36"/>
  <c r="I113" i="34" s="1"/>
  <c r="R162" i="34"/>
  <c r="L72" i="36"/>
  <c r="L113" i="34" s="1"/>
  <c r="U162" i="34"/>
  <c r="T56" i="36"/>
  <c r="T97" i="34" s="1"/>
  <c r="N178" i="34"/>
  <c r="T72" i="36"/>
  <c r="T113" i="34" s="1"/>
  <c r="AC178" i="34"/>
  <c r="N72" i="36"/>
  <c r="N113" i="34" s="1"/>
  <c r="K56" i="36"/>
  <c r="K97" i="34" s="1"/>
  <c r="N56" i="36"/>
  <c r="N97" i="34" s="1"/>
  <c r="K72" i="36"/>
  <c r="K113" i="34" s="1"/>
  <c r="W72" i="36"/>
  <c r="W113" i="34" s="1"/>
  <c r="W56" i="36"/>
  <c r="W97" i="34" s="1"/>
  <c r="H178" i="34"/>
  <c r="M178" i="34"/>
  <c r="H56" i="36"/>
  <c r="H97" i="34" s="1"/>
  <c r="M56" i="36"/>
  <c r="M97" i="34" s="1"/>
  <c r="H162" i="34"/>
  <c r="M72" i="36"/>
  <c r="M113" i="34" s="1"/>
  <c r="T162" i="34"/>
  <c r="H72" i="36"/>
  <c r="H113" i="34" s="1"/>
  <c r="M162" i="34"/>
  <c r="Y56" i="36"/>
  <c r="Y97" i="34" s="1"/>
  <c r="AC162" i="34"/>
  <c r="Y162" i="34"/>
  <c r="Y72" i="36"/>
  <c r="Y113" i="34" s="1"/>
  <c r="AC56" i="36"/>
  <c r="AC97" i="34" s="1"/>
  <c r="Y178" i="34"/>
  <c r="S24" i="34"/>
  <c r="AC24" i="34"/>
  <c r="J24" i="34"/>
  <c r="T24" i="34"/>
  <c r="O24" i="34"/>
  <c r="H24" i="34"/>
  <c r="W24" i="34"/>
  <c r="AA24" i="34"/>
  <c r="L24" i="34"/>
  <c r="P24" i="34"/>
  <c r="X24" i="34"/>
  <c r="AB24" i="34"/>
  <c r="N24" i="34"/>
  <c r="M24" i="34"/>
  <c r="R24" i="34"/>
  <c r="Q24" i="34"/>
  <c r="I24" i="34"/>
  <c r="V24" i="34"/>
  <c r="U24" i="34"/>
  <c r="K24" i="34"/>
  <c r="Z24" i="34"/>
  <c r="Y24" i="34"/>
  <c r="AG75" i="36"/>
  <c r="AG116" i="34" s="1"/>
  <c r="AD59" i="36"/>
  <c r="AD100" i="34" s="1"/>
  <c r="AE75" i="36"/>
  <c r="AE116" i="34" s="1"/>
  <c r="AI59" i="36"/>
  <c r="AI100" i="34" s="1"/>
  <c r="AH75" i="36"/>
  <c r="AH116" i="34" s="1"/>
  <c r="AE59" i="36"/>
  <c r="AE100" i="34" s="1"/>
  <c r="AI75" i="36"/>
  <c r="AI116" i="34" s="1"/>
  <c r="AH59" i="36"/>
  <c r="AH100" i="34" s="1"/>
  <c r="AD75" i="36"/>
  <c r="AD116" i="34" s="1"/>
  <c r="AF59" i="36"/>
  <c r="AF100" i="34" s="1"/>
  <c r="AG59" i="36"/>
  <c r="AG100" i="34" s="1"/>
  <c r="AF75" i="36"/>
  <c r="AF116" i="34" s="1"/>
  <c r="BM75" i="36"/>
  <c r="BM116" i="34" s="1"/>
  <c r="AO59" i="36"/>
  <c r="AO100" i="34" s="1"/>
  <c r="BD75" i="36"/>
  <c r="BD116" i="34" s="1"/>
  <c r="BO75" i="36"/>
  <c r="BO116" i="34" s="1"/>
  <c r="BC75" i="36"/>
  <c r="BC116" i="34" s="1"/>
  <c r="AQ75" i="36"/>
  <c r="AQ116" i="34" s="1"/>
  <c r="BA75" i="36"/>
  <c r="BA116" i="34" s="1"/>
  <c r="AZ75" i="36"/>
  <c r="AZ116" i="34" s="1"/>
  <c r="BJ59" i="36"/>
  <c r="BJ100" i="34" s="1"/>
  <c r="AX75" i="36"/>
  <c r="AX116" i="34" s="1"/>
  <c r="AL59" i="36"/>
  <c r="AL100" i="34" s="1"/>
  <c r="AW75" i="36"/>
  <c r="AW116" i="34" s="1"/>
  <c r="BG59" i="36"/>
  <c r="BG100" i="34" s="1"/>
  <c r="AU59" i="36"/>
  <c r="AU100" i="34" s="1"/>
  <c r="BN59" i="36"/>
  <c r="BN100" i="34" s="1"/>
  <c r="BN165" i="34"/>
  <c r="BM59" i="36"/>
  <c r="BM100" i="34" s="1"/>
  <c r="AO75" i="36"/>
  <c r="AO116" i="34" s="1"/>
  <c r="BD59" i="36"/>
  <c r="BD100" i="34" s="1"/>
  <c r="BO59" i="36"/>
  <c r="BO100" i="34" s="1"/>
  <c r="BC59" i="36"/>
  <c r="BC100" i="34" s="1"/>
  <c r="AQ59" i="36"/>
  <c r="AQ100" i="34" s="1"/>
  <c r="BA59" i="36"/>
  <c r="BA100" i="34" s="1"/>
  <c r="AZ59" i="36"/>
  <c r="AZ100" i="34" s="1"/>
  <c r="BJ75" i="36"/>
  <c r="BJ116" i="34" s="1"/>
  <c r="AX59" i="36"/>
  <c r="AX100" i="34" s="1"/>
  <c r="AL75" i="36"/>
  <c r="AL116" i="34" s="1"/>
  <c r="AN59" i="36"/>
  <c r="AN100" i="34" s="1"/>
  <c r="BH59" i="36"/>
  <c r="BH100" i="34" s="1"/>
  <c r="BM165" i="34"/>
  <c r="AO181" i="34"/>
  <c r="BD181" i="34"/>
  <c r="BO165" i="34"/>
  <c r="BC165" i="34"/>
  <c r="AQ181" i="34"/>
  <c r="BA165" i="34"/>
  <c r="AZ165" i="34"/>
  <c r="BJ165" i="34"/>
  <c r="AX165" i="34"/>
  <c r="AL181" i="34"/>
  <c r="BF181" i="34"/>
  <c r="BB59" i="36"/>
  <c r="BB100" i="34" s="1"/>
  <c r="BL181" i="34"/>
  <c r="BG181" i="34"/>
  <c r="BI181" i="34"/>
  <c r="AP165" i="34"/>
  <c r="BM181" i="34"/>
  <c r="AO165" i="34"/>
  <c r="BD165" i="34"/>
  <c r="BO181" i="34"/>
  <c r="BC181" i="34"/>
  <c r="AQ165" i="34"/>
  <c r="BA181" i="34"/>
  <c r="AZ181" i="34"/>
  <c r="BJ181" i="34"/>
  <c r="AX181" i="34"/>
  <c r="AL165" i="34"/>
  <c r="BL59" i="36"/>
  <c r="BL100" i="34" s="1"/>
  <c r="BH181" i="34"/>
  <c r="BE59" i="36"/>
  <c r="BE100" i="34" s="1"/>
  <c r="AV75" i="36"/>
  <c r="AV116" i="34" s="1"/>
  <c r="BK75" i="36"/>
  <c r="BK116" i="34" s="1"/>
  <c r="AY59" i="36"/>
  <c r="AY100" i="34" s="1"/>
  <c r="AM75" i="36"/>
  <c r="AM116" i="34" s="1"/>
  <c r="AS75" i="36"/>
  <c r="AS116" i="34" s="1"/>
  <c r="BP75" i="36"/>
  <c r="BP116" i="34" s="1"/>
  <c r="AR75" i="36"/>
  <c r="AR116" i="34" s="1"/>
  <c r="BF75" i="36"/>
  <c r="BF116" i="34" s="1"/>
  <c r="AT75" i="36"/>
  <c r="AT116" i="34" s="1"/>
  <c r="AK59" i="36"/>
  <c r="AK100" i="34" s="1"/>
  <c r="AP59" i="36"/>
  <c r="AP100" i="34" s="1"/>
  <c r="AK165" i="34"/>
  <c r="BE75" i="36"/>
  <c r="BE116" i="34" s="1"/>
  <c r="AV59" i="36"/>
  <c r="AV100" i="34" s="1"/>
  <c r="BK59" i="36"/>
  <c r="BK100" i="34" s="1"/>
  <c r="AY75" i="36"/>
  <c r="AY116" i="34" s="1"/>
  <c r="AM59" i="36"/>
  <c r="AM100" i="34" s="1"/>
  <c r="AS59" i="36"/>
  <c r="AS100" i="34" s="1"/>
  <c r="BP59" i="36"/>
  <c r="BP100" i="34" s="1"/>
  <c r="AR59" i="36"/>
  <c r="AR100" i="34" s="1"/>
  <c r="BF59" i="36"/>
  <c r="BF100" i="34" s="1"/>
  <c r="AT59" i="36"/>
  <c r="AT100" i="34" s="1"/>
  <c r="AT181" i="34"/>
  <c r="BI59" i="36"/>
  <c r="BI100" i="34" s="1"/>
  <c r="AN181" i="34"/>
  <c r="BE165" i="34"/>
  <c r="AV165" i="34"/>
  <c r="BK181" i="34"/>
  <c r="AY181" i="34"/>
  <c r="AM165" i="34"/>
  <c r="AS181" i="34"/>
  <c r="BP165" i="34"/>
  <c r="AR181" i="34"/>
  <c r="BE181" i="34"/>
  <c r="AV181" i="34"/>
  <c r="BK165" i="34"/>
  <c r="AY165" i="34"/>
  <c r="AM181" i="34"/>
  <c r="AS165" i="34"/>
  <c r="BP181" i="34"/>
  <c r="AR165" i="34"/>
  <c r="BF165" i="34"/>
  <c r="AT165" i="34"/>
  <c r="AJ59" i="36"/>
  <c r="AJ100" i="34" s="1"/>
  <c r="AW181" i="34"/>
  <c r="AU181" i="34"/>
  <c r="BB165" i="34"/>
  <c r="AW59" i="36"/>
  <c r="AW100" i="34" s="1"/>
  <c r="BL75" i="36"/>
  <c r="BL116" i="34" s="1"/>
  <c r="AN75" i="36"/>
  <c r="AN116" i="34" s="1"/>
  <c r="BG75" i="36"/>
  <c r="BG116" i="34" s="1"/>
  <c r="AU75" i="36"/>
  <c r="AU116" i="34" s="1"/>
  <c r="BI75" i="36"/>
  <c r="BI116" i="34" s="1"/>
  <c r="AK75" i="36"/>
  <c r="AK116" i="34" s="1"/>
  <c r="BH75" i="36"/>
  <c r="BH116" i="34" s="1"/>
  <c r="AJ75" i="36"/>
  <c r="AJ116" i="34" s="1"/>
  <c r="BN75" i="36"/>
  <c r="BN116" i="34" s="1"/>
  <c r="BB75" i="36"/>
  <c r="BB116" i="34" s="1"/>
  <c r="AP75" i="36"/>
  <c r="AP116" i="34" s="1"/>
  <c r="AW165" i="34"/>
  <c r="BL165" i="34"/>
  <c r="AN165" i="34"/>
  <c r="BG165" i="34"/>
  <c r="AU165" i="34"/>
  <c r="BI165" i="34"/>
  <c r="AK181" i="34"/>
  <c r="BH165" i="34"/>
  <c r="AJ165" i="34"/>
  <c r="BN181" i="34"/>
  <c r="BB181" i="34"/>
  <c r="AP181" i="34"/>
  <c r="AJ181" i="34"/>
  <c r="M75" i="36"/>
  <c r="M116" i="34" s="1"/>
  <c r="AI181" i="34"/>
  <c r="Z165" i="34"/>
  <c r="V59" i="36"/>
  <c r="V100" i="34" s="1"/>
  <c r="AD165" i="34"/>
  <c r="I181" i="34"/>
  <c r="P165" i="34"/>
  <c r="Q165" i="34"/>
  <c r="H59" i="36"/>
  <c r="H100" i="34" s="1"/>
  <c r="AA59" i="36"/>
  <c r="AA100" i="34" s="1"/>
  <c r="Z59" i="36"/>
  <c r="Z100" i="34" s="1"/>
  <c r="M59" i="36"/>
  <c r="M100" i="34" s="1"/>
  <c r="AI165" i="34"/>
  <c r="Z75" i="36"/>
  <c r="Z116" i="34" s="1"/>
  <c r="V165" i="34"/>
  <c r="AD181" i="34"/>
  <c r="I165" i="34"/>
  <c r="P181" i="34"/>
  <c r="Q59" i="36"/>
  <c r="Q100" i="34" s="1"/>
  <c r="X75" i="36"/>
  <c r="X116" i="34" s="1"/>
  <c r="W181" i="34"/>
  <c r="S75" i="36"/>
  <c r="S116" i="34" s="1"/>
  <c r="K59" i="36"/>
  <c r="K100" i="34" s="1"/>
  <c r="AC59" i="36"/>
  <c r="AC100" i="34" s="1"/>
  <c r="AF181" i="34"/>
  <c r="I75" i="36"/>
  <c r="I116" i="34" s="1"/>
  <c r="AB181" i="34"/>
  <c r="L165" i="34"/>
  <c r="U181" i="34"/>
  <c r="N165" i="34"/>
  <c r="W75" i="36"/>
  <c r="W116" i="34" s="1"/>
  <c r="S181" i="34"/>
  <c r="K181" i="34"/>
  <c r="AC75" i="36"/>
  <c r="AC116" i="34" s="1"/>
  <c r="AF165" i="34"/>
  <c r="I59" i="36"/>
  <c r="I100" i="34" s="1"/>
  <c r="AB165" i="34"/>
  <c r="L75" i="36"/>
  <c r="L116" i="34" s="1"/>
  <c r="T75" i="36"/>
  <c r="T116" i="34" s="1"/>
  <c r="J59" i="36"/>
  <c r="J100" i="34" s="1"/>
  <c r="Q181" i="34"/>
  <c r="W165" i="34"/>
  <c r="S59" i="36"/>
  <c r="S100" i="34" s="1"/>
  <c r="K75" i="36"/>
  <c r="K116" i="34" s="1"/>
  <c r="AC165" i="34"/>
  <c r="Y181" i="34"/>
  <c r="O75" i="36"/>
  <c r="O116" i="34" s="1"/>
  <c r="AB75" i="36"/>
  <c r="AB116" i="34" s="1"/>
  <c r="L59" i="36"/>
  <c r="L100" i="34" s="1"/>
  <c r="AA75" i="36"/>
  <c r="AA116" i="34" s="1"/>
  <c r="W59" i="36"/>
  <c r="W100" i="34" s="1"/>
  <c r="S165" i="34"/>
  <c r="K165" i="34"/>
  <c r="AC181" i="34"/>
  <c r="Y59" i="36"/>
  <c r="Y100" i="34" s="1"/>
  <c r="O165" i="34"/>
  <c r="AB59" i="36"/>
  <c r="AB100" i="34" s="1"/>
  <c r="L181" i="34"/>
  <c r="H181" i="34"/>
  <c r="AH181" i="34"/>
  <c r="T165" i="34"/>
  <c r="AE181" i="34"/>
  <c r="Y165" i="34"/>
  <c r="O59" i="36"/>
  <c r="O100" i="34" s="1"/>
  <c r="U165" i="34"/>
  <c r="AG165" i="34"/>
  <c r="V181" i="34"/>
  <c r="R181" i="34"/>
  <c r="X165" i="34"/>
  <c r="R165" i="34"/>
  <c r="P59" i="36"/>
  <c r="P100" i="34" s="1"/>
  <c r="H75" i="36"/>
  <c r="H116" i="34" s="1"/>
  <c r="AH165" i="34"/>
  <c r="T59" i="36"/>
  <c r="T100" i="34" s="1"/>
  <c r="R75" i="36"/>
  <c r="R116" i="34" s="1"/>
  <c r="AE165" i="34"/>
  <c r="Y75" i="36"/>
  <c r="Y116" i="34" s="1"/>
  <c r="O181" i="34"/>
  <c r="X59" i="36"/>
  <c r="X100" i="34" s="1"/>
  <c r="U75" i="36"/>
  <c r="U116" i="34" s="1"/>
  <c r="J165" i="34"/>
  <c r="H165" i="34"/>
  <c r="N181" i="34"/>
  <c r="T181" i="34"/>
  <c r="R59" i="36"/>
  <c r="R100" i="34" s="1"/>
  <c r="AA165" i="34"/>
  <c r="J75" i="36"/>
  <c r="J116" i="34" s="1"/>
  <c r="AG181" i="34"/>
  <c r="X181" i="34"/>
  <c r="U59" i="36"/>
  <c r="U100" i="34" s="1"/>
  <c r="N75" i="36"/>
  <c r="N116" i="34" s="1"/>
  <c r="M181" i="34"/>
  <c r="N59" i="36"/>
  <c r="N100" i="34" s="1"/>
  <c r="Z181" i="34"/>
  <c r="V75" i="36"/>
  <c r="V116" i="34" s="1"/>
  <c r="AA181" i="34"/>
  <c r="J181" i="34"/>
  <c r="P75" i="36"/>
  <c r="P116" i="34" s="1"/>
  <c r="Q75" i="36"/>
  <c r="Q116" i="34" s="1"/>
  <c r="M165" i="34"/>
  <c r="Q157" i="34"/>
  <c r="Z51" i="36"/>
  <c r="Z92" i="34" s="1"/>
  <c r="S157" i="34"/>
  <c r="N67" i="36"/>
  <c r="N108" i="34" s="1"/>
  <c r="V67" i="36"/>
  <c r="V108" i="34" s="1"/>
  <c r="W51" i="36"/>
  <c r="W92" i="34" s="1"/>
  <c r="L173" i="34"/>
  <c r="AB51" i="36"/>
  <c r="AB92" i="34" s="1"/>
  <c r="I157" i="34"/>
  <c r="O173" i="34"/>
  <c r="Q173" i="34"/>
  <c r="I67" i="36"/>
  <c r="I108" i="34" s="1"/>
  <c r="O67" i="36"/>
  <c r="O108" i="34" s="1"/>
  <c r="P51" i="36"/>
  <c r="P92" i="34" s="1"/>
  <c r="K67" i="36"/>
  <c r="K108" i="34" s="1"/>
  <c r="Y173" i="34"/>
  <c r="AC173" i="34"/>
  <c r="W67" i="36"/>
  <c r="W108" i="34" s="1"/>
  <c r="AA157" i="34"/>
  <c r="P173" i="34"/>
  <c r="K157" i="34"/>
  <c r="Y51" i="36"/>
  <c r="Y92" i="34" s="1"/>
  <c r="S51" i="36"/>
  <c r="S92" i="34" s="1"/>
  <c r="Z67" i="36"/>
  <c r="Z108" i="34" s="1"/>
  <c r="AA51" i="36"/>
  <c r="AA92" i="34" s="1"/>
  <c r="P67" i="36"/>
  <c r="P108" i="34" s="1"/>
  <c r="K51" i="36"/>
  <c r="K92" i="34" s="1"/>
  <c r="Y67" i="36"/>
  <c r="Y108" i="34" s="1"/>
  <c r="AC157" i="34"/>
  <c r="AC67" i="36"/>
  <c r="AC108" i="34" s="1"/>
  <c r="N157" i="34"/>
  <c r="H51" i="36"/>
  <c r="H92" i="34" s="1"/>
  <c r="AB67" i="36"/>
  <c r="AB108" i="34" s="1"/>
  <c r="L51" i="36"/>
  <c r="L92" i="34" s="1"/>
  <c r="AB157" i="34"/>
  <c r="V51" i="36"/>
  <c r="V92" i="34" s="1"/>
  <c r="P157" i="34"/>
  <c r="K173" i="34"/>
  <c r="Y157" i="34"/>
  <c r="AC51" i="36"/>
  <c r="AC92" i="34" s="1"/>
  <c r="Q67" i="36"/>
  <c r="Q108" i="34" s="1"/>
  <c r="L157" i="34"/>
  <c r="S173" i="34"/>
  <c r="AA67" i="36"/>
  <c r="AA108" i="34" s="1"/>
  <c r="J157" i="34"/>
  <c r="R173" i="34"/>
  <c r="T173" i="34"/>
  <c r="X67" i="36"/>
  <c r="X108" i="34" s="1"/>
  <c r="Q51" i="36"/>
  <c r="Q92" i="34" s="1"/>
  <c r="O157" i="34"/>
  <c r="I51" i="36"/>
  <c r="I92" i="34" s="1"/>
  <c r="Z173" i="34"/>
  <c r="N173" i="34"/>
  <c r="J51" i="36"/>
  <c r="J92" i="34" s="1"/>
  <c r="R157" i="34"/>
  <c r="T67" i="36"/>
  <c r="T108" i="34" s="1"/>
  <c r="X51" i="36"/>
  <c r="X92" i="34" s="1"/>
  <c r="W157" i="34"/>
  <c r="AA173" i="34"/>
  <c r="J173" i="34"/>
  <c r="T51" i="36"/>
  <c r="T92" i="34" s="1"/>
  <c r="X157" i="34"/>
  <c r="H67" i="36"/>
  <c r="H108" i="34" s="1"/>
  <c r="L67" i="36"/>
  <c r="L108" i="34" s="1"/>
  <c r="U67" i="36"/>
  <c r="U108" i="34" s="1"/>
  <c r="I173" i="34"/>
  <c r="R51" i="36"/>
  <c r="R92" i="34" s="1"/>
  <c r="AB173" i="34"/>
  <c r="V173" i="34"/>
  <c r="J67" i="36"/>
  <c r="J108" i="34" s="1"/>
  <c r="R67" i="36"/>
  <c r="R108" i="34" s="1"/>
  <c r="T157" i="34"/>
  <c r="X173" i="34"/>
  <c r="M67" i="36"/>
  <c r="M108" i="34" s="1"/>
  <c r="Z157" i="34"/>
  <c r="S67" i="36"/>
  <c r="S108" i="34" s="1"/>
  <c r="N51" i="36"/>
  <c r="N92" i="34" s="1"/>
  <c r="M173" i="34"/>
  <c r="U157" i="34"/>
  <c r="H173" i="34"/>
  <c r="U51" i="36"/>
  <c r="U92" i="34" s="1"/>
  <c r="W173" i="34"/>
  <c r="O51" i="36"/>
  <c r="O92" i="34" s="1"/>
  <c r="V157" i="34"/>
  <c r="M157" i="34"/>
  <c r="U173" i="34"/>
  <c r="H157" i="34"/>
  <c r="M51" i="36"/>
  <c r="M92" i="34" s="1"/>
  <c r="Q11" i="34"/>
  <c r="W11" i="34"/>
  <c r="N11" i="34"/>
  <c r="X11" i="34"/>
  <c r="S11" i="34"/>
  <c r="AA11" i="34"/>
  <c r="M11" i="34"/>
  <c r="L11" i="34"/>
  <c r="U11" i="34"/>
  <c r="P11" i="34"/>
  <c r="Y11" i="34"/>
  <c r="T11" i="34"/>
  <c r="AC11" i="34"/>
  <c r="AB11" i="34"/>
  <c r="J11" i="34"/>
  <c r="I11" i="34"/>
  <c r="R11" i="34"/>
  <c r="H11" i="34"/>
  <c r="V11" i="34"/>
  <c r="Z11" i="34"/>
  <c r="O11" i="34"/>
  <c r="K11" i="34"/>
  <c r="P43" i="34"/>
  <c r="N43" i="34"/>
  <c r="T43" i="34"/>
  <c r="V43" i="34"/>
  <c r="X43" i="34"/>
  <c r="Q43" i="34"/>
  <c r="AB43" i="34"/>
  <c r="Y43" i="34"/>
  <c r="K43" i="34"/>
  <c r="J43" i="34"/>
  <c r="O43" i="34"/>
  <c r="R43" i="34"/>
  <c r="S43" i="34"/>
  <c r="Z43" i="34"/>
  <c r="W43" i="34"/>
  <c r="I43" i="34"/>
  <c r="AA43" i="34"/>
  <c r="H43" i="34"/>
  <c r="M43" i="34"/>
  <c r="U43" i="34"/>
  <c r="L43" i="34"/>
  <c r="AC43" i="34"/>
  <c r="Q36" i="34"/>
  <c r="W36" i="34"/>
  <c r="U36" i="34"/>
  <c r="AA36" i="34"/>
  <c r="Y36" i="34"/>
  <c r="L36" i="34"/>
  <c r="AC36" i="34"/>
  <c r="P36" i="34"/>
  <c r="J36" i="34"/>
  <c r="T36" i="34"/>
  <c r="N36" i="34"/>
  <c r="X36" i="34"/>
  <c r="V36" i="34"/>
  <c r="I36" i="34"/>
  <c r="Z36" i="34"/>
  <c r="H36" i="34"/>
  <c r="K36" i="34"/>
  <c r="O36" i="34"/>
  <c r="M36" i="34"/>
  <c r="R36" i="34"/>
  <c r="S36" i="34"/>
  <c r="AB36" i="34"/>
  <c r="K57" i="36"/>
  <c r="K98" i="34" s="1"/>
  <c r="V57" i="36"/>
  <c r="V98" i="34" s="1"/>
  <c r="H179" i="34"/>
  <c r="AA57" i="36"/>
  <c r="AA98" i="34" s="1"/>
  <c r="AA73" i="36"/>
  <c r="AA114" i="34" s="1"/>
  <c r="Z163" i="34"/>
  <c r="V73" i="36"/>
  <c r="V114" i="34" s="1"/>
  <c r="H57" i="36"/>
  <c r="H98" i="34" s="1"/>
  <c r="AA163" i="34"/>
  <c r="H73" i="36"/>
  <c r="H114" i="34" s="1"/>
  <c r="N73" i="36"/>
  <c r="N114" i="34" s="1"/>
  <c r="Z73" i="36"/>
  <c r="Z114" i="34" s="1"/>
  <c r="J179" i="34"/>
  <c r="T179" i="34"/>
  <c r="Z179" i="34"/>
  <c r="J57" i="36"/>
  <c r="J98" i="34" s="1"/>
  <c r="T57" i="36"/>
  <c r="T98" i="34" s="1"/>
  <c r="V163" i="34"/>
  <c r="N179" i="34"/>
  <c r="AB73" i="36"/>
  <c r="AB114" i="34" s="1"/>
  <c r="Z57" i="36"/>
  <c r="Z98" i="34" s="1"/>
  <c r="J163" i="34"/>
  <c r="T73" i="36"/>
  <c r="T114" i="34" s="1"/>
  <c r="W179" i="34"/>
  <c r="N163" i="34"/>
  <c r="AB179" i="34"/>
  <c r="W57" i="36"/>
  <c r="W98" i="34" s="1"/>
  <c r="J73" i="36"/>
  <c r="J114" i="34" s="1"/>
  <c r="T163" i="34"/>
  <c r="K179" i="34"/>
  <c r="AB163" i="34"/>
  <c r="R163" i="34"/>
  <c r="P57" i="36"/>
  <c r="P98" i="34" s="1"/>
  <c r="X57" i="36"/>
  <c r="X98" i="34" s="1"/>
  <c r="AB57" i="36"/>
  <c r="AB98" i="34" s="1"/>
  <c r="R57" i="36"/>
  <c r="R98" i="34" s="1"/>
  <c r="P163" i="34"/>
  <c r="X73" i="36"/>
  <c r="X114" i="34" s="1"/>
  <c r="AC179" i="34"/>
  <c r="K73" i="36"/>
  <c r="K114" i="34" s="1"/>
  <c r="R179" i="34"/>
  <c r="P73" i="36"/>
  <c r="P114" i="34" s="1"/>
  <c r="X163" i="34"/>
  <c r="AC163" i="34"/>
  <c r="R73" i="36"/>
  <c r="R114" i="34" s="1"/>
  <c r="P179" i="34"/>
  <c r="X179" i="34"/>
  <c r="AC73" i="36"/>
  <c r="AC114" i="34" s="1"/>
  <c r="N57" i="36"/>
  <c r="N98" i="34" s="1"/>
  <c r="V179" i="34"/>
  <c r="H163" i="34"/>
  <c r="AA179" i="34"/>
  <c r="AC57" i="36"/>
  <c r="AC98" i="34" s="1"/>
  <c r="K163" i="34"/>
  <c r="Y73" i="36"/>
  <c r="Y114" i="34" s="1"/>
  <c r="Y163" i="34"/>
  <c r="Y179" i="34"/>
  <c r="U73" i="36"/>
  <c r="U114" i="34" s="1"/>
  <c r="Y57" i="36"/>
  <c r="Y98" i="34" s="1"/>
  <c r="W163" i="34"/>
  <c r="W73" i="36"/>
  <c r="W114" i="34" s="1"/>
  <c r="U57" i="36"/>
  <c r="U98" i="34" s="1"/>
  <c r="I179" i="34"/>
  <c r="M57" i="36"/>
  <c r="M98" i="34" s="1"/>
  <c r="I57" i="36"/>
  <c r="I98" i="34" s="1"/>
  <c r="I73" i="36"/>
  <c r="I114" i="34" s="1"/>
  <c r="S179" i="34"/>
  <c r="L163" i="34"/>
  <c r="S57" i="36"/>
  <c r="S98" i="34" s="1"/>
  <c r="L73" i="36"/>
  <c r="L114" i="34" s="1"/>
  <c r="M73" i="36"/>
  <c r="M114" i="34" s="1"/>
  <c r="S73" i="36"/>
  <c r="S114" i="34" s="1"/>
  <c r="L179" i="34"/>
  <c r="S163" i="34"/>
  <c r="L57" i="36"/>
  <c r="L98" i="34" s="1"/>
  <c r="O179" i="34"/>
  <c r="Q57" i="36"/>
  <c r="Q98" i="34" s="1"/>
  <c r="Q179" i="34"/>
  <c r="O57" i="36"/>
  <c r="O98" i="34" s="1"/>
  <c r="M163" i="34"/>
  <c r="O73" i="36"/>
  <c r="O114" i="34" s="1"/>
  <c r="Q163" i="34"/>
  <c r="O163" i="34"/>
  <c r="Q73" i="36"/>
  <c r="Q114" i="34" s="1"/>
  <c r="U163" i="34"/>
  <c r="I163" i="34"/>
  <c r="M179" i="34"/>
  <c r="U179" i="34"/>
  <c r="R156" i="34"/>
  <c r="V156" i="34"/>
  <c r="K156" i="34"/>
  <c r="AB156" i="34"/>
  <c r="Q50" i="36"/>
  <c r="Q91" i="34" s="1"/>
  <c r="X66" i="36"/>
  <c r="X107" i="34" s="1"/>
  <c r="H156" i="34"/>
  <c r="AB50" i="36"/>
  <c r="AB91" i="34" s="1"/>
  <c r="R66" i="36"/>
  <c r="R107" i="34" s="1"/>
  <c r="V172" i="34"/>
  <c r="K50" i="36"/>
  <c r="K91" i="34" s="1"/>
  <c r="AB66" i="36"/>
  <c r="AB107" i="34" s="1"/>
  <c r="Q66" i="36"/>
  <c r="Q107" i="34" s="1"/>
  <c r="X50" i="36"/>
  <c r="X91" i="34" s="1"/>
  <c r="H172" i="34"/>
  <c r="X156" i="34"/>
  <c r="O172" i="34"/>
  <c r="S172" i="34"/>
  <c r="J156" i="34"/>
  <c r="AA156" i="34"/>
  <c r="L50" i="36"/>
  <c r="L91" i="34" s="1"/>
  <c r="AC50" i="36"/>
  <c r="AC91" i="34" s="1"/>
  <c r="T50" i="36"/>
  <c r="T91" i="34" s="1"/>
  <c r="V66" i="36"/>
  <c r="V107" i="34" s="1"/>
  <c r="O66" i="36"/>
  <c r="O107" i="34" s="1"/>
  <c r="S156" i="34"/>
  <c r="J66" i="36"/>
  <c r="J107" i="34" s="1"/>
  <c r="AA172" i="34"/>
  <c r="L156" i="34"/>
  <c r="AC66" i="36"/>
  <c r="AC107" i="34" s="1"/>
  <c r="T172" i="34"/>
  <c r="Q172" i="34"/>
  <c r="Y50" i="36"/>
  <c r="Y91" i="34" s="1"/>
  <c r="O156" i="34"/>
  <c r="S66" i="36"/>
  <c r="S107" i="34" s="1"/>
  <c r="J50" i="36"/>
  <c r="J91" i="34" s="1"/>
  <c r="AA50" i="36"/>
  <c r="AA91" i="34" s="1"/>
  <c r="L66" i="36"/>
  <c r="L107" i="34" s="1"/>
  <c r="AC156" i="34"/>
  <c r="T66" i="36"/>
  <c r="T107" i="34" s="1"/>
  <c r="U156" i="34"/>
  <c r="Y172" i="34"/>
  <c r="O50" i="36"/>
  <c r="O91" i="34" s="1"/>
  <c r="S50" i="36"/>
  <c r="S91" i="34" s="1"/>
  <c r="J172" i="34"/>
  <c r="AA66" i="36"/>
  <c r="AA107" i="34" s="1"/>
  <c r="L172" i="34"/>
  <c r="AC172" i="34"/>
  <c r="T156" i="34"/>
  <c r="Y66" i="36"/>
  <c r="Y107" i="34" s="1"/>
  <c r="I50" i="36"/>
  <c r="I91" i="34" s="1"/>
  <c r="Z156" i="34"/>
  <c r="P172" i="34"/>
  <c r="W172" i="34"/>
  <c r="N172" i="34"/>
  <c r="M66" i="36"/>
  <c r="M107" i="34" s="1"/>
  <c r="R172" i="34"/>
  <c r="Y156" i="34"/>
  <c r="I66" i="36"/>
  <c r="I107" i="34" s="1"/>
  <c r="Z66" i="36"/>
  <c r="Z107" i="34" s="1"/>
  <c r="P50" i="36"/>
  <c r="P91" i="34" s="1"/>
  <c r="W156" i="34"/>
  <c r="N50" i="36"/>
  <c r="N91" i="34" s="1"/>
  <c r="M156" i="34"/>
  <c r="K66" i="36"/>
  <c r="K107" i="34" s="1"/>
  <c r="U50" i="36"/>
  <c r="U91" i="34" s="1"/>
  <c r="I172" i="34"/>
  <c r="Z50" i="36"/>
  <c r="Z91" i="34" s="1"/>
  <c r="P156" i="34"/>
  <c r="W66" i="36"/>
  <c r="W107" i="34" s="1"/>
  <c r="N156" i="34"/>
  <c r="M172" i="34"/>
  <c r="H66" i="36"/>
  <c r="H107" i="34" s="1"/>
  <c r="U172" i="34"/>
  <c r="I156" i="34"/>
  <c r="Z172" i="34"/>
  <c r="P66" i="36"/>
  <c r="P107" i="34" s="1"/>
  <c r="W50" i="36"/>
  <c r="W91" i="34" s="1"/>
  <c r="N66" i="36"/>
  <c r="N107" i="34" s="1"/>
  <c r="M50" i="36"/>
  <c r="M91" i="34" s="1"/>
  <c r="U66" i="36"/>
  <c r="U107" i="34" s="1"/>
  <c r="V50" i="36"/>
  <c r="V91" i="34" s="1"/>
  <c r="K172" i="34"/>
  <c r="AB172" i="34"/>
  <c r="Q156" i="34"/>
  <c r="X172" i="34"/>
  <c r="H50" i="36"/>
  <c r="H91" i="34" s="1"/>
  <c r="R50" i="36"/>
  <c r="R91" i="34" s="1"/>
  <c r="AR40" i="34"/>
  <c r="AJ40" i="34"/>
  <c r="AT40" i="34"/>
  <c r="AN40" i="34"/>
  <c r="AI40" i="34"/>
  <c r="AS40" i="34"/>
  <c r="AM40" i="34"/>
  <c r="BB40" i="34"/>
  <c r="BO40" i="34"/>
  <c r="AO40" i="34"/>
  <c r="BC40" i="34"/>
  <c r="BM40" i="34"/>
  <c r="BF40" i="34"/>
  <c r="BJ40" i="34"/>
  <c r="BI40" i="34"/>
  <c r="AV40" i="34"/>
  <c r="AZ40" i="34"/>
  <c r="BG40" i="34"/>
  <c r="BD40" i="34"/>
  <c r="AU40" i="34"/>
  <c r="AL40" i="34"/>
  <c r="BA40" i="34"/>
  <c r="AW40" i="34"/>
  <c r="AX40" i="34"/>
  <c r="BH40" i="34"/>
  <c r="BK40" i="34"/>
  <c r="BL40" i="34"/>
  <c r="BP40" i="34"/>
  <c r="AQ40" i="34"/>
  <c r="AY40" i="34"/>
  <c r="AK40" i="34"/>
  <c r="BN40" i="34"/>
  <c r="BE40" i="34"/>
  <c r="AP40" i="34"/>
  <c r="Y40" i="34"/>
  <c r="S40" i="34"/>
  <c r="AC40" i="34"/>
  <c r="W40" i="34"/>
  <c r="AG40" i="34"/>
  <c r="AA40" i="34"/>
  <c r="J40" i="34"/>
  <c r="AE40" i="34"/>
  <c r="N40" i="34"/>
  <c r="L40" i="34"/>
  <c r="R40" i="34"/>
  <c r="P40" i="34"/>
  <c r="Z40" i="34"/>
  <c r="X40" i="34"/>
  <c r="AD40" i="34"/>
  <c r="AB40" i="34"/>
  <c r="M40" i="34"/>
  <c r="AH40" i="34"/>
  <c r="AF40" i="34"/>
  <c r="Q40" i="34"/>
  <c r="K40" i="34"/>
  <c r="H40" i="34"/>
  <c r="U40" i="34"/>
  <c r="V40" i="34"/>
  <c r="O40" i="34"/>
  <c r="T40" i="34"/>
  <c r="I40" i="34"/>
  <c r="AD70" i="36"/>
  <c r="AD111" i="34" s="1"/>
  <c r="AI54" i="36"/>
  <c r="AI95" i="34" s="1"/>
  <c r="AF70" i="36"/>
  <c r="AF111" i="34" s="1"/>
  <c r="AD54" i="36"/>
  <c r="AD95" i="34" s="1"/>
  <c r="AE54" i="36"/>
  <c r="AE95" i="34" s="1"/>
  <c r="AH54" i="36"/>
  <c r="AH95" i="34" s="1"/>
  <c r="AG70" i="36"/>
  <c r="AG111" i="34" s="1"/>
  <c r="AH70" i="36"/>
  <c r="AH111" i="34" s="1"/>
  <c r="AI70" i="36"/>
  <c r="AI111" i="34" s="1"/>
  <c r="AF54" i="36"/>
  <c r="AF95" i="34" s="1"/>
  <c r="AE70" i="36"/>
  <c r="AE111" i="34" s="1"/>
  <c r="AG54" i="36"/>
  <c r="AG95" i="34" s="1"/>
  <c r="BF160" i="34"/>
  <c r="BI176" i="34"/>
  <c r="AK176" i="34"/>
  <c r="AM160" i="34"/>
  <c r="AW176" i="34"/>
  <c r="BL160" i="34"/>
  <c r="AZ176" i="34"/>
  <c r="AN176" i="34"/>
  <c r="AY176" i="34"/>
  <c r="BJ160" i="34"/>
  <c r="AT160" i="34"/>
  <c r="AT176" i="34"/>
  <c r="AO54" i="36"/>
  <c r="AO95" i="34" s="1"/>
  <c r="AQ54" i="36"/>
  <c r="AQ95" i="34" s="1"/>
  <c r="AP176" i="34"/>
  <c r="BP54" i="36"/>
  <c r="BP95" i="34" s="1"/>
  <c r="BN70" i="36"/>
  <c r="BN111" i="34" s="1"/>
  <c r="BN54" i="36"/>
  <c r="BN95" i="34" s="1"/>
  <c r="BP160" i="34"/>
  <c r="BE176" i="34"/>
  <c r="BL70" i="36"/>
  <c r="BL111" i="34" s="1"/>
  <c r="AT70" i="36"/>
  <c r="AT111" i="34" s="1"/>
  <c r="AW54" i="36"/>
  <c r="AW95" i="34" s="1"/>
  <c r="AN54" i="36"/>
  <c r="AN95" i="34" s="1"/>
  <c r="BI160" i="34"/>
  <c r="AK160" i="34"/>
  <c r="AM176" i="34"/>
  <c r="AW160" i="34"/>
  <c r="BL176" i="34"/>
  <c r="AZ160" i="34"/>
  <c r="AN160" i="34"/>
  <c r="AY160" i="34"/>
  <c r="BJ176" i="34"/>
  <c r="BH54" i="36"/>
  <c r="BH95" i="34" s="1"/>
  <c r="AJ70" i="36"/>
  <c r="AJ111" i="34" s="1"/>
  <c r="AP54" i="36"/>
  <c r="AP95" i="34" s="1"/>
  <c r="AS70" i="36"/>
  <c r="AS111" i="34" s="1"/>
  <c r="BK54" i="36"/>
  <c r="BK95" i="34" s="1"/>
  <c r="BD54" i="36"/>
  <c r="BD95" i="34" s="1"/>
  <c r="BD160" i="34"/>
  <c r="AS160" i="34"/>
  <c r="AY70" i="36"/>
  <c r="AY111" i="34" s="1"/>
  <c r="AK54" i="36"/>
  <c r="AK95" i="34" s="1"/>
  <c r="BJ54" i="36"/>
  <c r="BJ95" i="34" s="1"/>
  <c r="BG70" i="36"/>
  <c r="BG111" i="34" s="1"/>
  <c r="BA70" i="36"/>
  <c r="BA111" i="34" s="1"/>
  <c r="BO70" i="36"/>
  <c r="BO111" i="34" s="1"/>
  <c r="BM70" i="36"/>
  <c r="BM111" i="34" s="1"/>
  <c r="AO70" i="36"/>
  <c r="AO111" i="34" s="1"/>
  <c r="BH70" i="36"/>
  <c r="BH111" i="34" s="1"/>
  <c r="AV70" i="36"/>
  <c r="AV111" i="34" s="1"/>
  <c r="AJ54" i="36"/>
  <c r="AJ95" i="34" s="1"/>
  <c r="AQ70" i="36"/>
  <c r="AQ111" i="34" s="1"/>
  <c r="BB70" i="36"/>
  <c r="BB111" i="34" s="1"/>
  <c r="AP70" i="36"/>
  <c r="AP111" i="34" s="1"/>
  <c r="AV54" i="36"/>
  <c r="AV95" i="34" s="1"/>
  <c r="BC54" i="36"/>
  <c r="BC95" i="34" s="1"/>
  <c r="BC160" i="34"/>
  <c r="BN176" i="34"/>
  <c r="AL176" i="34"/>
  <c r="AK70" i="36"/>
  <c r="AK111" i="34" s="1"/>
  <c r="BG54" i="36"/>
  <c r="BG95" i="34" s="1"/>
  <c r="BA54" i="36"/>
  <c r="BA95" i="34" s="1"/>
  <c r="BO54" i="36"/>
  <c r="BO95" i="34" s="1"/>
  <c r="BM54" i="36"/>
  <c r="BM95" i="34" s="1"/>
  <c r="BB54" i="36"/>
  <c r="BB95" i="34" s="1"/>
  <c r="AR54" i="36"/>
  <c r="AR95" i="34" s="1"/>
  <c r="BK70" i="36"/>
  <c r="BK111" i="34" s="1"/>
  <c r="BN160" i="34"/>
  <c r="BC176" i="34"/>
  <c r="AN70" i="36"/>
  <c r="AN111" i="34" s="1"/>
  <c r="AM54" i="36"/>
  <c r="AM95" i="34" s="1"/>
  <c r="BG160" i="34"/>
  <c r="BA176" i="34"/>
  <c r="BO160" i="34"/>
  <c r="BM176" i="34"/>
  <c r="AO160" i="34"/>
  <c r="BH160" i="34"/>
  <c r="AV176" i="34"/>
  <c r="AJ160" i="34"/>
  <c r="AQ160" i="34"/>
  <c r="BB160" i="34"/>
  <c r="AP160" i="34"/>
  <c r="BH176" i="34"/>
  <c r="AQ176" i="34"/>
  <c r="BE54" i="36"/>
  <c r="BE95" i="34" s="1"/>
  <c r="AL70" i="36"/>
  <c r="AL111" i="34" s="1"/>
  <c r="AX54" i="36"/>
  <c r="AX95" i="34" s="1"/>
  <c r="BE160" i="34"/>
  <c r="BP176" i="34"/>
  <c r="AX176" i="34"/>
  <c r="AW70" i="36"/>
  <c r="AW111" i="34" s="1"/>
  <c r="BI54" i="36"/>
  <c r="BI95" i="34" s="1"/>
  <c r="BG176" i="34"/>
  <c r="BA160" i="34"/>
  <c r="BO176" i="34"/>
  <c r="BM160" i="34"/>
  <c r="AO176" i="34"/>
  <c r="AV160" i="34"/>
  <c r="AJ176" i="34"/>
  <c r="BB176" i="34"/>
  <c r="BD70" i="36"/>
  <c r="BD111" i="34" s="1"/>
  <c r="AX70" i="36"/>
  <c r="AX111" i="34" s="1"/>
  <c r="AR70" i="36"/>
  <c r="AR111" i="34" s="1"/>
  <c r="AR160" i="34"/>
  <c r="AL160" i="34"/>
  <c r="AR176" i="34"/>
  <c r="BI70" i="36"/>
  <c r="BI111" i="34" s="1"/>
  <c r="AT54" i="36"/>
  <c r="AT95" i="34" s="1"/>
  <c r="AU54" i="36"/>
  <c r="AU95" i="34" s="1"/>
  <c r="AU176" i="34"/>
  <c r="AZ54" i="36"/>
  <c r="AZ95" i="34" s="1"/>
  <c r="AU70" i="36"/>
  <c r="AU111" i="34" s="1"/>
  <c r="AS54" i="36"/>
  <c r="AS95" i="34" s="1"/>
  <c r="BC70" i="36"/>
  <c r="BC111" i="34" s="1"/>
  <c r="BE70" i="36"/>
  <c r="BE111" i="34" s="1"/>
  <c r="BP70" i="36"/>
  <c r="BP111" i="34" s="1"/>
  <c r="AL54" i="36"/>
  <c r="AL95" i="34" s="1"/>
  <c r="AX160" i="34"/>
  <c r="BD176" i="34"/>
  <c r="AZ70" i="36"/>
  <c r="AZ111" i="34" s="1"/>
  <c r="BJ70" i="36"/>
  <c r="BJ111" i="34" s="1"/>
  <c r="BL54" i="36"/>
  <c r="BL95" i="34" s="1"/>
  <c r="AY54" i="36"/>
  <c r="AY95" i="34" s="1"/>
  <c r="AU160" i="34"/>
  <c r="AS176" i="34"/>
  <c r="BK160" i="34"/>
  <c r="BK176" i="34"/>
  <c r="AM70" i="36"/>
  <c r="AM111" i="34" s="1"/>
  <c r="BF54" i="36"/>
  <c r="BF95" i="34" s="1"/>
  <c r="BF176" i="34"/>
  <c r="BF70" i="36"/>
  <c r="BF111" i="34" s="1"/>
  <c r="AF176" i="34"/>
  <c r="AD160" i="34"/>
  <c r="X54" i="36"/>
  <c r="X95" i="34" s="1"/>
  <c r="AC160" i="34"/>
  <c r="L54" i="36"/>
  <c r="L95" i="34" s="1"/>
  <c r="Q176" i="34"/>
  <c r="R160" i="34"/>
  <c r="AF160" i="34"/>
  <c r="AI160" i="34"/>
  <c r="AD176" i="34"/>
  <c r="X160" i="34"/>
  <c r="W54" i="36"/>
  <c r="W95" i="34" s="1"/>
  <c r="L160" i="34"/>
  <c r="AE176" i="34"/>
  <c r="H54" i="36"/>
  <c r="H95" i="34" s="1"/>
  <c r="AB70" i="36"/>
  <c r="AB111" i="34" s="1"/>
  <c r="AA70" i="36"/>
  <c r="AA111" i="34" s="1"/>
  <c r="W70" i="36"/>
  <c r="W111" i="34" s="1"/>
  <c r="L176" i="34"/>
  <c r="L70" i="36"/>
  <c r="L111" i="34" s="1"/>
  <c r="AE160" i="34"/>
  <c r="H70" i="36"/>
  <c r="H111" i="34" s="1"/>
  <c r="AB54" i="36"/>
  <c r="AB95" i="34" s="1"/>
  <c r="AA54" i="36"/>
  <c r="AA95" i="34" s="1"/>
  <c r="W160" i="34"/>
  <c r="R70" i="36"/>
  <c r="R111" i="34" s="1"/>
  <c r="Y70" i="36"/>
  <c r="Y111" i="34" s="1"/>
  <c r="H176" i="34"/>
  <c r="AB160" i="34"/>
  <c r="AA160" i="34"/>
  <c r="W176" i="34"/>
  <c r="R54" i="36"/>
  <c r="R95" i="34" s="1"/>
  <c r="AH160" i="34"/>
  <c r="J160" i="34"/>
  <c r="N70" i="36"/>
  <c r="N111" i="34" s="1"/>
  <c r="H160" i="34"/>
  <c r="AB176" i="34"/>
  <c r="AA176" i="34"/>
  <c r="Q70" i="36"/>
  <c r="Q111" i="34" s="1"/>
  <c r="Y54" i="36"/>
  <c r="Y95" i="34" s="1"/>
  <c r="AH176" i="34"/>
  <c r="R176" i="34"/>
  <c r="N176" i="34"/>
  <c r="AG176" i="34"/>
  <c r="Z70" i="36"/>
  <c r="Z111" i="34" s="1"/>
  <c r="AC176" i="34"/>
  <c r="N54" i="36"/>
  <c r="N95" i="34" s="1"/>
  <c r="AG160" i="34"/>
  <c r="Z54" i="36"/>
  <c r="Z95" i="34" s="1"/>
  <c r="Q54" i="36"/>
  <c r="Q95" i="34" s="1"/>
  <c r="Y160" i="34"/>
  <c r="N160" i="34"/>
  <c r="J70" i="36"/>
  <c r="J111" i="34" s="1"/>
  <c r="Z176" i="34"/>
  <c r="Q160" i="34"/>
  <c r="Y176" i="34"/>
  <c r="X176" i="34"/>
  <c r="J176" i="34"/>
  <c r="Z160" i="34"/>
  <c r="AC70" i="36"/>
  <c r="AC111" i="34" s="1"/>
  <c r="AI176" i="34"/>
  <c r="J54" i="36"/>
  <c r="J95" i="34" s="1"/>
  <c r="X70" i="36"/>
  <c r="X111" i="34" s="1"/>
  <c r="AC54" i="36"/>
  <c r="AC95" i="34" s="1"/>
  <c r="I70" i="36"/>
  <c r="I111" i="34" s="1"/>
  <c r="M70" i="36"/>
  <c r="M111" i="34" s="1"/>
  <c r="P70" i="36"/>
  <c r="P111" i="34" s="1"/>
  <c r="I160" i="34"/>
  <c r="M176" i="34"/>
  <c r="P176" i="34"/>
  <c r="V54" i="36"/>
  <c r="V95" i="34" s="1"/>
  <c r="I54" i="36"/>
  <c r="I95" i="34" s="1"/>
  <c r="M54" i="36"/>
  <c r="M95" i="34" s="1"/>
  <c r="P160" i="34"/>
  <c r="I176" i="34"/>
  <c r="M160" i="34"/>
  <c r="P54" i="36"/>
  <c r="P95" i="34" s="1"/>
  <c r="V160" i="34"/>
  <c r="O176" i="34"/>
  <c r="U70" i="36"/>
  <c r="U111" i="34" s="1"/>
  <c r="T70" i="36"/>
  <c r="T111" i="34" s="1"/>
  <c r="K70" i="36"/>
  <c r="K111" i="34" s="1"/>
  <c r="U54" i="36"/>
  <c r="U95" i="34" s="1"/>
  <c r="T54" i="36"/>
  <c r="T95" i="34" s="1"/>
  <c r="K54" i="36"/>
  <c r="K95" i="34" s="1"/>
  <c r="U176" i="34"/>
  <c r="K160" i="34"/>
  <c r="T176" i="34"/>
  <c r="S54" i="36"/>
  <c r="S95" i="34" s="1"/>
  <c r="U160" i="34"/>
  <c r="T160" i="34"/>
  <c r="K176" i="34"/>
  <c r="S160" i="34"/>
  <c r="S70" i="36"/>
  <c r="S111" i="34" s="1"/>
  <c r="O54" i="36"/>
  <c r="O95" i="34" s="1"/>
  <c r="V70" i="36"/>
  <c r="V111" i="34" s="1"/>
  <c r="O70" i="36"/>
  <c r="O111" i="34" s="1"/>
  <c r="S176" i="34"/>
  <c r="O160" i="34"/>
  <c r="V176" i="34"/>
  <c r="AP8" i="34"/>
  <c r="AE8" i="34"/>
  <c r="T8" i="34"/>
  <c r="BP8" i="34"/>
  <c r="BE8" i="34"/>
  <c r="AT8" i="34"/>
  <c r="AI8" i="34"/>
  <c r="X8" i="34"/>
  <c r="M8" i="34"/>
  <c r="BI8" i="34"/>
  <c r="AX8" i="34"/>
  <c r="AM8" i="34"/>
  <c r="AB8" i="34"/>
  <c r="Q8" i="34"/>
  <c r="BM8" i="34"/>
  <c r="BB8" i="34"/>
  <c r="AQ8" i="34"/>
  <c r="AF8" i="34"/>
  <c r="U8" i="34"/>
  <c r="I8" i="34"/>
  <c r="J8" i="34"/>
  <c r="BF8" i="34"/>
  <c r="AU8" i="34"/>
  <c r="AJ8" i="34"/>
  <c r="Y8" i="34"/>
  <c r="H8" i="34"/>
  <c r="N8" i="34"/>
  <c r="BJ8" i="34"/>
  <c r="AY8" i="34"/>
  <c r="AN8" i="34"/>
  <c r="AC8" i="34"/>
  <c r="R8" i="34"/>
  <c r="BN8" i="34"/>
  <c r="BC8" i="34"/>
  <c r="AR8" i="34"/>
  <c r="AG8" i="34"/>
  <c r="V8" i="34"/>
  <c r="K8" i="34"/>
  <c r="BG8" i="34"/>
  <c r="AV8" i="34"/>
  <c r="AK8" i="34"/>
  <c r="Z8" i="34"/>
  <c r="O8" i="34"/>
  <c r="BK8" i="34"/>
  <c r="AZ8" i="34"/>
  <c r="AO8" i="34"/>
  <c r="AD8" i="34"/>
  <c r="S8" i="34"/>
  <c r="BO8" i="34"/>
  <c r="BD8" i="34"/>
  <c r="AS8" i="34"/>
  <c r="AH8" i="34"/>
  <c r="W8" i="34"/>
  <c r="L8" i="34"/>
  <c r="BH8" i="34"/>
  <c r="AW8" i="34"/>
  <c r="AL8" i="34"/>
  <c r="AA8" i="34"/>
  <c r="P8" i="34"/>
  <c r="BL8" i="34"/>
  <c r="BA8" i="34"/>
  <c r="W42" i="34"/>
  <c r="J42" i="34"/>
  <c r="AA42" i="34"/>
  <c r="N42" i="34"/>
  <c r="L42" i="34"/>
  <c r="R42" i="34"/>
  <c r="P42" i="34"/>
  <c r="V42" i="34"/>
  <c r="T42" i="34"/>
  <c r="Z42" i="34"/>
  <c r="X42" i="34"/>
  <c r="I42" i="34"/>
  <c r="M42" i="34"/>
  <c r="Q42" i="34"/>
  <c r="K42" i="34"/>
  <c r="U42" i="34"/>
  <c r="O42" i="34"/>
  <c r="Y42" i="34"/>
  <c r="S42" i="34"/>
  <c r="AB42" i="34"/>
  <c r="AC42" i="34"/>
  <c r="H42" i="34"/>
  <c r="P19" i="34"/>
  <c r="V19" i="34"/>
  <c r="T19" i="34"/>
  <c r="Z19" i="34"/>
  <c r="X19" i="34"/>
  <c r="I19" i="34"/>
  <c r="AB19" i="34"/>
  <c r="H19" i="34"/>
  <c r="M19" i="34"/>
  <c r="Q19" i="34"/>
  <c r="K19" i="34"/>
  <c r="U19" i="34"/>
  <c r="O19" i="34"/>
  <c r="Y19" i="34"/>
  <c r="S19" i="34"/>
  <c r="AC19" i="34"/>
  <c r="W19" i="34"/>
  <c r="J19" i="34"/>
  <c r="AA19" i="34"/>
  <c r="N19" i="34"/>
  <c r="L19" i="34"/>
  <c r="R19" i="34"/>
  <c r="L18" i="34"/>
  <c r="P18" i="34"/>
  <c r="J18" i="34"/>
  <c r="T18" i="34"/>
  <c r="N18" i="34"/>
  <c r="X18" i="34"/>
  <c r="R18" i="34"/>
  <c r="AB18" i="34"/>
  <c r="V18" i="34"/>
  <c r="M18" i="34"/>
  <c r="K18" i="34"/>
  <c r="U18" i="34"/>
  <c r="O18" i="34"/>
  <c r="Y18" i="34"/>
  <c r="S18" i="34"/>
  <c r="AC18" i="34"/>
  <c r="W18" i="34"/>
  <c r="H18" i="34"/>
  <c r="Z18" i="34"/>
  <c r="AA18" i="34"/>
  <c r="Q18" i="34"/>
  <c r="I18" i="34"/>
  <c r="K25" i="34"/>
  <c r="U25" i="34"/>
  <c r="O25" i="34"/>
  <c r="Y25" i="34"/>
  <c r="S25" i="34"/>
  <c r="AC25" i="34"/>
  <c r="W25" i="34"/>
  <c r="J25" i="34"/>
  <c r="AA25" i="34"/>
  <c r="N25" i="34"/>
  <c r="L25" i="34"/>
  <c r="R25" i="34"/>
  <c r="T25" i="34"/>
  <c r="Z25" i="34"/>
  <c r="X25" i="34"/>
  <c r="I25" i="34"/>
  <c r="AB25" i="34"/>
  <c r="H25" i="34"/>
  <c r="M25" i="34"/>
  <c r="P25" i="34"/>
  <c r="Q25" i="34"/>
  <c r="V25" i="34"/>
  <c r="AM13" i="34"/>
  <c r="AB13" i="34"/>
  <c r="Q13" i="34"/>
  <c r="BM13" i="34"/>
  <c r="BB13" i="34"/>
  <c r="AQ13" i="34"/>
  <c r="AF13" i="34"/>
  <c r="U13" i="34"/>
  <c r="J13" i="34"/>
  <c r="BF13" i="34"/>
  <c r="AU13" i="34"/>
  <c r="AJ13" i="34"/>
  <c r="Y13" i="34"/>
  <c r="N13" i="34"/>
  <c r="BJ13" i="34"/>
  <c r="AY13" i="34"/>
  <c r="AN13" i="34"/>
  <c r="AC13" i="34"/>
  <c r="R13" i="34"/>
  <c r="BN13" i="34"/>
  <c r="BC13" i="34"/>
  <c r="AR13" i="34"/>
  <c r="AG13" i="34"/>
  <c r="V13" i="34"/>
  <c r="I13" i="34"/>
  <c r="K13" i="34"/>
  <c r="BG13" i="34"/>
  <c r="AV13" i="34"/>
  <c r="AK13" i="34"/>
  <c r="Z13" i="34"/>
  <c r="H13" i="34"/>
  <c r="O13" i="34"/>
  <c r="BK13" i="34"/>
  <c r="AZ13" i="34"/>
  <c r="AO13" i="34"/>
  <c r="AD13" i="34"/>
  <c r="S13" i="34"/>
  <c r="BO13" i="34"/>
  <c r="BD13" i="34"/>
  <c r="AS13" i="34"/>
  <c r="AH13" i="34"/>
  <c r="W13" i="34"/>
  <c r="L13" i="34"/>
  <c r="BH13" i="34"/>
  <c r="AW13" i="34"/>
  <c r="AL13" i="34"/>
  <c r="AA13" i="34"/>
  <c r="P13" i="34"/>
  <c r="BL13" i="34"/>
  <c r="BA13" i="34"/>
  <c r="AP13" i="34"/>
  <c r="AE13" i="34"/>
  <c r="T13" i="34"/>
  <c r="BP13" i="34"/>
  <c r="BE13" i="34"/>
  <c r="AT13" i="34"/>
  <c r="X13" i="34"/>
  <c r="M13" i="34"/>
  <c r="BI13" i="34"/>
  <c r="AX13" i="34"/>
  <c r="AI13" i="34"/>
  <c r="AN44" i="34"/>
  <c r="AJ44" i="34"/>
  <c r="AT44" i="34"/>
  <c r="AR44" i="34"/>
  <c r="AS44" i="34"/>
  <c r="AI44" i="34"/>
  <c r="AM44" i="34"/>
  <c r="AX44" i="34"/>
  <c r="BE44" i="34"/>
  <c r="BA44" i="34"/>
  <c r="AW44" i="34"/>
  <c r="AZ44" i="34"/>
  <c r="BC44" i="34"/>
  <c r="BF44" i="34"/>
  <c r="BL44" i="34"/>
  <c r="BN44" i="34"/>
  <c r="AL44" i="34"/>
  <c r="AK44" i="34"/>
  <c r="AP44" i="34"/>
  <c r="AV44" i="34"/>
  <c r="AY44" i="34"/>
  <c r="BB44" i="34"/>
  <c r="AU44" i="34"/>
  <c r="BI44" i="34"/>
  <c r="BO44" i="34"/>
  <c r="BK44" i="34"/>
  <c r="BG44" i="34"/>
  <c r="BM44" i="34"/>
  <c r="BP44" i="34"/>
  <c r="AO44" i="34"/>
  <c r="AQ44" i="34"/>
  <c r="BH44" i="34"/>
  <c r="BJ44" i="34"/>
  <c r="BD44" i="34"/>
  <c r="M44" i="34"/>
  <c r="AH44" i="34"/>
  <c r="AF44" i="34"/>
  <c r="Q44" i="34"/>
  <c r="K44" i="34"/>
  <c r="H44" i="34"/>
  <c r="U44" i="34"/>
  <c r="O44" i="34"/>
  <c r="I44" i="34"/>
  <c r="Y44" i="34"/>
  <c r="S44" i="34"/>
  <c r="AC44" i="34"/>
  <c r="W44" i="34"/>
  <c r="AG44" i="34"/>
  <c r="AA44" i="34"/>
  <c r="N44" i="34"/>
  <c r="L44" i="34"/>
  <c r="R44" i="34"/>
  <c r="P44" i="34"/>
  <c r="V44" i="34"/>
  <c r="T44" i="34"/>
  <c r="Z44" i="34"/>
  <c r="X44" i="34"/>
  <c r="AE44" i="34"/>
  <c r="AD44" i="34"/>
  <c r="AB44" i="34"/>
  <c r="J44" i="34"/>
  <c r="BB12" i="34"/>
  <c r="AQ12" i="34"/>
  <c r="AF12" i="34"/>
  <c r="U12" i="34"/>
  <c r="I12" i="34"/>
  <c r="J12" i="34"/>
  <c r="BF12" i="34"/>
  <c r="AU12" i="34"/>
  <c r="AJ12" i="34"/>
  <c r="Y12" i="34"/>
  <c r="H12" i="34"/>
  <c r="N12" i="34"/>
  <c r="BJ12" i="34"/>
  <c r="AY12" i="34"/>
  <c r="AN12" i="34"/>
  <c r="AC12" i="34"/>
  <c r="R12" i="34"/>
  <c r="BN12" i="34"/>
  <c r="BC12" i="34"/>
  <c r="AR12" i="34"/>
  <c r="AG12" i="34"/>
  <c r="V12" i="34"/>
  <c r="K12" i="34"/>
  <c r="BG12" i="34"/>
  <c r="AV12" i="34"/>
  <c r="AK12" i="34"/>
  <c r="Z12" i="34"/>
  <c r="O12" i="34"/>
  <c r="BK12" i="34"/>
  <c r="AZ12" i="34"/>
  <c r="AO12" i="34"/>
  <c r="AD12" i="34"/>
  <c r="S12" i="34"/>
  <c r="BO12" i="34"/>
  <c r="BD12" i="34"/>
  <c r="AS12" i="34"/>
  <c r="AH12" i="34"/>
  <c r="W12" i="34"/>
  <c r="L12" i="34"/>
  <c r="BH12" i="34"/>
  <c r="AW12" i="34"/>
  <c r="AL12" i="34"/>
  <c r="AA12" i="34"/>
  <c r="P12" i="34"/>
  <c r="BL12" i="34"/>
  <c r="BA12" i="34"/>
  <c r="AP12" i="34"/>
  <c r="AE12" i="34"/>
  <c r="T12" i="34"/>
  <c r="BP12" i="34"/>
  <c r="BE12" i="34"/>
  <c r="AT12" i="34"/>
  <c r="AI12" i="34"/>
  <c r="X12" i="34"/>
  <c r="M12" i="34"/>
  <c r="BI12" i="34"/>
  <c r="AX12" i="34"/>
  <c r="AM12" i="34"/>
  <c r="AB12" i="34"/>
  <c r="Q12" i="34"/>
  <c r="BM12" i="34"/>
  <c r="D121" i="46"/>
  <c r="E121" i="46" s="1"/>
  <c r="E105" i="46"/>
  <c r="D123" i="46"/>
  <c r="E123" i="46" s="1"/>
  <c r="E107" i="46"/>
  <c r="D63" i="36"/>
  <c r="D52" i="36"/>
  <c r="D62" i="36"/>
  <c r="D26" i="45"/>
  <c r="C24" i="62" s="1"/>
  <c r="E26" i="45"/>
  <c r="E14" i="45"/>
  <c r="B18" i="45"/>
  <c r="D13" i="45" l="1"/>
  <c r="C13" i="62"/>
  <c r="E52" i="36"/>
  <c r="D93" i="34"/>
  <c r="D68" i="36"/>
  <c r="E63" i="36"/>
  <c r="D104" i="34"/>
  <c r="D79" i="36"/>
  <c r="D78" i="36"/>
  <c r="E62" i="36"/>
  <c r="D103" i="34"/>
  <c r="E19" i="45"/>
  <c r="D19" i="45"/>
  <c r="D60" i="45" s="1"/>
  <c r="B11" i="45"/>
  <c r="B59" i="45" s="1"/>
  <c r="E15" i="45"/>
  <c r="C14" i="62" l="1"/>
  <c r="D14" i="45"/>
  <c r="E78" i="36"/>
  <c r="D218" i="33"/>
  <c r="E218" i="33" s="1"/>
  <c r="D168" i="34"/>
  <c r="E68" i="36"/>
  <c r="D158" i="34"/>
  <c r="D208" i="33"/>
  <c r="E208" i="33" s="1"/>
  <c r="E79" i="36"/>
  <c r="D169" i="34"/>
  <c r="D219" i="33"/>
  <c r="E219" i="33" s="1"/>
  <c r="D58" i="36"/>
  <c r="D109" i="34"/>
  <c r="E109" i="34" s="1"/>
  <c r="E93" i="34"/>
  <c r="D56" i="36"/>
  <c r="D119" i="34"/>
  <c r="E119" i="34" s="1"/>
  <c r="E103" i="34"/>
  <c r="D120" i="34"/>
  <c r="E120" i="34" s="1"/>
  <c r="E104" i="34"/>
  <c r="E16" i="45"/>
  <c r="C15" i="62" l="1"/>
  <c r="D15" i="45"/>
  <c r="D185" i="34"/>
  <c r="E185" i="34" s="1"/>
  <c r="E169" i="34"/>
  <c r="E168" i="34"/>
  <c r="D184" i="34"/>
  <c r="E184" i="34" s="1"/>
  <c r="E158" i="34"/>
  <c r="D174" i="34"/>
  <c r="E174" i="34" s="1"/>
  <c r="E56" i="36"/>
  <c r="D97" i="34"/>
  <c r="D72" i="36"/>
  <c r="E58" i="36"/>
  <c r="D99" i="34"/>
  <c r="D74" i="36"/>
  <c r="E17" i="45"/>
  <c r="C16" i="62" l="1"/>
  <c r="D16" i="45"/>
  <c r="E74" i="36"/>
  <c r="D214" i="33"/>
  <c r="E214" i="33" s="1"/>
  <c r="D164" i="34"/>
  <c r="E72" i="36"/>
  <c r="D212" i="33"/>
  <c r="E212" i="33" s="1"/>
  <c r="D162" i="34"/>
  <c r="E97" i="34"/>
  <c r="D113" i="34"/>
  <c r="E113" i="34" s="1"/>
  <c r="D115" i="34"/>
  <c r="E115" i="34" s="1"/>
  <c r="E99" i="34"/>
  <c r="E18" i="45"/>
  <c r="C17" i="62" l="1"/>
  <c r="D17" i="45"/>
  <c r="E164" i="34"/>
  <c r="D180" i="34"/>
  <c r="E180" i="34" s="1"/>
  <c r="D178" i="34"/>
  <c r="E178" i="34" s="1"/>
  <c r="E162" i="34"/>
  <c r="E11" i="45"/>
  <c r="C18" i="62" l="1"/>
  <c r="D18" i="45"/>
  <c r="E18" i="34"/>
  <c r="E19" i="34" s="1"/>
  <c r="E4" i="34"/>
  <c r="E5" i="34" s="1"/>
  <c r="E18" i="33"/>
  <c r="E36" i="33" s="1"/>
  <c r="E4" i="33"/>
  <c r="C19" i="62" l="1"/>
  <c r="D11" i="45"/>
  <c r="D59" i="45" s="1"/>
  <c r="E21" i="34"/>
  <c r="E22" i="34" s="1"/>
  <c r="E23" i="34" s="1"/>
  <c r="E24" i="34" s="1"/>
  <c r="E25" i="34" s="1"/>
  <c r="E26" i="34" s="1"/>
  <c r="E27" i="34" s="1"/>
  <c r="E28" i="34" s="1"/>
  <c r="E29" i="34" s="1"/>
  <c r="E30" i="34" s="1"/>
  <c r="E20" i="34"/>
  <c r="E7" i="34"/>
  <c r="E8" i="34" s="1"/>
  <c r="E9" i="34" s="1"/>
  <c r="E10" i="34" s="1"/>
  <c r="E11" i="34" s="1"/>
  <c r="E12" i="34" s="1"/>
  <c r="E13" i="34" s="1"/>
  <c r="E14" i="34" s="1"/>
  <c r="E15" i="34" s="1"/>
  <c r="E16" i="34" s="1"/>
  <c r="E17" i="34" s="1"/>
  <c r="E6" i="34"/>
  <c r="H77" i="36" l="1"/>
  <c r="H61" i="36"/>
  <c r="H167" i="34"/>
  <c r="H183" i="34"/>
  <c r="E31" i="34"/>
  <c r="E32" i="34" s="1"/>
  <c r="E33" i="34" s="1"/>
  <c r="E34" i="34" s="1"/>
  <c r="E35" i="34" s="1"/>
  <c r="E36" i="34" s="1"/>
  <c r="E37" i="34" s="1"/>
  <c r="F9" i="45" l="1"/>
  <c r="F16" i="45"/>
  <c r="H102" i="34"/>
  <c r="F24" i="45"/>
  <c r="H118" i="34"/>
  <c r="I61" i="36"/>
  <c r="I77" i="36"/>
  <c r="I167" i="34"/>
  <c r="I183" i="34"/>
  <c r="E39" i="34"/>
  <c r="E40" i="34" s="1"/>
  <c r="E41" i="34" s="1"/>
  <c r="E42" i="34" s="1"/>
  <c r="E43" i="34" s="1"/>
  <c r="E44" i="34" s="1"/>
  <c r="E45" i="34" s="1"/>
  <c r="E46" i="34" s="1"/>
  <c r="E47" i="34" s="1"/>
  <c r="E48" i="34" s="1"/>
  <c r="E49" i="34" s="1"/>
  <c r="E50" i="34" s="1"/>
  <c r="E51" i="34" s="1"/>
  <c r="E52" i="34" s="1"/>
  <c r="E53" i="34" s="1"/>
  <c r="E38" i="34"/>
  <c r="G16" i="45" l="1"/>
  <c r="I102" i="34"/>
  <c r="G24" i="45"/>
  <c r="G9" i="45"/>
  <c r="I118" i="34"/>
  <c r="K61" i="36" l="1"/>
  <c r="K77" i="36"/>
  <c r="K167" i="34"/>
  <c r="K183" i="34"/>
  <c r="J77" i="36"/>
  <c r="J61" i="36"/>
  <c r="J167" i="34"/>
  <c r="J183" i="34"/>
  <c r="I24" i="45" l="1"/>
  <c r="J102" i="34"/>
  <c r="H16" i="45"/>
  <c r="H9" i="45"/>
  <c r="J118" i="34"/>
  <c r="K118" i="34"/>
  <c r="I9" i="45"/>
  <c r="I16" i="45"/>
  <c r="H24" i="45"/>
  <c r="K102" i="34"/>
  <c r="L77" i="36"/>
  <c r="L61" i="36"/>
  <c r="L167" i="34"/>
  <c r="L183" i="34"/>
  <c r="J16" i="45" l="1"/>
  <c r="J9" i="45"/>
  <c r="L102" i="34"/>
  <c r="J24" i="45"/>
  <c r="L118" i="34"/>
  <c r="M77" i="36"/>
  <c r="M61" i="36"/>
  <c r="M183" i="34"/>
  <c r="M167" i="34"/>
  <c r="K9" i="45" l="1"/>
  <c r="K24" i="45"/>
  <c r="M102" i="34"/>
  <c r="M118" i="34"/>
  <c r="K16" i="45"/>
  <c r="N77" i="36"/>
  <c r="N61" i="36"/>
  <c r="N183" i="34"/>
  <c r="N167" i="34"/>
  <c r="L16" i="45" l="1"/>
  <c r="L9" i="45"/>
  <c r="N102" i="34"/>
  <c r="L24" i="45"/>
  <c r="N118" i="34"/>
  <c r="O61" i="36"/>
  <c r="O77" i="36"/>
  <c r="O167" i="34"/>
  <c r="O183" i="34"/>
  <c r="M9" i="45" l="1"/>
  <c r="O102" i="34"/>
  <c r="M24" i="45"/>
  <c r="M16" i="45"/>
  <c r="O118" i="34"/>
  <c r="P77" i="36"/>
  <c r="P61" i="36"/>
  <c r="P167" i="34"/>
  <c r="P183" i="34"/>
  <c r="N16" i="45" l="1"/>
  <c r="P102" i="34"/>
  <c r="P118" i="34"/>
  <c r="N24" i="45"/>
  <c r="N9" i="45"/>
  <c r="Q77" i="36"/>
  <c r="Q61" i="36"/>
  <c r="Q167" i="34"/>
  <c r="Q183" i="34"/>
  <c r="O24" i="45" l="1"/>
  <c r="O9" i="45"/>
  <c r="Q118" i="34"/>
  <c r="Q102" i="34"/>
  <c r="O16" i="45"/>
  <c r="R77" i="36"/>
  <c r="R61" i="36"/>
  <c r="R183" i="34"/>
  <c r="R167" i="34"/>
  <c r="R102" i="34" l="1"/>
  <c r="R118" i="34"/>
  <c r="P16" i="45"/>
  <c r="P24" i="45"/>
  <c r="P9" i="45"/>
  <c r="S61" i="36"/>
  <c r="S77" i="36"/>
  <c r="S183" i="34"/>
  <c r="S167" i="34"/>
  <c r="Q24" i="45" l="1"/>
  <c r="Q16" i="45"/>
  <c r="S102" i="34"/>
  <c r="Q9" i="45"/>
  <c r="S118" i="34"/>
  <c r="T77" i="36"/>
  <c r="T61" i="36"/>
  <c r="T183" i="34"/>
  <c r="T167" i="34"/>
  <c r="R9" i="45" l="1"/>
  <c r="T102" i="34"/>
  <c r="R16" i="45"/>
  <c r="T118" i="34"/>
  <c r="R24" i="45"/>
  <c r="U77" i="36"/>
  <c r="U61" i="36"/>
  <c r="U167" i="34"/>
  <c r="U183" i="34"/>
  <c r="U102" i="34" l="1"/>
  <c r="U118" i="34"/>
  <c r="S9" i="45"/>
  <c r="S24" i="45"/>
  <c r="S16" i="45"/>
  <c r="V77" i="36"/>
  <c r="V61" i="36"/>
  <c r="V167" i="34"/>
  <c r="V183" i="34"/>
  <c r="T9" i="45" l="1"/>
  <c r="T24" i="45"/>
  <c r="V118" i="34"/>
  <c r="V102" i="34"/>
  <c r="T16" i="45"/>
  <c r="W77" i="36"/>
  <c r="W61" i="36"/>
  <c r="W167" i="34"/>
  <c r="W183" i="34"/>
  <c r="U24" i="45" l="1"/>
  <c r="W118" i="34"/>
  <c r="U9" i="45"/>
  <c r="U16" i="45"/>
  <c r="W102" i="34"/>
  <c r="X61" i="36"/>
  <c r="X77" i="36"/>
  <c r="X167" i="34"/>
  <c r="X183" i="34"/>
  <c r="X102" i="34" l="1"/>
  <c r="V9" i="45"/>
  <c r="V24" i="45"/>
  <c r="X118" i="34"/>
  <c r="V16" i="45"/>
  <c r="Y61" i="36"/>
  <c r="Y77" i="36"/>
  <c r="Y183" i="34"/>
  <c r="Y167" i="34"/>
  <c r="W9" i="45" l="1"/>
  <c r="Y102" i="34"/>
  <c r="Y118" i="34"/>
  <c r="W24" i="45"/>
  <c r="W16" i="45"/>
  <c r="Z77" i="36"/>
  <c r="Z61" i="36"/>
  <c r="Z167" i="34"/>
  <c r="Z183" i="34"/>
  <c r="Z102" i="34" l="1"/>
  <c r="X24" i="45"/>
  <c r="Z118" i="34"/>
  <c r="X16" i="45"/>
  <c r="X9" i="45"/>
  <c r="AA77" i="36"/>
  <c r="AA61" i="36"/>
  <c r="AA167" i="34"/>
  <c r="AA183" i="34"/>
  <c r="Y9" i="45" l="1"/>
  <c r="Y16" i="45"/>
  <c r="AA102" i="34"/>
  <c r="Y24" i="45"/>
  <c r="AA118" i="34"/>
  <c r="AB77" i="36"/>
  <c r="AB61" i="36"/>
  <c r="AB167" i="34"/>
  <c r="AB183" i="34"/>
  <c r="Z9" i="45" l="1"/>
  <c r="Z24" i="45"/>
  <c r="AB118" i="34"/>
  <c r="AB102" i="34"/>
  <c r="Z16" i="45"/>
  <c r="AC77" i="36"/>
  <c r="AC61" i="36"/>
  <c r="AC167" i="34"/>
  <c r="AC183" i="34"/>
  <c r="AA9" i="45" l="1"/>
  <c r="AC118" i="34"/>
  <c r="AC102" i="34"/>
  <c r="AA24" i="45"/>
  <c r="AA16" i="45"/>
  <c r="AD183" i="34"/>
  <c r="AD167" i="34"/>
  <c r="AD118" i="34" l="1"/>
  <c r="AB24" i="45"/>
  <c r="AB9" i="45"/>
  <c r="D11" i="62" s="1"/>
  <c r="AD102" i="34"/>
  <c r="AB16" i="45"/>
  <c r="D17" i="62" s="1"/>
  <c r="AE167" i="34"/>
  <c r="AE183" i="34"/>
  <c r="AE118" i="34" l="1"/>
  <c r="AC9" i="45"/>
  <c r="E11" i="62" s="1"/>
  <c r="AE102" i="34"/>
  <c r="AC24" i="45"/>
  <c r="AC16" i="45"/>
  <c r="E17" i="62" s="1"/>
  <c r="AF167" i="34"/>
  <c r="AF183" i="34"/>
  <c r="AF118" i="34" l="1"/>
  <c r="AD9" i="45"/>
  <c r="F11" i="62" s="1"/>
  <c r="AD16" i="45"/>
  <c r="F17" i="62" s="1"/>
  <c r="AD24" i="45"/>
  <c r="AF102" i="34"/>
  <c r="AG167" i="34"/>
  <c r="AG183" i="34"/>
  <c r="AE16" i="45" l="1"/>
  <c r="G17" i="62" s="1"/>
  <c r="AE24" i="45"/>
  <c r="AE9" i="45"/>
  <c r="G11" i="62" s="1"/>
  <c r="AG102" i="34"/>
  <c r="AG118" i="34"/>
  <c r="AH183" i="34"/>
  <c r="AH167" i="34"/>
  <c r="AF16" i="45" l="1"/>
  <c r="H17" i="62" s="1"/>
  <c r="AF24" i="45"/>
  <c r="AF9" i="45"/>
  <c r="H11" i="62" s="1"/>
  <c r="AH102" i="34"/>
  <c r="AH118" i="34"/>
  <c r="AI183" i="34"/>
  <c r="AI167" i="34"/>
  <c r="AG24" i="45" l="1"/>
  <c r="AI118" i="34"/>
  <c r="AG9" i="45"/>
  <c r="I11" i="62" s="1"/>
  <c r="AG16" i="45"/>
  <c r="I17" i="62" s="1"/>
  <c r="AI102" i="34"/>
  <c r="AJ77" i="36" l="1"/>
  <c r="AJ167" i="34"/>
  <c r="AJ183" i="34"/>
  <c r="AJ61" i="36"/>
  <c r="AH16" i="45" l="1"/>
  <c r="J17" i="62" s="1"/>
  <c r="AH9" i="45"/>
  <c r="J11" i="62" s="1"/>
  <c r="AH24" i="45"/>
  <c r="AJ102" i="34"/>
  <c r="AJ118" i="34"/>
  <c r="AK77" i="36"/>
  <c r="AK167" i="34"/>
  <c r="AK183" i="34"/>
  <c r="AK61" i="36"/>
  <c r="AK102" i="34" l="1"/>
  <c r="AI24" i="45"/>
  <c r="AI16" i="45"/>
  <c r="K17" i="62" s="1"/>
  <c r="AK118" i="34"/>
  <c r="AI9" i="45"/>
  <c r="K11" i="62" s="1"/>
  <c r="AL77" i="36"/>
  <c r="AL167" i="34"/>
  <c r="AL183" i="34"/>
  <c r="AL61" i="36"/>
  <c r="AL102" i="34" l="1"/>
  <c r="AJ9" i="45"/>
  <c r="L11" i="62" s="1"/>
  <c r="AJ24" i="45"/>
  <c r="AJ16" i="45"/>
  <c r="L17" i="62" s="1"/>
  <c r="AL118" i="34"/>
  <c r="AM77" i="36"/>
  <c r="AM167" i="34"/>
  <c r="AM183" i="34"/>
  <c r="AM61" i="36"/>
  <c r="AM102" i="34" l="1"/>
  <c r="AK24" i="45"/>
  <c r="AK9" i="45"/>
  <c r="M11" i="62" s="1"/>
  <c r="AM118" i="34"/>
  <c r="AK16" i="45"/>
  <c r="M17" i="62" s="1"/>
  <c r="AN77" i="36"/>
  <c r="AN167" i="34"/>
  <c r="AN183" i="34"/>
  <c r="AN61" i="36"/>
  <c r="AL9" i="45" l="1"/>
  <c r="N11" i="62" s="1"/>
  <c r="AN102" i="34"/>
  <c r="AN118" i="34"/>
  <c r="AL24" i="45"/>
  <c r="AL16" i="45"/>
  <c r="N17" i="62" s="1"/>
  <c r="AO77" i="36"/>
  <c r="AO167" i="34"/>
  <c r="AO183" i="34"/>
  <c r="AO61" i="36"/>
  <c r="AM16" i="45" l="1"/>
  <c r="O17" i="62" s="1"/>
  <c r="AO118" i="34"/>
  <c r="AM9" i="45"/>
  <c r="O11" i="62" s="1"/>
  <c r="AO102" i="34"/>
  <c r="AM24" i="45"/>
  <c r="AP77" i="36"/>
  <c r="AP167" i="34"/>
  <c r="AP183" i="34"/>
  <c r="AP61" i="36"/>
  <c r="AP102" i="34" l="1"/>
  <c r="AP118" i="34"/>
  <c r="AN9" i="45"/>
  <c r="P11" i="62" s="1"/>
  <c r="AN24" i="45"/>
  <c r="AN16" i="45"/>
  <c r="P17" i="62" s="1"/>
  <c r="AQ77" i="36"/>
  <c r="AQ167" i="34"/>
  <c r="AQ183" i="34"/>
  <c r="AQ61" i="36"/>
  <c r="AO9" i="45" l="1"/>
  <c r="Q11" i="62" s="1"/>
  <c r="AQ118" i="34"/>
  <c r="AO24" i="45"/>
  <c r="AQ102" i="34"/>
  <c r="AO16" i="45"/>
  <c r="Q17" i="62" s="1"/>
  <c r="AR77" i="36"/>
  <c r="AR167" i="34"/>
  <c r="AR183" i="34"/>
  <c r="AR61" i="36"/>
  <c r="AP16" i="45" l="1"/>
  <c r="R17" i="62" s="1"/>
  <c r="AR118" i="34"/>
  <c r="AP24" i="45"/>
  <c r="AR102" i="34"/>
  <c r="AP9" i="45"/>
  <c r="R11" i="62" s="1"/>
  <c r="AS77" i="36"/>
  <c r="AS167" i="34"/>
  <c r="AS183" i="34"/>
  <c r="AS61" i="36"/>
  <c r="AQ16" i="45" l="1"/>
  <c r="S17" i="62" s="1"/>
  <c r="AS102" i="34"/>
  <c r="AS118" i="34"/>
  <c r="AQ9" i="45"/>
  <c r="S11" i="62" s="1"/>
  <c r="AQ24" i="45"/>
  <c r="AT77" i="36"/>
  <c r="AT167" i="34"/>
  <c r="AT183" i="34"/>
  <c r="AT61" i="36"/>
  <c r="AR16" i="45" l="1"/>
  <c r="T17" i="62" s="1"/>
  <c r="AT102" i="34"/>
  <c r="AT118" i="34"/>
  <c r="AR9" i="45"/>
  <c r="T11" i="62" s="1"/>
  <c r="AR24" i="45"/>
  <c r="AU77" i="36"/>
  <c r="AU167" i="34"/>
  <c r="AU183" i="34"/>
  <c r="AU61" i="36"/>
  <c r="AU102" i="34" l="1"/>
  <c r="AU118" i="34"/>
  <c r="AS16" i="45"/>
  <c r="U17" i="62" s="1"/>
  <c r="AS9" i="45"/>
  <c r="U11" i="62" s="1"/>
  <c r="AS24" i="45"/>
  <c r="AV77" i="36"/>
  <c r="AV167" i="34"/>
  <c r="AV183" i="34"/>
  <c r="AV61" i="36"/>
  <c r="AV102" i="34" l="1"/>
  <c r="AV118" i="34"/>
  <c r="AT16" i="45"/>
  <c r="V17" i="62" s="1"/>
  <c r="AT24" i="45"/>
  <c r="AT9" i="45"/>
  <c r="V11" i="62" s="1"/>
  <c r="AW77" i="36"/>
  <c r="AW167" i="34"/>
  <c r="AW183" i="34"/>
  <c r="AW61" i="36"/>
  <c r="AU9" i="45" l="1"/>
  <c r="W11" i="62" s="1"/>
  <c r="AW118" i="34"/>
  <c r="AW102" i="34"/>
  <c r="AU24" i="45"/>
  <c r="AU16" i="45"/>
  <c r="W17" i="62" s="1"/>
  <c r="AX77" i="36"/>
  <c r="AX167" i="34"/>
  <c r="AX183" i="34"/>
  <c r="AX61" i="36"/>
  <c r="AV9" i="45" l="1"/>
  <c r="X11" i="62" s="1"/>
  <c r="AX102" i="34"/>
  <c r="AX118" i="34"/>
  <c r="AV24" i="45"/>
  <c r="AV16" i="45"/>
  <c r="X17" i="62" s="1"/>
  <c r="AY77" i="36"/>
  <c r="AY167" i="34"/>
  <c r="AY183" i="34"/>
  <c r="AY61" i="36"/>
  <c r="AY102" i="34" l="1"/>
  <c r="AW9" i="45"/>
  <c r="Y11" i="62" s="1"/>
  <c r="AW24" i="45"/>
  <c r="AW16" i="45"/>
  <c r="Y17" i="62" s="1"/>
  <c r="AY118" i="34"/>
  <c r="AZ77" i="36"/>
  <c r="AZ167" i="34"/>
  <c r="AZ183" i="34"/>
  <c r="AZ61" i="36"/>
  <c r="AZ102" i="34" l="1"/>
  <c r="AZ118" i="34"/>
  <c r="AX16" i="45"/>
  <c r="Z17" i="62" s="1"/>
  <c r="AX24" i="45"/>
  <c r="AX9" i="45"/>
  <c r="Z11" i="62" s="1"/>
  <c r="BA77" i="36"/>
  <c r="BA167" i="34"/>
  <c r="BA183" i="34"/>
  <c r="BA61" i="36"/>
  <c r="AY9" i="45" l="1"/>
  <c r="AA11" i="62" s="1"/>
  <c r="BA102" i="34"/>
  <c r="BA118" i="34"/>
  <c r="AY24" i="45"/>
  <c r="AY16" i="45"/>
  <c r="AA17" i="62" s="1"/>
  <c r="BB77" i="36"/>
  <c r="BB167" i="34"/>
  <c r="BB183" i="34"/>
  <c r="BB61" i="36"/>
  <c r="AZ9" i="45" l="1"/>
  <c r="AB11" i="62" s="1"/>
  <c r="BB102" i="34"/>
  <c r="BB118" i="34"/>
  <c r="AZ24" i="45"/>
  <c r="AZ16" i="45"/>
  <c r="AB17" i="62" s="1"/>
  <c r="BC77" i="36"/>
  <c r="BC167" i="34"/>
  <c r="BC183" i="34"/>
  <c r="BC61" i="36"/>
  <c r="BA16" i="45" l="1"/>
  <c r="AC17" i="62" s="1"/>
  <c r="BC118" i="34"/>
  <c r="BA9" i="45"/>
  <c r="AC11" i="62" s="1"/>
  <c r="BA24" i="45"/>
  <c r="BC102" i="34"/>
  <c r="BD77" i="36"/>
  <c r="BD167" i="34"/>
  <c r="BD183" i="34"/>
  <c r="BD61" i="36"/>
  <c r="BB16" i="45" l="1"/>
  <c r="AD17" i="62" s="1"/>
  <c r="BD102" i="34"/>
  <c r="BD118" i="34"/>
  <c r="BB9" i="45"/>
  <c r="AD11" i="62" s="1"/>
  <c r="BB24" i="45"/>
  <c r="BE77" i="36"/>
  <c r="BE167" i="34"/>
  <c r="BE183" i="34"/>
  <c r="BE61" i="36"/>
  <c r="BC9" i="45" l="1"/>
  <c r="AE11" i="62" s="1"/>
  <c r="BE102" i="34"/>
  <c r="BE118" i="34"/>
  <c r="BC24" i="45"/>
  <c r="BC16" i="45"/>
  <c r="AE17" i="62" s="1"/>
  <c r="BF77" i="36"/>
  <c r="BF167" i="34"/>
  <c r="BF183" i="34"/>
  <c r="BF61" i="36"/>
  <c r="BD9" i="45" l="1"/>
  <c r="AF11" i="62" s="1"/>
  <c r="BF102" i="34"/>
  <c r="BF118" i="34"/>
  <c r="BD16" i="45"/>
  <c r="AF17" i="62" s="1"/>
  <c r="BD24" i="45"/>
  <c r="BG77" i="36"/>
  <c r="BG167" i="34"/>
  <c r="BG183" i="34"/>
  <c r="BG61" i="36"/>
  <c r="BE9" i="45" l="1"/>
  <c r="AG11" i="62" s="1"/>
  <c r="BG102" i="34"/>
  <c r="BG118" i="34"/>
  <c r="BE24" i="45"/>
  <c r="BE16" i="45"/>
  <c r="AG17" i="62" s="1"/>
  <c r="BH77" i="36"/>
  <c r="BH183" i="34"/>
  <c r="BH167" i="34"/>
  <c r="BH61" i="36"/>
  <c r="BH118" i="34" l="1"/>
  <c r="BF24" i="45"/>
  <c r="BF9" i="45"/>
  <c r="AH11" i="62" s="1"/>
  <c r="BH102" i="34"/>
  <c r="BF16" i="45"/>
  <c r="AH17" i="62" s="1"/>
  <c r="BI77" i="36"/>
  <c r="BI167" i="34"/>
  <c r="BI183" i="34"/>
  <c r="BI61" i="36"/>
  <c r="BG16" i="45" l="1"/>
  <c r="AI17" i="62" s="1"/>
  <c r="BI102" i="34"/>
  <c r="BI118" i="34"/>
  <c r="BG9" i="45"/>
  <c r="AI11" i="62" s="1"/>
  <c r="BG24" i="45"/>
  <c r="BJ77" i="36"/>
  <c r="BJ167" i="34"/>
  <c r="BJ183" i="34"/>
  <c r="BJ61" i="36"/>
  <c r="BH9" i="45" l="1"/>
  <c r="AJ11" i="62" s="1"/>
  <c r="BH16" i="45"/>
  <c r="AJ17" i="62" s="1"/>
  <c r="BJ102" i="34"/>
  <c r="BJ118" i="34"/>
  <c r="BH24" i="45"/>
  <c r="BK77" i="36"/>
  <c r="BK167" i="34"/>
  <c r="BK183" i="34"/>
  <c r="BK61" i="36"/>
  <c r="BI16" i="45" l="1"/>
  <c r="AK17" i="62" s="1"/>
  <c r="BK102" i="34"/>
  <c r="BK118" i="34"/>
  <c r="BI9" i="45"/>
  <c r="AK11" i="62" s="1"/>
  <c r="BI24" i="45"/>
  <c r="BL77" i="36"/>
  <c r="BL167" i="34"/>
  <c r="BL183" i="34"/>
  <c r="BL61" i="36"/>
  <c r="BL102" i="34" l="1"/>
  <c r="BJ9" i="45"/>
  <c r="AL11" i="62" s="1"/>
  <c r="BL118" i="34"/>
  <c r="BJ24" i="45"/>
  <c r="BJ16" i="45"/>
  <c r="AL17" i="62" s="1"/>
  <c r="BM77" i="36"/>
  <c r="BM167" i="34"/>
  <c r="BM183" i="34"/>
  <c r="BM61" i="36"/>
  <c r="BK16" i="45" l="1"/>
  <c r="AM17" i="62" s="1"/>
  <c r="BM102" i="34"/>
  <c r="BM118" i="34"/>
  <c r="BK9" i="45"/>
  <c r="AM11" i="62" s="1"/>
  <c r="BK24" i="45"/>
  <c r="BN77" i="36"/>
  <c r="BN167" i="34"/>
  <c r="BN183" i="34"/>
  <c r="BN61" i="36"/>
  <c r="BL9" i="45" l="1"/>
  <c r="AN11" i="62" s="1"/>
  <c r="BN102" i="34"/>
  <c r="BN118" i="34"/>
  <c r="BL24" i="45"/>
  <c r="BL16" i="45"/>
  <c r="AN17" i="62" s="1"/>
  <c r="BP77" i="36"/>
  <c r="BP167" i="34"/>
  <c r="BP183" i="34"/>
  <c r="BO77" i="36"/>
  <c r="BO167" i="34"/>
  <c r="BO183" i="34"/>
  <c r="BP61" i="36"/>
  <c r="BO61" i="36"/>
  <c r="BN16" i="45" l="1"/>
  <c r="AP17" i="62" s="1"/>
  <c r="BO102" i="34"/>
  <c r="BM24" i="45"/>
  <c r="BP118" i="34"/>
  <c r="BM9" i="45"/>
  <c r="AO11" i="62" s="1"/>
  <c r="BN9" i="45"/>
  <c r="AP11" i="62" s="1"/>
  <c r="BM16" i="45"/>
  <c r="AO17" i="62" s="1"/>
  <c r="BP102" i="34"/>
  <c r="BO118" i="34"/>
  <c r="BN24" i="45"/>
  <c r="G55" i="33"/>
  <c r="F55" i="33"/>
  <c r="F5" i="33"/>
  <c r="E19" i="33"/>
  <c r="E5" i="33"/>
  <c r="E6" i="33" s="1"/>
  <c r="G5" i="33"/>
  <c r="D20" i="36"/>
  <c r="D78" i="46" s="1"/>
  <c r="D21" i="36"/>
  <c r="D79" i="46" s="1"/>
  <c r="D22" i="36"/>
  <c r="D80" i="46" s="1"/>
  <c r="D19" i="36"/>
  <c r="D77" i="46" s="1"/>
  <c r="C19" i="36"/>
  <c r="A65" i="57" s="1"/>
  <c r="C17" i="36"/>
  <c r="A63" i="57" s="1"/>
  <c r="D16" i="36"/>
  <c r="D74" i="46" s="1"/>
  <c r="C16" i="36"/>
  <c r="A62" i="57" s="1"/>
  <c r="D15" i="36"/>
  <c r="D73" i="46" s="1"/>
  <c r="C15" i="36"/>
  <c r="C13" i="36"/>
  <c r="A59" i="57" s="1"/>
  <c r="D12" i="36"/>
  <c r="C11" i="36"/>
  <c r="A57" i="57" s="1"/>
  <c r="D10" i="36"/>
  <c r="D68" i="46" s="1"/>
  <c r="D9" i="36"/>
  <c r="D67" i="46" s="1"/>
  <c r="D8" i="36"/>
  <c r="F6" i="36"/>
  <c r="F5" i="34"/>
  <c r="D6" i="36"/>
  <c r="D64" i="46" s="1"/>
  <c r="D5" i="36"/>
  <c r="D63" i="46" s="1"/>
  <c r="E5" i="36"/>
  <c r="E6" i="36" s="1"/>
  <c r="C5" i="36"/>
  <c r="G5" i="34"/>
  <c r="D66" i="46" l="1"/>
  <c r="D84" i="46" s="1"/>
  <c r="A54" i="57"/>
  <c r="D70" i="46"/>
  <c r="E70" i="46" s="1"/>
  <c r="A58" i="57"/>
  <c r="A51" i="57"/>
  <c r="A61" i="57"/>
  <c r="D91" i="46"/>
  <c r="E73" i="46"/>
  <c r="D81" i="46"/>
  <c r="E63" i="46"/>
  <c r="E66" i="46"/>
  <c r="D88" i="46"/>
  <c r="D95" i="46"/>
  <c r="E77" i="46"/>
  <c r="D85" i="46"/>
  <c r="E67" i="46"/>
  <c r="D92" i="46"/>
  <c r="E74" i="46"/>
  <c r="D98" i="46"/>
  <c r="E98" i="46" s="1"/>
  <c r="E80" i="46"/>
  <c r="D96" i="46"/>
  <c r="E78" i="46"/>
  <c r="E64" i="46"/>
  <c r="D82" i="46"/>
  <c r="D86" i="46"/>
  <c r="E68" i="46"/>
  <c r="D97" i="46"/>
  <c r="E97" i="46" s="1"/>
  <c r="E79" i="46"/>
  <c r="E20" i="33"/>
  <c r="E38" i="33" s="1"/>
  <c r="E37" i="33"/>
  <c r="G7" i="34"/>
  <c r="G8" i="34" s="1"/>
  <c r="G9" i="34" s="1"/>
  <c r="G10" i="34" s="1"/>
  <c r="G11" i="34" s="1"/>
  <c r="G12" i="34" s="1"/>
  <c r="G13" i="34" s="1"/>
  <c r="G14" i="34" s="1"/>
  <c r="G15" i="34" s="1"/>
  <c r="G16" i="34" s="1"/>
  <c r="G6" i="34"/>
  <c r="F7" i="34"/>
  <c r="F8" i="34" s="1"/>
  <c r="F9" i="34" s="1"/>
  <c r="F10" i="34" s="1"/>
  <c r="F11" i="34" s="1"/>
  <c r="F12" i="34" s="1"/>
  <c r="F13" i="34" s="1"/>
  <c r="F14" i="34" s="1"/>
  <c r="F15" i="34" s="1"/>
  <c r="F16" i="34" s="1"/>
  <c r="F6" i="34"/>
  <c r="C18" i="36"/>
  <c r="A64" i="57" s="1"/>
  <c r="F57" i="33"/>
  <c r="F58" i="33" s="1"/>
  <c r="F59" i="33" s="1"/>
  <c r="F60" i="33" s="1"/>
  <c r="F61" i="33" s="1"/>
  <c r="F62" i="33" s="1"/>
  <c r="F63" i="33" s="1"/>
  <c r="F64" i="33" s="1"/>
  <c r="F65" i="33" s="1"/>
  <c r="F66" i="33" s="1"/>
  <c r="F67" i="33" s="1"/>
  <c r="F68" i="33" s="1"/>
  <c r="F69" i="33" s="1"/>
  <c r="F70" i="33" s="1"/>
  <c r="F71" i="33" s="1"/>
  <c r="F56" i="33"/>
  <c r="G57" i="33"/>
  <c r="G58" i="33" s="1"/>
  <c r="G59" i="33" s="1"/>
  <c r="G60" i="33" s="1"/>
  <c r="G61" i="33" s="1"/>
  <c r="G62" i="33" s="1"/>
  <c r="G63" i="33" s="1"/>
  <c r="G64" i="33" s="1"/>
  <c r="G65" i="33" s="1"/>
  <c r="G66" i="33" s="1"/>
  <c r="G67" i="33" s="1"/>
  <c r="G68" i="33" s="1"/>
  <c r="G69" i="33" s="1"/>
  <c r="G70" i="33" s="1"/>
  <c r="G71" i="33" s="1"/>
  <c r="G56" i="33"/>
  <c r="G7" i="33"/>
  <c r="G8" i="33" s="1"/>
  <c r="G9" i="33" s="1"/>
  <c r="G10" i="33" s="1"/>
  <c r="G11" i="33" s="1"/>
  <c r="G12" i="33" s="1"/>
  <c r="G13" i="33" s="1"/>
  <c r="G14" i="33" s="1"/>
  <c r="G15" i="33" s="1"/>
  <c r="G16" i="33" s="1"/>
  <c r="G17" i="33" s="1"/>
  <c r="G6" i="33"/>
  <c r="F7" i="33"/>
  <c r="F8" i="33" s="1"/>
  <c r="F9" i="33" s="1"/>
  <c r="F10" i="33" s="1"/>
  <c r="F11" i="33" s="1"/>
  <c r="F12" i="33" s="1"/>
  <c r="F13" i="33" s="1"/>
  <c r="F14" i="33" s="1"/>
  <c r="F15" i="33" s="1"/>
  <c r="F16" i="33" s="1"/>
  <c r="F17" i="33" s="1"/>
  <c r="F18" i="33" s="1"/>
  <c r="F19" i="33" s="1"/>
  <c r="F6" i="33"/>
  <c r="E8" i="36"/>
  <c r="E9" i="36" s="1"/>
  <c r="E10" i="36" s="1"/>
  <c r="E11" i="36" s="1"/>
  <c r="E12" i="36" s="1"/>
  <c r="E13" i="36" s="1"/>
  <c r="E14" i="36" s="1"/>
  <c r="E15" i="36" s="1"/>
  <c r="E16" i="36" s="1"/>
  <c r="E17" i="36" s="1"/>
  <c r="E18" i="36" s="1"/>
  <c r="E19" i="36" s="1"/>
  <c r="E20" i="36" s="1"/>
  <c r="E21" i="36" s="1"/>
  <c r="E22" i="36" s="1"/>
  <c r="E7" i="36"/>
  <c r="F8" i="36"/>
  <c r="F9" i="36" s="1"/>
  <c r="F10" i="36" s="1"/>
  <c r="F11" i="36" s="1"/>
  <c r="F12" i="36" s="1"/>
  <c r="F13" i="36" s="1"/>
  <c r="F14" i="36" s="1"/>
  <c r="F15" i="36" s="1"/>
  <c r="F16" i="36" s="1"/>
  <c r="F17" i="36" s="1"/>
  <c r="F18" i="36" s="1"/>
  <c r="F19" i="36" s="1"/>
  <c r="F20" i="36" s="1"/>
  <c r="F21" i="36" s="1"/>
  <c r="F22" i="36" s="1"/>
  <c r="F7" i="36"/>
  <c r="C14" i="36"/>
  <c r="E21" i="33"/>
  <c r="E39" i="33" s="1"/>
  <c r="E7" i="33"/>
  <c r="D18" i="33"/>
  <c r="D54" i="33"/>
  <c r="D4" i="33"/>
  <c r="C24" i="33"/>
  <c r="C60" i="33"/>
  <c r="C10" i="33"/>
  <c r="D16" i="33"/>
  <c r="D30" i="33"/>
  <c r="D66" i="33"/>
  <c r="D33" i="33"/>
  <c r="D69" i="33"/>
  <c r="D55" i="33"/>
  <c r="D19" i="33"/>
  <c r="D5" i="33"/>
  <c r="D57" i="33"/>
  <c r="D7" i="33"/>
  <c r="D21" i="33"/>
  <c r="D10" i="33"/>
  <c r="D24" i="33"/>
  <c r="D60" i="33"/>
  <c r="D26" i="33"/>
  <c r="D62" i="33"/>
  <c r="D12" i="33"/>
  <c r="C15" i="33"/>
  <c r="C29" i="33"/>
  <c r="C65" i="33"/>
  <c r="D68" i="33"/>
  <c r="D32" i="33"/>
  <c r="D28" i="33"/>
  <c r="D64" i="33"/>
  <c r="D14" i="33"/>
  <c r="C6" i="36"/>
  <c r="A52" i="57" s="1"/>
  <c r="C54" i="33"/>
  <c r="C4" i="33"/>
  <c r="C18" i="33"/>
  <c r="D71" i="33"/>
  <c r="D35" i="33"/>
  <c r="C9" i="36"/>
  <c r="A55" i="57" s="1"/>
  <c r="C57" i="33"/>
  <c r="C21" i="33"/>
  <c r="C7" i="33"/>
  <c r="C12" i="33"/>
  <c r="C62" i="33"/>
  <c r="C26" i="33"/>
  <c r="D58" i="33"/>
  <c r="D8" i="33"/>
  <c r="D22" i="33"/>
  <c r="D29" i="33"/>
  <c r="D65" i="33"/>
  <c r="D15" i="33"/>
  <c r="C68" i="33"/>
  <c r="C32" i="33"/>
  <c r="D23" i="33"/>
  <c r="D59" i="33"/>
  <c r="D9" i="33"/>
  <c r="D14" i="36"/>
  <c r="D72" i="46" s="1"/>
  <c r="D61" i="33"/>
  <c r="D11" i="33"/>
  <c r="D25" i="33"/>
  <c r="C64" i="33"/>
  <c r="C14" i="33"/>
  <c r="C28" i="33"/>
  <c r="C30" i="33"/>
  <c r="C66" i="33"/>
  <c r="C16" i="33"/>
  <c r="D31" i="33"/>
  <c r="D67" i="33"/>
  <c r="D17" i="33"/>
  <c r="C20" i="36"/>
  <c r="A66" i="57" s="1"/>
  <c r="D34" i="33"/>
  <c r="D70" i="33"/>
  <c r="A60" i="57" l="1"/>
  <c r="D103" i="46"/>
  <c r="E85" i="46"/>
  <c r="D106" i="46"/>
  <c r="E88" i="46"/>
  <c r="E81" i="46"/>
  <c r="D99" i="46"/>
  <c r="E82" i="46"/>
  <c r="D100" i="46"/>
  <c r="D90" i="46"/>
  <c r="E72" i="46"/>
  <c r="D104" i="46"/>
  <c r="E86" i="46"/>
  <c r="D114" i="46"/>
  <c r="E96" i="46"/>
  <c r="D110" i="46"/>
  <c r="E92" i="46"/>
  <c r="D113" i="46"/>
  <c r="E95" i="46"/>
  <c r="E84" i="46"/>
  <c r="D102" i="46"/>
  <c r="D109" i="46"/>
  <c r="E91" i="46"/>
  <c r="D11" i="34"/>
  <c r="D41" i="34"/>
  <c r="D15" i="34"/>
  <c r="D8" i="34"/>
  <c r="C12" i="34"/>
  <c r="C4" i="34"/>
  <c r="D46" i="34"/>
  <c r="C47" i="34"/>
  <c r="D44" i="34"/>
  <c r="D10" i="34"/>
  <c r="D5" i="34"/>
  <c r="C10" i="34"/>
  <c r="D36" i="34"/>
  <c r="C16" i="34"/>
  <c r="C14" i="34"/>
  <c r="D43" i="34"/>
  <c r="D47" i="34"/>
  <c r="D40" i="34"/>
  <c r="C7" i="34"/>
  <c r="C36" i="34"/>
  <c r="D48" i="34"/>
  <c r="C42" i="34"/>
  <c r="D17" i="34"/>
  <c r="C48" i="34"/>
  <c r="C46" i="34"/>
  <c r="D53" i="34"/>
  <c r="C15" i="34"/>
  <c r="D42" i="34"/>
  <c r="D7" i="34"/>
  <c r="D37" i="34"/>
  <c r="D52" i="34"/>
  <c r="D49" i="34"/>
  <c r="D9" i="34"/>
  <c r="C50" i="34"/>
  <c r="C44" i="34"/>
  <c r="C39" i="34"/>
  <c r="D14" i="34"/>
  <c r="D50" i="34"/>
  <c r="D12" i="34"/>
  <c r="D39" i="34"/>
  <c r="D51" i="34"/>
  <c r="D16" i="34"/>
  <c r="D4" i="34"/>
  <c r="D34" i="34"/>
  <c r="D52" i="33"/>
  <c r="D31" i="34"/>
  <c r="D49" i="33"/>
  <c r="C28" i="34"/>
  <c r="C46" i="33"/>
  <c r="D33" i="34"/>
  <c r="D51" i="33"/>
  <c r="D23" i="34"/>
  <c r="D41" i="33"/>
  <c r="D35" i="34"/>
  <c r="D53" i="33"/>
  <c r="D28" i="34"/>
  <c r="D46" i="33"/>
  <c r="C29" i="34"/>
  <c r="C47" i="33"/>
  <c r="D26" i="34"/>
  <c r="D44" i="33"/>
  <c r="D21" i="34"/>
  <c r="D39" i="33"/>
  <c r="D19" i="34"/>
  <c r="D37" i="33"/>
  <c r="D18" i="34"/>
  <c r="D36" i="33"/>
  <c r="C32" i="34"/>
  <c r="C50" i="33"/>
  <c r="D29" i="34"/>
  <c r="D47" i="33"/>
  <c r="C26" i="34"/>
  <c r="C44" i="33"/>
  <c r="C21" i="34"/>
  <c r="C39" i="33"/>
  <c r="D32" i="34"/>
  <c r="D50" i="33"/>
  <c r="D30" i="34"/>
  <c r="D48" i="33"/>
  <c r="C24" i="34"/>
  <c r="C42" i="33"/>
  <c r="C30" i="34"/>
  <c r="C48" i="33"/>
  <c r="D25" i="34"/>
  <c r="D43" i="33"/>
  <c r="D22" i="34"/>
  <c r="D40" i="33"/>
  <c r="C18" i="34"/>
  <c r="C36" i="33"/>
  <c r="D24" i="34"/>
  <c r="D42" i="33"/>
  <c r="F17" i="34"/>
  <c r="F18" i="34" s="1"/>
  <c r="F19" i="34" s="1"/>
  <c r="G17" i="34"/>
  <c r="G18" i="34" s="1"/>
  <c r="G19" i="34" s="1"/>
  <c r="F21" i="33"/>
  <c r="F22" i="33" s="1"/>
  <c r="F23" i="33" s="1"/>
  <c r="F24" i="33" s="1"/>
  <c r="F25" i="33" s="1"/>
  <c r="F26" i="33" s="1"/>
  <c r="F27" i="33" s="1"/>
  <c r="F28" i="33" s="1"/>
  <c r="F29" i="33" s="1"/>
  <c r="F30" i="33" s="1"/>
  <c r="F31" i="33" s="1"/>
  <c r="F32" i="33" s="1"/>
  <c r="F33" i="33" s="1"/>
  <c r="F34" i="33" s="1"/>
  <c r="F35" i="33" s="1"/>
  <c r="F20" i="33"/>
  <c r="C10" i="36"/>
  <c r="A56" i="57" s="1"/>
  <c r="G37" i="34"/>
  <c r="E22" i="33"/>
  <c r="E40" i="33" s="1"/>
  <c r="E8" i="33"/>
  <c r="C61" i="33"/>
  <c r="C11" i="33"/>
  <c r="C25" i="33"/>
  <c r="C69" i="33"/>
  <c r="C33" i="33"/>
  <c r="C21" i="36"/>
  <c r="A67" i="57" s="1"/>
  <c r="C19" i="33"/>
  <c r="C55" i="33"/>
  <c r="C5" i="33"/>
  <c r="C58" i="33"/>
  <c r="C8" i="33"/>
  <c r="C22" i="33"/>
  <c r="D63" i="33"/>
  <c r="D13" i="33"/>
  <c r="D27" i="33"/>
  <c r="E100" i="46" l="1"/>
  <c r="D116" i="46"/>
  <c r="E116" i="46" s="1"/>
  <c r="D126" i="46"/>
  <c r="E126" i="46" s="1"/>
  <c r="E110" i="46"/>
  <c r="D120" i="46"/>
  <c r="E120" i="46" s="1"/>
  <c r="E104" i="46"/>
  <c r="D122" i="46"/>
  <c r="E122" i="46" s="1"/>
  <c r="E106" i="46"/>
  <c r="D118" i="46"/>
  <c r="E118" i="46" s="1"/>
  <c r="E102" i="46"/>
  <c r="D115" i="46"/>
  <c r="E115" i="46" s="1"/>
  <c r="E99" i="46"/>
  <c r="D125" i="46"/>
  <c r="E125" i="46" s="1"/>
  <c r="E109" i="46"/>
  <c r="D129" i="46"/>
  <c r="E129" i="46" s="1"/>
  <c r="E113" i="46"/>
  <c r="D130" i="46"/>
  <c r="E130" i="46" s="1"/>
  <c r="E114" i="46"/>
  <c r="D108" i="46"/>
  <c r="E90" i="46"/>
  <c r="D119" i="46"/>
  <c r="E119" i="46" s="1"/>
  <c r="E103" i="46"/>
  <c r="C8" i="34"/>
  <c r="C40" i="34"/>
  <c r="C11" i="34"/>
  <c r="D13" i="34"/>
  <c r="D45" i="34"/>
  <c r="C5" i="34"/>
  <c r="C43" i="34"/>
  <c r="C37" i="34"/>
  <c r="C51" i="34"/>
  <c r="C23" i="33"/>
  <c r="C41" i="33" s="1"/>
  <c r="C22" i="34"/>
  <c r="C40" i="33"/>
  <c r="C33" i="34"/>
  <c r="C51" i="33"/>
  <c r="D27" i="34"/>
  <c r="D45" i="33"/>
  <c r="C19" i="34"/>
  <c r="C37" i="33"/>
  <c r="C25" i="34"/>
  <c r="C43" i="33"/>
  <c r="G39" i="34"/>
  <c r="G40" i="34" s="1"/>
  <c r="G41" i="34" s="1"/>
  <c r="G42" i="34" s="1"/>
  <c r="G43" i="34" s="1"/>
  <c r="G44" i="34" s="1"/>
  <c r="G45" i="34" s="1"/>
  <c r="G46" i="34" s="1"/>
  <c r="G47" i="34" s="1"/>
  <c r="G48" i="34" s="1"/>
  <c r="G49" i="34" s="1"/>
  <c r="G50" i="34" s="1"/>
  <c r="G51" i="34" s="1"/>
  <c r="G52" i="34" s="1"/>
  <c r="G53" i="34" s="1"/>
  <c r="G38" i="34"/>
  <c r="G21" i="34"/>
  <c r="G22" i="34" s="1"/>
  <c r="G23" i="34" s="1"/>
  <c r="G24" i="34" s="1"/>
  <c r="G25" i="34" s="1"/>
  <c r="G26" i="34" s="1"/>
  <c r="G27" i="34" s="1"/>
  <c r="G28" i="34" s="1"/>
  <c r="G29" i="34" s="1"/>
  <c r="G30" i="34" s="1"/>
  <c r="G31" i="34" s="1"/>
  <c r="G32" i="34" s="1"/>
  <c r="G33" i="34" s="1"/>
  <c r="G34" i="34" s="1"/>
  <c r="G35" i="34" s="1"/>
  <c r="G20" i="34"/>
  <c r="F21" i="34"/>
  <c r="F22" i="34" s="1"/>
  <c r="F23" i="34" s="1"/>
  <c r="F24" i="34" s="1"/>
  <c r="F25" i="34" s="1"/>
  <c r="F26" i="34" s="1"/>
  <c r="F27" i="34" s="1"/>
  <c r="F28" i="34" s="1"/>
  <c r="F29" i="34" s="1"/>
  <c r="F30" i="34" s="1"/>
  <c r="F31" i="34" s="1"/>
  <c r="F32" i="34" s="1"/>
  <c r="F33" i="34" s="1"/>
  <c r="F34" i="34" s="1"/>
  <c r="F35" i="34" s="1"/>
  <c r="F20" i="34"/>
  <c r="C9" i="33"/>
  <c r="C59" i="33"/>
  <c r="E23" i="33"/>
  <c r="E41" i="33" s="1"/>
  <c r="E9" i="33"/>
  <c r="C63" i="33"/>
  <c r="C27" i="33"/>
  <c r="C13" i="33"/>
  <c r="C67" i="33"/>
  <c r="C17" i="33"/>
  <c r="C31" i="33"/>
  <c r="C22" i="36"/>
  <c r="A68" i="57" s="1"/>
  <c r="C34" i="33"/>
  <c r="C70" i="33"/>
  <c r="E108" i="46" l="1"/>
  <c r="D124" i="46"/>
  <c r="E124" i="46" s="1"/>
  <c r="C52" i="34"/>
  <c r="C9" i="34"/>
  <c r="C49" i="34"/>
  <c r="C13" i="34"/>
  <c r="C23" i="34"/>
  <c r="C45" i="34"/>
  <c r="C41" i="34"/>
  <c r="C17" i="34"/>
  <c r="C31" i="34"/>
  <c r="C49" i="33"/>
  <c r="C27" i="34"/>
  <c r="C45" i="33"/>
  <c r="C34" i="34"/>
  <c r="C52" i="33"/>
  <c r="E24" i="33"/>
  <c r="E10" i="33"/>
  <c r="E11" i="33" s="1"/>
  <c r="E12" i="33" s="1"/>
  <c r="E13" i="33" s="1"/>
  <c r="E14" i="33" s="1"/>
  <c r="E15" i="33" s="1"/>
  <c r="E16" i="33" s="1"/>
  <c r="E17" i="33" s="1"/>
  <c r="C71" i="33"/>
  <c r="C35" i="33"/>
  <c r="C53" i="34" l="1"/>
  <c r="D57" i="36"/>
  <c r="D61" i="36"/>
  <c r="D54" i="36"/>
  <c r="D55" i="36"/>
  <c r="D64" i="36"/>
  <c r="D50" i="36"/>
  <c r="D65" i="36"/>
  <c r="D53" i="36"/>
  <c r="D51" i="36"/>
  <c r="D60" i="36"/>
  <c r="E25" i="33"/>
  <c r="E42" i="33"/>
  <c r="C35" i="34"/>
  <c r="C53" i="33"/>
  <c r="E51" i="36" l="1"/>
  <c r="D67" i="36"/>
  <c r="D92" i="34"/>
  <c r="D94" i="34"/>
  <c r="D69" i="36"/>
  <c r="E53" i="36"/>
  <c r="E61" i="36"/>
  <c r="D102" i="34"/>
  <c r="D77" i="36"/>
  <c r="E50" i="36"/>
  <c r="D66" i="36"/>
  <c r="D91" i="34"/>
  <c r="E60" i="36"/>
  <c r="D101" i="34"/>
  <c r="D76" i="36"/>
  <c r="D59" i="36"/>
  <c r="E65" i="36"/>
  <c r="D106" i="34"/>
  <c r="D81" i="36"/>
  <c r="E64" i="36"/>
  <c r="D80" i="36"/>
  <c r="D105" i="34"/>
  <c r="D95" i="34"/>
  <c r="E54" i="36"/>
  <c r="D70" i="36"/>
  <c r="E57" i="36"/>
  <c r="D98" i="34"/>
  <c r="D73" i="36"/>
  <c r="E55" i="36"/>
  <c r="D96" i="34"/>
  <c r="D71" i="36"/>
  <c r="E26" i="33"/>
  <c r="E43" i="33"/>
  <c r="E71" i="36" l="1"/>
  <c r="D161" i="34"/>
  <c r="D211" i="33"/>
  <c r="E211" i="33" s="1"/>
  <c r="E76" i="36"/>
  <c r="D166" i="34"/>
  <c r="D216" i="33"/>
  <c r="E216" i="33" s="1"/>
  <c r="E66" i="36"/>
  <c r="D206" i="33"/>
  <c r="E206" i="33" s="1"/>
  <c r="D156" i="34"/>
  <c r="H71" i="36"/>
  <c r="H55" i="36"/>
  <c r="H177" i="34"/>
  <c r="F54" i="45" s="1"/>
  <c r="H161" i="34"/>
  <c r="F53" i="45" s="1"/>
  <c r="E70" i="36"/>
  <c r="D210" i="33"/>
  <c r="E210" i="33" s="1"/>
  <c r="D160" i="34"/>
  <c r="E80" i="36"/>
  <c r="D170" i="34"/>
  <c r="D220" i="33"/>
  <c r="E220" i="33" s="1"/>
  <c r="E67" i="36"/>
  <c r="D157" i="34"/>
  <c r="D207" i="33"/>
  <c r="E207" i="33" s="1"/>
  <c r="E81" i="36"/>
  <c r="D171" i="34"/>
  <c r="D221" i="33"/>
  <c r="E221" i="33" s="1"/>
  <c r="E73" i="36"/>
  <c r="D163" i="34"/>
  <c r="D213" i="33"/>
  <c r="E213" i="33" s="1"/>
  <c r="E77" i="36"/>
  <c r="D167" i="34"/>
  <c r="D217" i="33"/>
  <c r="E217" i="33" s="1"/>
  <c r="E69" i="36"/>
  <c r="D159" i="34"/>
  <c r="D209" i="33"/>
  <c r="E209" i="33" s="1"/>
  <c r="D111" i="34"/>
  <c r="E111" i="34" s="1"/>
  <c r="E95" i="34"/>
  <c r="D107" i="34"/>
  <c r="E107" i="34" s="1"/>
  <c r="E91" i="34"/>
  <c r="D118" i="34"/>
  <c r="E118" i="34" s="1"/>
  <c r="E102" i="34"/>
  <c r="E94" i="34"/>
  <c r="D110" i="34"/>
  <c r="E110" i="34" s="1"/>
  <c r="D112" i="34"/>
  <c r="E112" i="34" s="1"/>
  <c r="E96" i="34"/>
  <c r="E105" i="34"/>
  <c r="D121" i="34"/>
  <c r="E121" i="34" s="1"/>
  <c r="D122" i="34"/>
  <c r="E122" i="34" s="1"/>
  <c r="E106" i="34"/>
  <c r="D108" i="34"/>
  <c r="E108" i="34" s="1"/>
  <c r="E92" i="34"/>
  <c r="D75" i="36"/>
  <c r="E59" i="36"/>
  <c r="D100" i="34"/>
  <c r="D114" i="34"/>
  <c r="E114" i="34" s="1"/>
  <c r="E98" i="34"/>
  <c r="E101" i="34"/>
  <c r="D117" i="34"/>
  <c r="E117" i="34" s="1"/>
  <c r="E27" i="33"/>
  <c r="E44" i="33"/>
  <c r="F17" i="45" l="1"/>
  <c r="H14" i="45"/>
  <c r="G22" i="45"/>
  <c r="F13" i="45"/>
  <c r="F23" i="45"/>
  <c r="F25" i="45"/>
  <c r="H22" i="45"/>
  <c r="F14" i="45"/>
  <c r="F8" i="45"/>
  <c r="F21" i="45"/>
  <c r="H7" i="45"/>
  <c r="F22" i="45"/>
  <c r="G7" i="45"/>
  <c r="F10" i="45"/>
  <c r="F7" i="45"/>
  <c r="G14" i="45"/>
  <c r="F15" i="45"/>
  <c r="F6" i="45"/>
  <c r="F52" i="45"/>
  <c r="F67" i="45" s="1"/>
  <c r="F18" i="45"/>
  <c r="F26" i="45"/>
  <c r="E171" i="34"/>
  <c r="D187" i="34"/>
  <c r="E187" i="34" s="1"/>
  <c r="D176" i="34"/>
  <c r="E176" i="34" s="1"/>
  <c r="E160" i="34"/>
  <c r="E75" i="36"/>
  <c r="D165" i="34"/>
  <c r="D215" i="33"/>
  <c r="E215" i="33" s="1"/>
  <c r="D179" i="34"/>
  <c r="E179" i="34" s="1"/>
  <c r="E163" i="34"/>
  <c r="H96" i="34"/>
  <c r="F45" i="45" s="1"/>
  <c r="H137" i="34"/>
  <c r="H141" i="34"/>
  <c r="I71" i="36"/>
  <c r="I55" i="36"/>
  <c r="I161" i="34"/>
  <c r="G53" i="45" s="1"/>
  <c r="I177" i="34"/>
  <c r="G54" i="45" s="1"/>
  <c r="D183" i="34"/>
  <c r="E183" i="34" s="1"/>
  <c r="E167" i="34"/>
  <c r="E170" i="34"/>
  <c r="D186" i="34"/>
  <c r="E186" i="34" s="1"/>
  <c r="H112" i="34"/>
  <c r="F47" i="45" s="1"/>
  <c r="H138" i="34"/>
  <c r="H142" i="34"/>
  <c r="D177" i="34"/>
  <c r="E177" i="34" s="1"/>
  <c r="E161" i="34"/>
  <c r="D175" i="34"/>
  <c r="E175" i="34" s="1"/>
  <c r="E159" i="34"/>
  <c r="E157" i="34"/>
  <c r="D173" i="34"/>
  <c r="E173" i="34" s="1"/>
  <c r="D172" i="34"/>
  <c r="E172" i="34" s="1"/>
  <c r="E156" i="34"/>
  <c r="E166" i="34"/>
  <c r="D182" i="34"/>
  <c r="E182" i="34" s="1"/>
  <c r="D116" i="34"/>
  <c r="E116" i="34" s="1"/>
  <c r="E100" i="34"/>
  <c r="E28" i="33"/>
  <c r="E45" i="33"/>
  <c r="F51" i="45" l="1"/>
  <c r="G25" i="45"/>
  <c r="I22" i="45"/>
  <c r="G8" i="45"/>
  <c r="G13" i="45"/>
  <c r="G18" i="45"/>
  <c r="G17" i="45"/>
  <c r="G6" i="45"/>
  <c r="I14" i="45"/>
  <c r="G15" i="45"/>
  <c r="G23" i="45"/>
  <c r="G26" i="45"/>
  <c r="G10" i="45"/>
  <c r="G21" i="45"/>
  <c r="I7" i="45"/>
  <c r="G52" i="45"/>
  <c r="G67" i="45" s="1"/>
  <c r="F50" i="45"/>
  <c r="F43" i="45"/>
  <c r="F65" i="45" s="1"/>
  <c r="I96" i="34"/>
  <c r="G45" i="45" s="1"/>
  <c r="I141" i="34"/>
  <c r="I137" i="34"/>
  <c r="D181" i="34"/>
  <c r="E181" i="34" s="1"/>
  <c r="E165" i="34"/>
  <c r="J71" i="36"/>
  <c r="J55" i="36"/>
  <c r="J161" i="34"/>
  <c r="H53" i="45" s="1"/>
  <c r="J177" i="34"/>
  <c r="H54" i="45" s="1"/>
  <c r="I112" i="34"/>
  <c r="G47" i="45" s="1"/>
  <c r="I138" i="34"/>
  <c r="I142" i="34"/>
  <c r="E29" i="33"/>
  <c r="E46" i="33"/>
  <c r="G51" i="45" l="1"/>
  <c r="H26" i="45"/>
  <c r="H17" i="45"/>
  <c r="H15" i="45"/>
  <c r="H13" i="45"/>
  <c r="H18" i="45"/>
  <c r="H6" i="45"/>
  <c r="H10" i="45"/>
  <c r="H8" i="45"/>
  <c r="J14" i="45"/>
  <c r="H21" i="45"/>
  <c r="J22" i="45"/>
  <c r="H25" i="45"/>
  <c r="H23" i="45"/>
  <c r="J7" i="45"/>
  <c r="F49" i="45"/>
  <c r="F66" i="45" s="1"/>
  <c r="F72" i="45" s="1"/>
  <c r="G43" i="45"/>
  <c r="G65" i="45" s="1"/>
  <c r="H52" i="45"/>
  <c r="H67" i="45" s="1"/>
  <c r="G50" i="45"/>
  <c r="J96" i="34"/>
  <c r="H45" i="45" s="1"/>
  <c r="J137" i="34"/>
  <c r="J141" i="34"/>
  <c r="J112" i="34"/>
  <c r="H47" i="45" s="1"/>
  <c r="J142" i="34"/>
  <c r="J138" i="34"/>
  <c r="K71" i="36"/>
  <c r="K55" i="36"/>
  <c r="K177" i="34"/>
  <c r="I54" i="45" s="1"/>
  <c r="K161" i="34"/>
  <c r="I53" i="45" s="1"/>
  <c r="E30" i="33"/>
  <c r="E47" i="33"/>
  <c r="H51" i="45" l="1"/>
  <c r="H43" i="45"/>
  <c r="H65" i="45" s="1"/>
  <c r="G49" i="45"/>
  <c r="G66" i="45" s="1"/>
  <c r="G72" i="45" s="1"/>
  <c r="I26" i="45"/>
  <c r="I21" i="45"/>
  <c r="I6" i="45"/>
  <c r="K7" i="45"/>
  <c r="I8" i="45"/>
  <c r="I10" i="45"/>
  <c r="I23" i="45"/>
  <c r="I25" i="45"/>
  <c r="I15" i="45"/>
  <c r="I17" i="45"/>
  <c r="K22" i="45"/>
  <c r="I13" i="45"/>
  <c r="K14" i="45"/>
  <c r="I18" i="45"/>
  <c r="I52" i="45"/>
  <c r="I67" i="45" s="1"/>
  <c r="H50" i="45"/>
  <c r="L71" i="36"/>
  <c r="L55" i="36"/>
  <c r="L177" i="34"/>
  <c r="J54" i="45" s="1"/>
  <c r="L161" i="34"/>
  <c r="J53" i="45" s="1"/>
  <c r="K112" i="34"/>
  <c r="I47" i="45" s="1"/>
  <c r="K142" i="34"/>
  <c r="K138" i="34"/>
  <c r="K96" i="34"/>
  <c r="I45" i="45" s="1"/>
  <c r="K141" i="34"/>
  <c r="K137" i="34"/>
  <c r="E31" i="33"/>
  <c r="E48" i="33"/>
  <c r="I51" i="45" l="1"/>
  <c r="J15" i="45"/>
  <c r="J13" i="45"/>
  <c r="L22" i="45"/>
  <c r="J8" i="45"/>
  <c r="I50" i="45"/>
  <c r="J26" i="45"/>
  <c r="J6" i="45"/>
  <c r="J10" i="45"/>
  <c r="J23" i="45"/>
  <c r="L7" i="45"/>
  <c r="J17" i="45"/>
  <c r="J18" i="45"/>
  <c r="J25" i="45"/>
  <c r="L14" i="45"/>
  <c r="J21" i="45"/>
  <c r="H49" i="45"/>
  <c r="H66" i="45" s="1"/>
  <c r="H72" i="45" s="1"/>
  <c r="I43" i="45"/>
  <c r="I65" i="45" s="1"/>
  <c r="J52" i="45"/>
  <c r="J67" i="45" s="1"/>
  <c r="M71" i="36"/>
  <c r="M55" i="36"/>
  <c r="M177" i="34"/>
  <c r="K54" i="45" s="1"/>
  <c r="M161" i="34"/>
  <c r="K53" i="45" s="1"/>
  <c r="L96" i="34"/>
  <c r="J45" i="45" s="1"/>
  <c r="L137" i="34"/>
  <c r="L141" i="34"/>
  <c r="L112" i="34"/>
  <c r="J47" i="45" s="1"/>
  <c r="L138" i="34"/>
  <c r="L142" i="34"/>
  <c r="E32" i="33"/>
  <c r="E49" i="33"/>
  <c r="J51" i="45" l="1"/>
  <c r="I49" i="45"/>
  <c r="I66" i="45" s="1"/>
  <c r="I72" i="45" s="1"/>
  <c r="K10" i="45"/>
  <c r="K26" i="45"/>
  <c r="K21" i="45"/>
  <c r="K8" i="45"/>
  <c r="M7" i="45"/>
  <c r="K6" i="45"/>
  <c r="M14" i="45"/>
  <c r="K17" i="45"/>
  <c r="K15" i="45"/>
  <c r="M22" i="45"/>
  <c r="K25" i="45"/>
  <c r="K23" i="45"/>
  <c r="K18" i="45"/>
  <c r="K13" i="45"/>
  <c r="J50" i="45"/>
  <c r="J43" i="45"/>
  <c r="J65" i="45" s="1"/>
  <c r="K52" i="45"/>
  <c r="K67" i="45" s="1"/>
  <c r="M96" i="34"/>
  <c r="K45" i="45" s="1"/>
  <c r="M137" i="34"/>
  <c r="M141" i="34"/>
  <c r="N55" i="36"/>
  <c r="N71" i="36"/>
  <c r="N177" i="34"/>
  <c r="L54" i="45" s="1"/>
  <c r="N161" i="34"/>
  <c r="L53" i="45" s="1"/>
  <c r="M112" i="34"/>
  <c r="K47" i="45" s="1"/>
  <c r="M142" i="34"/>
  <c r="M138" i="34"/>
  <c r="E33" i="33"/>
  <c r="E50" i="33"/>
  <c r="K51" i="45" l="1"/>
  <c r="L10" i="45"/>
  <c r="L8" i="45"/>
  <c r="N14" i="45"/>
  <c r="L26" i="45"/>
  <c r="L23" i="45"/>
  <c r="N22" i="45"/>
  <c r="L21" i="45"/>
  <c r="L17" i="45"/>
  <c r="L25" i="45"/>
  <c r="L6" i="45"/>
  <c r="L15" i="45"/>
  <c r="N7" i="45"/>
  <c r="L13" i="45"/>
  <c r="L18" i="45"/>
  <c r="L52" i="45"/>
  <c r="L67" i="45" s="1"/>
  <c r="J49" i="45"/>
  <c r="J66" i="45" s="1"/>
  <c r="J72" i="45" s="1"/>
  <c r="K43" i="45"/>
  <c r="K65" i="45" s="1"/>
  <c r="K50" i="45"/>
  <c r="O71" i="36"/>
  <c r="O55" i="36"/>
  <c r="O161" i="34"/>
  <c r="M53" i="45" s="1"/>
  <c r="O177" i="34"/>
  <c r="M54" i="45" s="1"/>
  <c r="N112" i="34"/>
  <c r="L47" i="45" s="1"/>
  <c r="N138" i="34"/>
  <c r="N142" i="34"/>
  <c r="N96" i="34"/>
  <c r="L45" i="45" s="1"/>
  <c r="N137" i="34"/>
  <c r="N141" i="34"/>
  <c r="E34" i="33"/>
  <c r="E51" i="33"/>
  <c r="L51" i="45" l="1"/>
  <c r="L50" i="45"/>
  <c r="M21" i="45"/>
  <c r="M23" i="45"/>
  <c r="M26" i="45"/>
  <c r="O22" i="45"/>
  <c r="L43" i="45"/>
  <c r="L65" i="45" s="1"/>
  <c r="M15" i="45"/>
  <c r="M18" i="45"/>
  <c r="M25" i="45"/>
  <c r="O7" i="45"/>
  <c r="M13" i="45"/>
  <c r="M10" i="45"/>
  <c r="M8" i="45"/>
  <c r="M6" i="45"/>
  <c r="M17" i="45"/>
  <c r="O14" i="45"/>
  <c r="M52" i="45"/>
  <c r="M67" i="45" s="1"/>
  <c r="K49" i="45"/>
  <c r="K66" i="45" s="1"/>
  <c r="K72" i="45" s="1"/>
  <c r="O96" i="34"/>
  <c r="M45" i="45" s="1"/>
  <c r="O141" i="34"/>
  <c r="O137" i="34"/>
  <c r="O112" i="34"/>
  <c r="M47" i="45" s="1"/>
  <c r="O138" i="34"/>
  <c r="O142" i="34"/>
  <c r="P71" i="36"/>
  <c r="P55" i="36"/>
  <c r="P177" i="34"/>
  <c r="N54" i="45" s="1"/>
  <c r="P161" i="34"/>
  <c r="N53" i="45" s="1"/>
  <c r="E35" i="33"/>
  <c r="E52" i="33"/>
  <c r="M51" i="45" l="1"/>
  <c r="L49" i="45"/>
  <c r="L66" i="45" s="1"/>
  <c r="L72" i="45" s="1"/>
  <c r="N13" i="45"/>
  <c r="P14" i="45"/>
  <c r="N6" i="45"/>
  <c r="N17" i="45"/>
  <c r="N8" i="45"/>
  <c r="N15" i="45"/>
  <c r="P7" i="45"/>
  <c r="N21" i="45"/>
  <c r="N25" i="45"/>
  <c r="N23" i="45"/>
  <c r="N18" i="45"/>
  <c r="P22" i="45"/>
  <c r="N26" i="45"/>
  <c r="N10" i="45"/>
  <c r="M50" i="45"/>
  <c r="N52" i="45"/>
  <c r="N67" i="45" s="1"/>
  <c r="M43" i="45"/>
  <c r="M65" i="45" s="1"/>
  <c r="Q71" i="36"/>
  <c r="Q55" i="36"/>
  <c r="Q161" i="34"/>
  <c r="O53" i="45" s="1"/>
  <c r="Q177" i="34"/>
  <c r="O54" i="45" s="1"/>
  <c r="P96" i="34"/>
  <c r="N45" i="45" s="1"/>
  <c r="P137" i="34"/>
  <c r="P141" i="34"/>
  <c r="P112" i="34"/>
  <c r="N47" i="45" s="1"/>
  <c r="P138" i="34"/>
  <c r="P142" i="34"/>
  <c r="E54" i="33"/>
  <c r="E55" i="33" s="1"/>
  <c r="E56" i="33" s="1"/>
  <c r="E53" i="33"/>
  <c r="N51" i="45" l="1"/>
  <c r="O15" i="45"/>
  <c r="O18" i="45"/>
  <c r="O8" i="45"/>
  <c r="O26" i="45"/>
  <c r="Q7" i="45"/>
  <c r="O25" i="45"/>
  <c r="O23" i="45"/>
  <c r="O13" i="45"/>
  <c r="Q14" i="45"/>
  <c r="O17" i="45"/>
  <c r="O21" i="45"/>
  <c r="Q22" i="45"/>
  <c r="O10" i="45"/>
  <c r="O6" i="45"/>
  <c r="M49" i="45"/>
  <c r="M66" i="45" s="1"/>
  <c r="M72" i="45" s="1"/>
  <c r="O52" i="45"/>
  <c r="O67" i="45" s="1"/>
  <c r="N50" i="45"/>
  <c r="N43" i="45"/>
  <c r="N65" i="45" s="1"/>
  <c r="Q96" i="34"/>
  <c r="O45" i="45" s="1"/>
  <c r="Q141" i="34"/>
  <c r="Q137" i="34"/>
  <c r="R71" i="36"/>
  <c r="R55" i="36"/>
  <c r="R177" i="34"/>
  <c r="P54" i="45" s="1"/>
  <c r="R161" i="34"/>
  <c r="P53" i="45" s="1"/>
  <c r="Q112" i="34"/>
  <c r="O47" i="45" s="1"/>
  <c r="Q142" i="34"/>
  <c r="Q138" i="34"/>
  <c r="O51" i="45" l="1"/>
  <c r="N49" i="45"/>
  <c r="N66" i="45" s="1"/>
  <c r="N72" i="45" s="1"/>
  <c r="P13" i="45"/>
  <c r="R14" i="45"/>
  <c r="P8" i="45"/>
  <c r="P6" i="45"/>
  <c r="P18" i="45"/>
  <c r="P17" i="45"/>
  <c r="R22" i="45"/>
  <c r="P23" i="45"/>
  <c r="P10" i="45"/>
  <c r="P21" i="45"/>
  <c r="P26" i="45"/>
  <c r="R7" i="45"/>
  <c r="P15" i="45"/>
  <c r="P25" i="45"/>
  <c r="O43" i="45"/>
  <c r="O65" i="45" s="1"/>
  <c r="P52" i="45"/>
  <c r="P67" i="45" s="1"/>
  <c r="O50" i="45"/>
  <c r="R112" i="34"/>
  <c r="P47" i="45" s="1"/>
  <c r="R142" i="34"/>
  <c r="R138" i="34"/>
  <c r="S71" i="36"/>
  <c r="S55" i="36"/>
  <c r="S177" i="34"/>
  <c r="Q54" i="45" s="1"/>
  <c r="S161" i="34"/>
  <c r="Q53" i="45" s="1"/>
  <c r="R96" i="34"/>
  <c r="P45" i="45" s="1"/>
  <c r="R137" i="34"/>
  <c r="R141" i="34"/>
  <c r="P51" i="45" l="1"/>
  <c r="S22" i="45"/>
  <c r="S7" i="45"/>
  <c r="Q18" i="45"/>
  <c r="Q6" i="45"/>
  <c r="Q10" i="45"/>
  <c r="Q26" i="45"/>
  <c r="Q21" i="45"/>
  <c r="Q17" i="45"/>
  <c r="Q8" i="45"/>
  <c r="O49" i="45"/>
  <c r="O66" i="45" s="1"/>
  <c r="O72" i="45" s="1"/>
  <c r="Q13" i="45"/>
  <c r="Q15" i="45"/>
  <c r="S14" i="45"/>
  <c r="Q25" i="45"/>
  <c r="Q23" i="45"/>
  <c r="P50" i="45"/>
  <c r="P43" i="45"/>
  <c r="P65" i="45" s="1"/>
  <c r="Q52" i="45"/>
  <c r="Q67" i="45" s="1"/>
  <c r="T55" i="36"/>
  <c r="T71" i="36"/>
  <c r="T161" i="34"/>
  <c r="R53" i="45" s="1"/>
  <c r="T177" i="34"/>
  <c r="R54" i="45" s="1"/>
  <c r="S96" i="34"/>
  <c r="Q45" i="45" s="1"/>
  <c r="S141" i="34"/>
  <c r="S137" i="34"/>
  <c r="S112" i="34"/>
  <c r="Q47" i="45" s="1"/>
  <c r="S138" i="34"/>
  <c r="S142" i="34"/>
  <c r="P49" i="45" l="1"/>
  <c r="P66" i="45" s="1"/>
  <c r="P72" i="45" s="1"/>
  <c r="Q51" i="45"/>
  <c r="R8" i="45"/>
  <c r="R23" i="45"/>
  <c r="T7" i="45"/>
  <c r="R21" i="45"/>
  <c r="R18" i="45"/>
  <c r="T22" i="45"/>
  <c r="R17" i="45"/>
  <c r="R15" i="45"/>
  <c r="R26" i="45"/>
  <c r="R10" i="45"/>
  <c r="R13" i="45"/>
  <c r="T14" i="45"/>
  <c r="R25" i="45"/>
  <c r="R6" i="45"/>
  <c r="Q50" i="45"/>
  <c r="R52" i="45"/>
  <c r="R67" i="45" s="1"/>
  <c r="Q43" i="45"/>
  <c r="Q65" i="45" s="1"/>
  <c r="T112" i="34"/>
  <c r="R47" i="45" s="1"/>
  <c r="T142" i="34"/>
  <c r="T138" i="34"/>
  <c r="U71" i="36"/>
  <c r="U55" i="36"/>
  <c r="U161" i="34"/>
  <c r="S53" i="45" s="1"/>
  <c r="U177" i="34"/>
  <c r="S54" i="45" s="1"/>
  <c r="T96" i="34"/>
  <c r="R45" i="45" s="1"/>
  <c r="T141" i="34"/>
  <c r="T137" i="34"/>
  <c r="R51" i="45" l="1"/>
  <c r="Q49" i="45"/>
  <c r="Q66" i="45" s="1"/>
  <c r="Q72" i="45" s="1"/>
  <c r="S13" i="45"/>
  <c r="S15" i="45"/>
  <c r="S26" i="45"/>
  <c r="S10" i="45"/>
  <c r="S23" i="45"/>
  <c r="U14" i="45"/>
  <c r="S8" i="45"/>
  <c r="S17" i="45"/>
  <c r="S21" i="45"/>
  <c r="S25" i="45"/>
  <c r="S6" i="45"/>
  <c r="U22" i="45"/>
  <c r="S18" i="45"/>
  <c r="U7" i="45"/>
  <c r="R43" i="45"/>
  <c r="R65" i="45" s="1"/>
  <c r="R50" i="45"/>
  <c r="S52" i="45"/>
  <c r="S67" i="45" s="1"/>
  <c r="U96" i="34"/>
  <c r="S45" i="45" s="1"/>
  <c r="U137" i="34"/>
  <c r="U141" i="34"/>
  <c r="V71" i="36"/>
  <c r="V55" i="36"/>
  <c r="V161" i="34"/>
  <c r="T53" i="45" s="1"/>
  <c r="V177" i="34"/>
  <c r="T54" i="45" s="1"/>
  <c r="U112" i="34"/>
  <c r="S47" i="45" s="1"/>
  <c r="U138" i="34"/>
  <c r="U142" i="34"/>
  <c r="S51" i="45" l="1"/>
  <c r="R49" i="45"/>
  <c r="R66" i="45" s="1"/>
  <c r="R72" i="45" s="1"/>
  <c r="T26" i="45"/>
  <c r="T6" i="45"/>
  <c r="T10" i="45"/>
  <c r="V22" i="45"/>
  <c r="T8" i="45"/>
  <c r="T18" i="45"/>
  <c r="T17" i="45"/>
  <c r="V14" i="45"/>
  <c r="T15" i="45"/>
  <c r="T13" i="45"/>
  <c r="T25" i="45"/>
  <c r="T23" i="45"/>
  <c r="T21" i="45"/>
  <c r="V7" i="45"/>
  <c r="S43" i="45"/>
  <c r="S65" i="45" s="1"/>
  <c r="T52" i="45"/>
  <c r="T67" i="45" s="1"/>
  <c r="S50" i="45"/>
  <c r="W71" i="36"/>
  <c r="W55" i="36"/>
  <c r="W177" i="34"/>
  <c r="U54" i="45" s="1"/>
  <c r="W161" i="34"/>
  <c r="U53" i="45" s="1"/>
  <c r="V112" i="34"/>
  <c r="T47" i="45" s="1"/>
  <c r="V142" i="34"/>
  <c r="V138" i="34"/>
  <c r="V96" i="34"/>
  <c r="T45" i="45" s="1"/>
  <c r="V137" i="34"/>
  <c r="V141" i="34"/>
  <c r="T51" i="45" l="1"/>
  <c r="W22" i="45"/>
  <c r="U23" i="45"/>
  <c r="U17" i="45"/>
  <c r="U18" i="45"/>
  <c r="U25" i="45"/>
  <c r="W14" i="45"/>
  <c r="U6" i="45"/>
  <c r="U15" i="45"/>
  <c r="U10" i="45"/>
  <c r="U26" i="45"/>
  <c r="U13" i="45"/>
  <c r="W7" i="45"/>
  <c r="U21" i="45"/>
  <c r="U8" i="45"/>
  <c r="U52" i="45"/>
  <c r="U67" i="45" s="1"/>
  <c r="S49" i="45"/>
  <c r="S66" i="45" s="1"/>
  <c r="S72" i="45" s="1"/>
  <c r="T50" i="45"/>
  <c r="T43" i="45"/>
  <c r="T65" i="45" s="1"/>
  <c r="X71" i="36"/>
  <c r="X55" i="36"/>
  <c r="X161" i="34"/>
  <c r="V53" i="45" s="1"/>
  <c r="X177" i="34"/>
  <c r="V54" i="45" s="1"/>
  <c r="W96" i="34"/>
  <c r="U45" i="45" s="1"/>
  <c r="W141" i="34"/>
  <c r="W137" i="34"/>
  <c r="W112" i="34"/>
  <c r="U47" i="45" s="1"/>
  <c r="W138" i="34"/>
  <c r="W142" i="34"/>
  <c r="E57" i="33"/>
  <c r="U51" i="45" l="1"/>
  <c r="T49" i="45"/>
  <c r="T66" i="45" s="1"/>
  <c r="T72" i="45" s="1"/>
  <c r="X14" i="45"/>
  <c r="V8" i="45"/>
  <c r="X7" i="45"/>
  <c r="V25" i="45"/>
  <c r="X22" i="45"/>
  <c r="V18" i="45"/>
  <c r="V10" i="45"/>
  <c r="V13" i="45"/>
  <c r="V17" i="45"/>
  <c r="V21" i="45"/>
  <c r="V23" i="45"/>
  <c r="V26" i="45"/>
  <c r="V15" i="45"/>
  <c r="V6" i="45"/>
  <c r="U50" i="45"/>
  <c r="V52" i="45"/>
  <c r="V67" i="45" s="1"/>
  <c r="U43" i="45"/>
  <c r="U65" i="45" s="1"/>
  <c r="Y71" i="36"/>
  <c r="Y55" i="36"/>
  <c r="Y161" i="34"/>
  <c r="W53" i="45" s="1"/>
  <c r="Y177" i="34"/>
  <c r="W54" i="45" s="1"/>
  <c r="X96" i="34"/>
  <c r="V45" i="45" s="1"/>
  <c r="X141" i="34"/>
  <c r="X137" i="34"/>
  <c r="X112" i="34"/>
  <c r="V47" i="45" s="1"/>
  <c r="X142" i="34"/>
  <c r="X138" i="34"/>
  <c r="E58" i="33"/>
  <c r="V51" i="45" l="1"/>
  <c r="W26" i="45"/>
  <c r="W8" i="45"/>
  <c r="W17" i="45"/>
  <c r="W13" i="45"/>
  <c r="W18" i="45"/>
  <c r="W15" i="45"/>
  <c r="W6" i="45"/>
  <c r="Y14" i="45"/>
  <c r="W10" i="45"/>
  <c r="Y7" i="45"/>
  <c r="Y22" i="45"/>
  <c r="W25" i="45"/>
  <c r="W23" i="45"/>
  <c r="W21" i="45"/>
  <c r="V50" i="45"/>
  <c r="U49" i="45"/>
  <c r="U66" i="45" s="1"/>
  <c r="U72" i="45" s="1"/>
  <c r="W52" i="45"/>
  <c r="W67" i="45" s="1"/>
  <c r="V43" i="45"/>
  <c r="V65" i="45" s="1"/>
  <c r="Z71" i="36"/>
  <c r="Z55" i="36"/>
  <c r="Z161" i="34"/>
  <c r="X53" i="45" s="1"/>
  <c r="Z177" i="34"/>
  <c r="X54" i="45" s="1"/>
  <c r="Y96" i="34"/>
  <c r="W45" i="45" s="1"/>
  <c r="Y141" i="34"/>
  <c r="Y137" i="34"/>
  <c r="Y112" i="34"/>
  <c r="W47" i="45" s="1"/>
  <c r="Y142" i="34"/>
  <c r="Y138" i="34"/>
  <c r="E59" i="33"/>
  <c r="W51" i="45" l="1"/>
  <c r="X13" i="45"/>
  <c r="Z22" i="45"/>
  <c r="X21" i="45"/>
  <c r="X15" i="45"/>
  <c r="Z14" i="45"/>
  <c r="X17" i="45"/>
  <c r="X8" i="45"/>
  <c r="V49" i="45"/>
  <c r="V66" i="45" s="1"/>
  <c r="V72" i="45" s="1"/>
  <c r="X18" i="45"/>
  <c r="X10" i="45"/>
  <c r="X26" i="45"/>
  <c r="X6" i="45"/>
  <c r="Z7" i="45"/>
  <c r="X25" i="45"/>
  <c r="X23" i="45"/>
  <c r="X52" i="45"/>
  <c r="X67" i="45" s="1"/>
  <c r="W50" i="45"/>
  <c r="W43" i="45"/>
  <c r="W65" i="45" s="1"/>
  <c r="AA71" i="36"/>
  <c r="AA55" i="36"/>
  <c r="AA161" i="34"/>
  <c r="Y53" i="45" s="1"/>
  <c r="AA177" i="34"/>
  <c r="Y54" i="45" s="1"/>
  <c r="Z96" i="34"/>
  <c r="X45" i="45" s="1"/>
  <c r="Z141" i="34"/>
  <c r="Z137" i="34"/>
  <c r="Z112" i="34"/>
  <c r="X47" i="45" s="1"/>
  <c r="Z142" i="34"/>
  <c r="Z138" i="34"/>
  <c r="E60" i="33"/>
  <c r="E61" i="33" s="1"/>
  <c r="E62" i="33" s="1"/>
  <c r="E63" i="33" s="1"/>
  <c r="E64" i="33" s="1"/>
  <c r="E65" i="33" s="1"/>
  <c r="E66" i="33" s="1"/>
  <c r="E67" i="33" s="1"/>
  <c r="E68" i="33" s="1"/>
  <c r="E69" i="33" s="1"/>
  <c r="E70" i="33" s="1"/>
  <c r="E71" i="33" s="1"/>
  <c r="X51" i="45" l="1"/>
  <c r="Y25" i="45"/>
  <c r="AA14" i="45"/>
  <c r="Y18" i="45"/>
  <c r="Y10" i="45"/>
  <c r="Y21" i="45"/>
  <c r="Y15" i="45"/>
  <c r="AA7" i="45"/>
  <c r="Y13" i="45"/>
  <c r="Y26" i="45"/>
  <c r="W49" i="45"/>
  <c r="W66" i="45" s="1"/>
  <c r="W72" i="45" s="1"/>
  <c r="Y23" i="45"/>
  <c r="Y17" i="45"/>
  <c r="Y8" i="45"/>
  <c r="AA22" i="45"/>
  <c r="Y6" i="45"/>
  <c r="X50" i="45"/>
  <c r="Y52" i="45"/>
  <c r="Y67" i="45" s="1"/>
  <c r="X43" i="45"/>
  <c r="X65" i="45" s="1"/>
  <c r="AA96" i="34"/>
  <c r="Y45" i="45" s="1"/>
  <c r="AA137" i="34"/>
  <c r="AA141" i="34"/>
  <c r="AB71" i="36"/>
  <c r="AB55" i="36"/>
  <c r="AB161" i="34"/>
  <c r="Z53" i="45" s="1"/>
  <c r="AB177" i="34"/>
  <c r="Z54" i="45" s="1"/>
  <c r="AA112" i="34"/>
  <c r="Y47" i="45" s="1"/>
  <c r="AA142" i="34"/>
  <c r="AA138" i="34"/>
  <c r="Y51" i="45" l="1"/>
  <c r="X49" i="45"/>
  <c r="X66" i="45" s="1"/>
  <c r="X72" i="45" s="1"/>
  <c r="Z8" i="45"/>
  <c r="Z25" i="45"/>
  <c r="AB22" i="45"/>
  <c r="D22" i="62" s="1"/>
  <c r="Z18" i="45"/>
  <c r="Z21" i="45"/>
  <c r="AB7" i="45"/>
  <c r="D9" i="62" s="1"/>
  <c r="Z6" i="45"/>
  <c r="Z15" i="45"/>
  <c r="Z10" i="45"/>
  <c r="Z26" i="45"/>
  <c r="Z17" i="45"/>
  <c r="Z23" i="45"/>
  <c r="AB14" i="45"/>
  <c r="D15" i="62" s="1"/>
  <c r="Z13" i="45"/>
  <c r="Y43" i="45"/>
  <c r="Y65" i="45" s="1"/>
  <c r="Y50" i="45"/>
  <c r="Z52" i="45"/>
  <c r="Z67" i="45" s="1"/>
  <c r="AB96" i="34"/>
  <c r="Z45" i="45" s="1"/>
  <c r="AB141" i="34"/>
  <c r="AB137" i="34"/>
  <c r="AC71" i="36"/>
  <c r="AC55" i="36"/>
  <c r="AC161" i="34"/>
  <c r="AA53" i="45" s="1"/>
  <c r="AC177" i="34"/>
  <c r="AA54" i="45" s="1"/>
  <c r="AB112" i="34"/>
  <c r="Z47" i="45" s="1"/>
  <c r="AB138" i="34"/>
  <c r="AB142" i="34"/>
  <c r="Z51" i="45" l="1"/>
  <c r="AC7" i="45"/>
  <c r="E9" i="62" s="1"/>
  <c r="AA26" i="45"/>
  <c r="AC22" i="45"/>
  <c r="E22" i="62" s="1"/>
  <c r="AA10" i="45"/>
  <c r="AA13" i="45"/>
  <c r="AA8" i="45"/>
  <c r="AA25" i="45"/>
  <c r="AA21" i="45"/>
  <c r="AA15" i="45"/>
  <c r="AC14" i="45"/>
  <c r="E15" i="62" s="1"/>
  <c r="AA18" i="45"/>
  <c r="AA6" i="45"/>
  <c r="AA23" i="45"/>
  <c r="AA17" i="45"/>
  <c r="Y49" i="45"/>
  <c r="Y66" i="45" s="1"/>
  <c r="Y72" i="45" s="1"/>
  <c r="AA52" i="45"/>
  <c r="AA67" i="45" s="1"/>
  <c r="Z43" i="45"/>
  <c r="Z65" i="45" s="1"/>
  <c r="Z50" i="45"/>
  <c r="AC96" i="34"/>
  <c r="AA45" i="45" s="1"/>
  <c r="AC137" i="34"/>
  <c r="AC141" i="34"/>
  <c r="AD177" i="34"/>
  <c r="AD161" i="34"/>
  <c r="AC112" i="34"/>
  <c r="AA47" i="45" s="1"/>
  <c r="AC138" i="34"/>
  <c r="AC142" i="34"/>
  <c r="AA51" i="45" l="1"/>
  <c r="AD14" i="45"/>
  <c r="F15" i="62" s="1"/>
  <c r="AB17" i="45"/>
  <c r="D18" i="62" s="1"/>
  <c r="AD22" i="45"/>
  <c r="F22" i="62" s="1"/>
  <c r="AB15" i="45"/>
  <c r="D16" i="62" s="1"/>
  <c r="AB10" i="45"/>
  <c r="D12" i="62" s="1"/>
  <c r="AD7" i="45"/>
  <c r="F9" i="62" s="1"/>
  <c r="AB23" i="45"/>
  <c r="AB8" i="45"/>
  <c r="D10" i="62" s="1"/>
  <c r="AB25" i="45"/>
  <c r="D23" i="62" s="1"/>
  <c r="AA43" i="45"/>
  <c r="AA65" i="45" s="1"/>
  <c r="Z49" i="45"/>
  <c r="Z66" i="45" s="1"/>
  <c r="AE177" i="34"/>
  <c r="AE161" i="34"/>
  <c r="AA50" i="45"/>
  <c r="AD112" i="34"/>
  <c r="AD96" i="34"/>
  <c r="AC8" i="45" l="1"/>
  <c r="E10" i="62" s="1"/>
  <c r="AE22" i="45"/>
  <c r="G22" i="62" s="1"/>
  <c r="AC10" i="45"/>
  <c r="E12" i="62" s="1"/>
  <c r="AC23" i="45"/>
  <c r="AC25" i="45"/>
  <c r="E23" i="62" s="1"/>
  <c r="AC15" i="45"/>
  <c r="E16" i="62" s="1"/>
  <c r="AE7" i="45"/>
  <c r="G9" i="62" s="1"/>
  <c r="AC17" i="45"/>
  <c r="E18" i="62" s="1"/>
  <c r="AE14" i="45"/>
  <c r="G15" i="62" s="1"/>
  <c r="AA49" i="45"/>
  <c r="AA66" i="45" s="1"/>
  <c r="AF161" i="34"/>
  <c r="AF177" i="34"/>
  <c r="AE96" i="34"/>
  <c r="AE112" i="34"/>
  <c r="AD23" i="45" l="1"/>
  <c r="AF22" i="45"/>
  <c r="H22" i="62" s="1"/>
  <c r="AD10" i="45"/>
  <c r="F12" i="62" s="1"/>
  <c r="AD15" i="45"/>
  <c r="F16" i="62" s="1"/>
  <c r="AF7" i="45"/>
  <c r="H9" i="62" s="1"/>
  <c r="AD25" i="45"/>
  <c r="F23" i="62" s="1"/>
  <c r="AF14" i="45"/>
  <c r="H15" i="62" s="1"/>
  <c r="AD17" i="45"/>
  <c r="F18" i="62" s="1"/>
  <c r="AD8" i="45"/>
  <c r="F10" i="62" s="1"/>
  <c r="AF96" i="34"/>
  <c r="AG161" i="34"/>
  <c r="AG177" i="34"/>
  <c r="AF112" i="34"/>
  <c r="AE25" i="45" l="1"/>
  <c r="G23" i="62" s="1"/>
  <c r="AE10" i="45"/>
  <c r="G12" i="62" s="1"/>
  <c r="AG22" i="45"/>
  <c r="I22" i="62" s="1"/>
  <c r="AE15" i="45"/>
  <c r="G16" i="62" s="1"/>
  <c r="AE23" i="45"/>
  <c r="AG7" i="45"/>
  <c r="I9" i="62" s="1"/>
  <c r="AE17" i="45"/>
  <c r="G18" i="62" s="1"/>
  <c r="AE8" i="45"/>
  <c r="G10" i="62" s="1"/>
  <c r="AG14" i="45"/>
  <c r="I15" i="62" s="1"/>
  <c r="AH177" i="34"/>
  <c r="AH161" i="34"/>
  <c r="AG96" i="34"/>
  <c r="AG112" i="34"/>
  <c r="AF25" i="45" l="1"/>
  <c r="H23" i="62" s="1"/>
  <c r="AF15" i="45"/>
  <c r="H16" i="62" s="1"/>
  <c r="AF17" i="45"/>
  <c r="H18" i="62" s="1"/>
  <c r="AF8" i="45"/>
  <c r="H10" i="62" s="1"/>
  <c r="AF10" i="45"/>
  <c r="H12" i="62" s="1"/>
  <c r="AF23" i="45"/>
  <c r="AI177" i="34"/>
  <c r="AI161" i="34"/>
  <c r="AH96" i="34"/>
  <c r="AH112" i="34"/>
  <c r="AG8" i="45" l="1"/>
  <c r="I10" i="62" s="1"/>
  <c r="AG23" i="45"/>
  <c r="AG10" i="45"/>
  <c r="I12" i="62" s="1"/>
  <c r="AG17" i="45"/>
  <c r="I18" i="62" s="1"/>
  <c r="AG15" i="45"/>
  <c r="I16" i="62" s="1"/>
  <c r="AG25" i="45"/>
  <c r="I23" i="62" s="1"/>
  <c r="AI96" i="34"/>
  <c r="AI112" i="34"/>
  <c r="AH22" i="45" l="1"/>
  <c r="J22" i="62" s="1"/>
  <c r="AH14" i="45" l="1"/>
  <c r="J15" i="62" s="1"/>
  <c r="AH7" i="45"/>
  <c r="J9" i="62" s="1"/>
  <c r="AI22" i="45"/>
  <c r="K22" i="62" s="1"/>
  <c r="AH23" i="45" l="1"/>
  <c r="AI14" i="45"/>
  <c r="K15" i="62" s="1"/>
  <c r="AI7" i="45"/>
  <c r="K9" i="62" s="1"/>
  <c r="AJ22" i="45"/>
  <c r="L22" i="62" s="1"/>
  <c r="AI23" i="45" l="1"/>
  <c r="AH8" i="45"/>
  <c r="J10" i="62" s="1"/>
  <c r="AH15" i="45"/>
  <c r="J16" i="62" s="1"/>
  <c r="AJ14" i="45"/>
  <c r="L15" i="62" s="1"/>
  <c r="AK22" i="45"/>
  <c r="M22" i="62" s="1"/>
  <c r="AJ7" i="45"/>
  <c r="L9" i="62" s="1"/>
  <c r="AK71" i="36"/>
  <c r="AK161" i="34"/>
  <c r="AK177" i="34"/>
  <c r="AK55" i="36"/>
  <c r="AI15" i="45" l="1"/>
  <c r="K16" i="62" s="1"/>
  <c r="AI8" i="45"/>
  <c r="K10" i="62" s="1"/>
  <c r="AJ23" i="45"/>
  <c r="AL22" i="45"/>
  <c r="N22" i="62" s="1"/>
  <c r="AK14" i="45"/>
  <c r="M15" i="62" s="1"/>
  <c r="AK7" i="45"/>
  <c r="M9" i="62" s="1"/>
  <c r="AK112" i="34"/>
  <c r="AL71" i="36"/>
  <c r="AL161" i="34"/>
  <c r="AL177" i="34"/>
  <c r="AK96" i="34"/>
  <c r="AL55" i="36"/>
  <c r="AJ15" i="45" l="1"/>
  <c r="L16" i="62" s="1"/>
  <c r="AJ8" i="45"/>
  <c r="L10" i="62" s="1"/>
  <c r="AK23" i="45"/>
  <c r="AL14" i="45"/>
  <c r="N15" i="62" s="1"/>
  <c r="AL7" i="45"/>
  <c r="N9" i="62" s="1"/>
  <c r="AM22" i="45"/>
  <c r="O22" i="62" s="1"/>
  <c r="AL112" i="34"/>
  <c r="AM71" i="36"/>
  <c r="AM161" i="34"/>
  <c r="AM177" i="34"/>
  <c r="AL96" i="34"/>
  <c r="AM55" i="36"/>
  <c r="AK15" i="45" l="1"/>
  <c r="M16" i="62" s="1"/>
  <c r="AK8" i="45"/>
  <c r="M10" i="62" s="1"/>
  <c r="AL23" i="45"/>
  <c r="AN22" i="45"/>
  <c r="P22" i="62" s="1"/>
  <c r="AM7" i="45"/>
  <c r="O9" i="62" s="1"/>
  <c r="AM14" i="45"/>
  <c r="O15" i="62" s="1"/>
  <c r="AM112" i="34"/>
  <c r="AN71" i="36"/>
  <c r="AN177" i="34"/>
  <c r="AN161" i="34"/>
  <c r="AM96" i="34"/>
  <c r="AN55" i="36"/>
  <c r="AM23" i="45" l="1"/>
  <c r="AL8" i="45"/>
  <c r="N10" i="62" s="1"/>
  <c r="AL15" i="45"/>
  <c r="N16" i="62" s="1"/>
  <c r="AN7" i="45"/>
  <c r="P9" i="62" s="1"/>
  <c r="AO22" i="45"/>
  <c r="Q22" i="62" s="1"/>
  <c r="AN14" i="45"/>
  <c r="P15" i="62" s="1"/>
  <c r="AN112" i="34"/>
  <c r="AO71" i="36"/>
  <c r="AO161" i="34"/>
  <c r="AO177" i="34"/>
  <c r="AN96" i="34"/>
  <c r="AO55" i="36"/>
  <c r="AN23" i="45" l="1"/>
  <c r="AM8" i="45"/>
  <c r="O10" i="62" s="1"/>
  <c r="AM15" i="45"/>
  <c r="O16" i="62" s="1"/>
  <c r="AO14" i="45"/>
  <c r="Q15" i="62" s="1"/>
  <c r="AO7" i="45"/>
  <c r="Q9" i="62" s="1"/>
  <c r="AP22" i="45"/>
  <c r="R22" i="62" s="1"/>
  <c r="AO112" i="34"/>
  <c r="AP71" i="36"/>
  <c r="AP161" i="34"/>
  <c r="AP177" i="34"/>
  <c r="AO96" i="34"/>
  <c r="AP55" i="36"/>
  <c r="AN15" i="45" l="1"/>
  <c r="P16" i="62" s="1"/>
  <c r="AO23" i="45"/>
  <c r="AN8" i="45"/>
  <c r="P10" i="62" s="1"/>
  <c r="AQ22" i="45"/>
  <c r="S22" i="62" s="1"/>
  <c r="AP7" i="45"/>
  <c r="R9" i="62" s="1"/>
  <c r="AP14" i="45"/>
  <c r="R15" i="62" s="1"/>
  <c r="AP112" i="34"/>
  <c r="AQ71" i="36"/>
  <c r="AQ161" i="34"/>
  <c r="AQ177" i="34"/>
  <c r="AP96" i="34"/>
  <c r="AQ55" i="36"/>
  <c r="AO15" i="45" l="1"/>
  <c r="Q16" i="62" s="1"/>
  <c r="AP23" i="45"/>
  <c r="AO8" i="45"/>
  <c r="Q10" i="62" s="1"/>
  <c r="AR22" i="45"/>
  <c r="T22" i="62" s="1"/>
  <c r="AQ7" i="45"/>
  <c r="S9" i="62" s="1"/>
  <c r="AQ14" i="45"/>
  <c r="S15" i="62" s="1"/>
  <c r="AQ112" i="34"/>
  <c r="AR71" i="36"/>
  <c r="AR161" i="34"/>
  <c r="AR177" i="34"/>
  <c r="AQ96" i="34"/>
  <c r="AR55" i="36"/>
  <c r="AP15" i="45" l="1"/>
  <c r="R16" i="62" s="1"/>
  <c r="AQ23" i="45"/>
  <c r="AP8" i="45"/>
  <c r="R10" i="62" s="1"/>
  <c r="AS22" i="45"/>
  <c r="U22" i="62" s="1"/>
  <c r="AR14" i="45"/>
  <c r="T15" i="62" s="1"/>
  <c r="AR7" i="45"/>
  <c r="T9" i="62" s="1"/>
  <c r="AR112" i="34"/>
  <c r="AS71" i="36"/>
  <c r="AS161" i="34"/>
  <c r="AS177" i="34"/>
  <c r="AR96" i="34"/>
  <c r="AS55" i="36"/>
  <c r="AQ15" i="45" l="1"/>
  <c r="S16" i="62" s="1"/>
  <c r="AQ8" i="45"/>
  <c r="S10" i="62" s="1"/>
  <c r="AR23" i="45"/>
  <c r="AS14" i="45"/>
  <c r="U15" i="62" s="1"/>
  <c r="AT22" i="45"/>
  <c r="V22" i="62" s="1"/>
  <c r="AS7" i="45"/>
  <c r="U9" i="62" s="1"/>
  <c r="AS112" i="34"/>
  <c r="AT71" i="36"/>
  <c r="AT161" i="34"/>
  <c r="AT177" i="34"/>
  <c r="AS96" i="34"/>
  <c r="AT55" i="36"/>
  <c r="AR15" i="45" l="1"/>
  <c r="T16" i="62" s="1"/>
  <c r="AS23" i="45"/>
  <c r="AR8" i="45"/>
  <c r="T10" i="62" s="1"/>
  <c r="AT7" i="45"/>
  <c r="V9" i="62" s="1"/>
  <c r="AU22" i="45"/>
  <c r="W22" i="62" s="1"/>
  <c r="AT14" i="45"/>
  <c r="V15" i="62" s="1"/>
  <c r="AT112" i="34"/>
  <c r="AU71" i="36"/>
  <c r="AU161" i="34"/>
  <c r="AU177" i="34"/>
  <c r="AT96" i="34"/>
  <c r="AU55" i="36"/>
  <c r="AT23" i="45" l="1"/>
  <c r="AS15" i="45"/>
  <c r="U16" i="62" s="1"/>
  <c r="AS8" i="45"/>
  <c r="U10" i="62" s="1"/>
  <c r="AU7" i="45"/>
  <c r="W9" i="62" s="1"/>
  <c r="AV22" i="45"/>
  <c r="X22" i="62" s="1"/>
  <c r="AU14" i="45"/>
  <c r="W15" i="62" s="1"/>
  <c r="AU112" i="34"/>
  <c r="AV71" i="36"/>
  <c r="AV177" i="34"/>
  <c r="AV161" i="34"/>
  <c r="AU96" i="34"/>
  <c r="AV55" i="36"/>
  <c r="AU23" i="45" l="1"/>
  <c r="AT8" i="45"/>
  <c r="V10" i="62" s="1"/>
  <c r="AT15" i="45"/>
  <c r="V16" i="62" s="1"/>
  <c r="AV7" i="45"/>
  <c r="X9" i="62" s="1"/>
  <c r="AW22" i="45"/>
  <c r="Y22" i="62" s="1"/>
  <c r="AV14" i="45"/>
  <c r="X15" i="62" s="1"/>
  <c r="AV112" i="34"/>
  <c r="AW71" i="36"/>
  <c r="AW161" i="34"/>
  <c r="AW177" i="34"/>
  <c r="AV96" i="34"/>
  <c r="AW55" i="36"/>
  <c r="AV23" i="45" l="1"/>
  <c r="AU8" i="45"/>
  <c r="W10" i="62" s="1"/>
  <c r="AU15" i="45"/>
  <c r="W16" i="62" s="1"/>
  <c r="AW7" i="45"/>
  <c r="Y9" i="62" s="1"/>
  <c r="AX22" i="45"/>
  <c r="Z22" i="62" s="1"/>
  <c r="AW14" i="45"/>
  <c r="Y15" i="62" s="1"/>
  <c r="AW112" i="34"/>
  <c r="AX71" i="36"/>
  <c r="AX161" i="34"/>
  <c r="AX177" i="34"/>
  <c r="AW96" i="34"/>
  <c r="AX55" i="36"/>
  <c r="AV8" i="45" l="1"/>
  <c r="X10" i="62" s="1"/>
  <c r="AW23" i="45"/>
  <c r="AV15" i="45"/>
  <c r="X16" i="62" s="1"/>
  <c r="AX7" i="45"/>
  <c r="Z9" i="62" s="1"/>
  <c r="AY22" i="45"/>
  <c r="AA22" i="62" s="1"/>
  <c r="AX14" i="45"/>
  <c r="Z15" i="62" s="1"/>
  <c r="AX112" i="34"/>
  <c r="AY71" i="36"/>
  <c r="AY161" i="34"/>
  <c r="AY177" i="34"/>
  <c r="AX96" i="34"/>
  <c r="AY55" i="36"/>
  <c r="AX23" i="45" l="1"/>
  <c r="AW8" i="45"/>
  <c r="Y10" i="62" s="1"/>
  <c r="AW15" i="45"/>
  <c r="Y16" i="62" s="1"/>
  <c r="AY7" i="45"/>
  <c r="AA9" i="62" s="1"/>
  <c r="AY14" i="45"/>
  <c r="AA15" i="62" s="1"/>
  <c r="AZ22" i="45"/>
  <c r="AB22" i="62" s="1"/>
  <c r="AY112" i="34"/>
  <c r="AZ71" i="36"/>
  <c r="AZ161" i="34"/>
  <c r="AZ177" i="34"/>
  <c r="AY96" i="34"/>
  <c r="AZ55" i="36"/>
  <c r="AX8" i="45" l="1"/>
  <c r="Z10" i="62" s="1"/>
  <c r="AY23" i="45"/>
  <c r="AX15" i="45"/>
  <c r="Z16" i="62" s="1"/>
  <c r="BA22" i="45"/>
  <c r="AC22" i="62" s="1"/>
  <c r="AZ7" i="45"/>
  <c r="AB9" i="62" s="1"/>
  <c r="AZ14" i="45"/>
  <c r="AB15" i="62" s="1"/>
  <c r="AZ112" i="34"/>
  <c r="BA71" i="36"/>
  <c r="BA161" i="34"/>
  <c r="BA177" i="34"/>
  <c r="AZ96" i="34"/>
  <c r="BA55" i="36"/>
  <c r="AY15" i="45" l="1"/>
  <c r="AA16" i="62" s="1"/>
  <c r="AY8" i="45"/>
  <c r="AA10" i="62" s="1"/>
  <c r="AZ23" i="45"/>
  <c r="BA14" i="45"/>
  <c r="AC15" i="62" s="1"/>
  <c r="BA7" i="45"/>
  <c r="AC9" i="62" s="1"/>
  <c r="BB22" i="45"/>
  <c r="AD22" i="62" s="1"/>
  <c r="BA112" i="34"/>
  <c r="BB71" i="36"/>
  <c r="BB161" i="34"/>
  <c r="BB177" i="34"/>
  <c r="BA96" i="34"/>
  <c r="BB55" i="36"/>
  <c r="G5" i="45" l="1"/>
  <c r="G4" i="45" s="1"/>
  <c r="G58" i="45" s="1"/>
  <c r="F5" i="45"/>
  <c r="F4" i="45" s="1"/>
  <c r="F58" i="45" s="1"/>
  <c r="G12" i="45"/>
  <c r="G11" i="45" s="1"/>
  <c r="G59" i="45" s="1"/>
  <c r="AZ8" i="45"/>
  <c r="AB10" i="62" s="1"/>
  <c r="BA23" i="45"/>
  <c r="F12" i="45"/>
  <c r="F11" i="45" s="1"/>
  <c r="F59" i="45" s="1"/>
  <c r="G20" i="45"/>
  <c r="G19" i="45" s="1"/>
  <c r="G60" i="45" s="1"/>
  <c r="AZ15" i="45"/>
  <c r="AB16" i="62" s="1"/>
  <c r="F20" i="45"/>
  <c r="F19" i="45" s="1"/>
  <c r="F60" i="45" s="1"/>
  <c r="BB7" i="45"/>
  <c r="AD9" i="62" s="1"/>
  <c r="BC22" i="45"/>
  <c r="AE22" i="62" s="1"/>
  <c r="BB14" i="45"/>
  <c r="AD15" i="62" s="1"/>
  <c r="BB112" i="34"/>
  <c r="BC71" i="36"/>
  <c r="BC161" i="34"/>
  <c r="BC177" i="34"/>
  <c r="BB96" i="34"/>
  <c r="BC55" i="36"/>
  <c r="F71" i="45" l="1"/>
  <c r="F73" i="45" s="1"/>
  <c r="F80" i="45" s="1"/>
  <c r="G71" i="45"/>
  <c r="G73" i="45" s="1"/>
  <c r="G80" i="45" s="1"/>
  <c r="BB23" i="45"/>
  <c r="H5" i="45"/>
  <c r="H4" i="45" s="1"/>
  <c r="H58" i="45" s="1"/>
  <c r="H20" i="45"/>
  <c r="H19" i="45" s="1"/>
  <c r="H60" i="45" s="1"/>
  <c r="H12" i="45"/>
  <c r="H11" i="45" s="1"/>
  <c r="H59" i="45" s="1"/>
  <c r="BA15" i="45"/>
  <c r="AC16" i="62" s="1"/>
  <c r="BA8" i="45"/>
  <c r="AC10" i="62" s="1"/>
  <c r="BC7" i="45"/>
  <c r="AE9" i="62" s="1"/>
  <c r="BC14" i="45"/>
  <c r="AE15" i="62" s="1"/>
  <c r="BD22" i="45"/>
  <c r="AF22" i="62" s="1"/>
  <c r="BC112" i="34"/>
  <c r="BD71" i="36"/>
  <c r="BD177" i="34"/>
  <c r="BD161" i="34"/>
  <c r="BC96" i="34"/>
  <c r="BD55" i="36"/>
  <c r="H71" i="45" l="1"/>
  <c r="H73" i="45" s="1"/>
  <c r="H80" i="45" s="1"/>
  <c r="I20" i="45"/>
  <c r="I19" i="45" s="1"/>
  <c r="I60" i="45" s="1"/>
  <c r="BB8" i="45"/>
  <c r="AD10" i="62" s="1"/>
  <c r="BB15" i="45"/>
  <c r="AD16" i="62" s="1"/>
  <c r="I5" i="45"/>
  <c r="I4" i="45" s="1"/>
  <c r="I58" i="45" s="1"/>
  <c r="BC23" i="45"/>
  <c r="I12" i="45"/>
  <c r="I11" i="45" s="1"/>
  <c r="I59" i="45" s="1"/>
  <c r="BD14" i="45"/>
  <c r="AF15" i="62" s="1"/>
  <c r="BE22" i="45"/>
  <c r="AG22" i="62" s="1"/>
  <c r="BD7" i="45"/>
  <c r="AF9" i="62" s="1"/>
  <c r="BD112" i="34"/>
  <c r="BE71" i="36"/>
  <c r="BE161" i="34"/>
  <c r="BE177" i="34"/>
  <c r="BD96" i="34"/>
  <c r="BE55" i="36"/>
  <c r="I71" i="45" l="1"/>
  <c r="I73" i="45" s="1"/>
  <c r="I80" i="45" s="1"/>
  <c r="BD23" i="45"/>
  <c r="J20" i="45"/>
  <c r="J19" i="45" s="1"/>
  <c r="J60" i="45" s="1"/>
  <c r="J5" i="45"/>
  <c r="J4" i="45" s="1"/>
  <c r="J58" i="45" s="1"/>
  <c r="BC8" i="45"/>
  <c r="AE10" i="62" s="1"/>
  <c r="BC15" i="45"/>
  <c r="AE16" i="62" s="1"/>
  <c r="J12" i="45"/>
  <c r="J11" i="45" s="1"/>
  <c r="J59" i="45" s="1"/>
  <c r="BE14" i="45"/>
  <c r="AG15" i="62" s="1"/>
  <c r="BE7" i="45"/>
  <c r="AG9" i="62" s="1"/>
  <c r="BF22" i="45"/>
  <c r="AH22" i="62" s="1"/>
  <c r="BE112" i="34"/>
  <c r="BF71" i="36"/>
  <c r="BF161" i="34"/>
  <c r="BF177" i="34"/>
  <c r="BE96" i="34"/>
  <c r="BF55" i="36"/>
  <c r="J71" i="45" l="1"/>
  <c r="J73" i="45" s="1"/>
  <c r="J80" i="45" s="1"/>
  <c r="K20" i="45"/>
  <c r="K19" i="45" s="1"/>
  <c r="K60" i="45" s="1"/>
  <c r="BD15" i="45"/>
  <c r="AF16" i="62" s="1"/>
  <c r="K5" i="45"/>
  <c r="K4" i="45" s="1"/>
  <c r="K58" i="45" s="1"/>
  <c r="BE23" i="45"/>
  <c r="BD8" i="45"/>
  <c r="AF10" i="62" s="1"/>
  <c r="K12" i="45"/>
  <c r="K11" i="45" s="1"/>
  <c r="K59" i="45" s="1"/>
  <c r="BF7" i="45"/>
  <c r="AH9" i="62" s="1"/>
  <c r="BG22" i="45"/>
  <c r="AI22" i="62" s="1"/>
  <c r="BF14" i="45"/>
  <c r="AH15" i="62" s="1"/>
  <c r="BF112" i="34"/>
  <c r="BG71" i="36"/>
  <c r="BG161" i="34"/>
  <c r="BG177" i="34"/>
  <c r="BF96" i="34"/>
  <c r="BG55" i="36"/>
  <c r="K71" i="45" l="1"/>
  <c r="K73" i="45" s="1"/>
  <c r="K80" i="45" s="1"/>
  <c r="BF23" i="45"/>
  <c r="L5" i="45"/>
  <c r="L4" i="45" s="1"/>
  <c r="L58" i="45" s="1"/>
  <c r="BE15" i="45"/>
  <c r="AG16" i="62" s="1"/>
  <c r="L20" i="45"/>
  <c r="L19" i="45" s="1"/>
  <c r="L60" i="45" s="1"/>
  <c r="BE8" i="45"/>
  <c r="AG10" i="62" s="1"/>
  <c r="L12" i="45"/>
  <c r="L11" i="45" s="1"/>
  <c r="L59" i="45" s="1"/>
  <c r="BG14" i="45"/>
  <c r="AI15" i="62" s="1"/>
  <c r="BG7" i="45"/>
  <c r="AI9" i="62" s="1"/>
  <c r="BH22" i="45"/>
  <c r="AJ22" i="62" s="1"/>
  <c r="BG112" i="34"/>
  <c r="BH71" i="36"/>
  <c r="BH161" i="34"/>
  <c r="BH177" i="34"/>
  <c r="BG96" i="34"/>
  <c r="BH55" i="36"/>
  <c r="L71" i="45" l="1"/>
  <c r="L73" i="45" s="1"/>
  <c r="L80" i="45" s="1"/>
  <c r="M20" i="45"/>
  <c r="M19" i="45" s="1"/>
  <c r="M60" i="45" s="1"/>
  <c r="BF15" i="45"/>
  <c r="AH16" i="62" s="1"/>
  <c r="M12" i="45"/>
  <c r="M11" i="45" s="1"/>
  <c r="M59" i="45" s="1"/>
  <c r="BG23" i="45"/>
  <c r="BF8" i="45"/>
  <c r="AH10" i="62" s="1"/>
  <c r="M5" i="45"/>
  <c r="M4" i="45" s="1"/>
  <c r="M58" i="45" s="1"/>
  <c r="BI22" i="45"/>
  <c r="AK22" i="62" s="1"/>
  <c r="BH14" i="45"/>
  <c r="AJ15" i="62" s="1"/>
  <c r="BH7" i="45"/>
  <c r="AJ9" i="62" s="1"/>
  <c r="BH112" i="34"/>
  <c r="BI71" i="36"/>
  <c r="BI161" i="34"/>
  <c r="BI177" i="34"/>
  <c r="BH96" i="34"/>
  <c r="BI55" i="36"/>
  <c r="M71" i="45" l="1"/>
  <c r="M73" i="45" s="1"/>
  <c r="M80" i="45" s="1"/>
  <c r="BG8" i="45"/>
  <c r="AI10" i="62" s="1"/>
  <c r="N20" i="45"/>
  <c r="N19" i="45" s="1"/>
  <c r="N60" i="45" s="1"/>
  <c r="BG15" i="45"/>
  <c r="AI16" i="62" s="1"/>
  <c r="N12" i="45"/>
  <c r="N11" i="45" s="1"/>
  <c r="N59" i="45" s="1"/>
  <c r="BH23" i="45"/>
  <c r="N5" i="45"/>
  <c r="N4" i="45" s="1"/>
  <c r="N58" i="45" s="1"/>
  <c r="BI14" i="45"/>
  <c r="AK15" i="62" s="1"/>
  <c r="BJ22" i="45"/>
  <c r="AL22" i="62" s="1"/>
  <c r="BI7" i="45"/>
  <c r="AK9" i="62" s="1"/>
  <c r="BI112" i="34"/>
  <c r="BJ71" i="36"/>
  <c r="BJ161" i="34"/>
  <c r="BJ177" i="34"/>
  <c r="BI96" i="34"/>
  <c r="BJ55" i="36"/>
  <c r="N71" i="45" l="1"/>
  <c r="N73" i="45" s="1"/>
  <c r="N80" i="45" s="1"/>
  <c r="BH15" i="45"/>
  <c r="AJ16" i="62" s="1"/>
  <c r="O20" i="45"/>
  <c r="O19" i="45" s="1"/>
  <c r="O60" i="45" s="1"/>
  <c r="BH8" i="45"/>
  <c r="AJ10" i="62" s="1"/>
  <c r="O12" i="45"/>
  <c r="O11" i="45" s="1"/>
  <c r="O59" i="45" s="1"/>
  <c r="BI23" i="45"/>
  <c r="O5" i="45"/>
  <c r="O4" i="45" s="1"/>
  <c r="O58" i="45" s="1"/>
  <c r="BK22" i="45"/>
  <c r="AM22" i="62" s="1"/>
  <c r="BJ14" i="45"/>
  <c r="AL15" i="62" s="1"/>
  <c r="BJ7" i="45"/>
  <c r="AL9" i="62" s="1"/>
  <c r="BJ112" i="34"/>
  <c r="BK71" i="36"/>
  <c r="BK161" i="34"/>
  <c r="BK177" i="34"/>
  <c r="BJ96" i="34"/>
  <c r="BK55" i="36"/>
  <c r="O71" i="45" l="1"/>
  <c r="O73" i="45" s="1"/>
  <c r="O80" i="45" s="1"/>
  <c r="P5" i="45"/>
  <c r="P4" i="45" s="1"/>
  <c r="P58" i="45" s="1"/>
  <c r="BI15" i="45"/>
  <c r="AK16" i="62" s="1"/>
  <c r="P20" i="45"/>
  <c r="P19" i="45" s="1"/>
  <c r="P60" i="45" s="1"/>
  <c r="BJ23" i="45"/>
  <c r="BI8" i="45"/>
  <c r="AK10" i="62" s="1"/>
  <c r="P12" i="45"/>
  <c r="P11" i="45" s="1"/>
  <c r="P59" i="45" s="1"/>
  <c r="BL22" i="45"/>
  <c r="AN22" i="62" s="1"/>
  <c r="BK14" i="45"/>
  <c r="AM15" i="62" s="1"/>
  <c r="BK7" i="45"/>
  <c r="AM9" i="62" s="1"/>
  <c r="BK112" i="34"/>
  <c r="BL71" i="36"/>
  <c r="BL161" i="34"/>
  <c r="BL177" i="34"/>
  <c r="BK96" i="34"/>
  <c r="BL55" i="36"/>
  <c r="P71" i="45" l="1"/>
  <c r="P73" i="45" s="1"/>
  <c r="P80" i="45" s="1"/>
  <c r="BK23" i="45"/>
  <c r="BJ8" i="45"/>
  <c r="AL10" i="62" s="1"/>
  <c r="Q12" i="45"/>
  <c r="Q11" i="45" s="1"/>
  <c r="Q59" i="45" s="1"/>
  <c r="Q20" i="45"/>
  <c r="Q19" i="45" s="1"/>
  <c r="Q60" i="45" s="1"/>
  <c r="BJ15" i="45"/>
  <c r="AL16" i="62" s="1"/>
  <c r="Q5" i="45"/>
  <c r="Q4" i="45" s="1"/>
  <c r="Q58" i="45" s="1"/>
  <c r="BL7" i="45"/>
  <c r="AN9" i="62" s="1"/>
  <c r="BN22" i="45"/>
  <c r="AP22" i="62" s="1"/>
  <c r="BM22" i="45"/>
  <c r="AO22" i="62" s="1"/>
  <c r="BL14" i="45"/>
  <c r="AN15" i="62" s="1"/>
  <c r="BL112" i="34"/>
  <c r="BM71" i="36"/>
  <c r="BM161" i="34"/>
  <c r="BM177" i="34"/>
  <c r="BL96" i="34"/>
  <c r="BM55" i="36"/>
  <c r="Q71" i="45" l="1"/>
  <c r="Q73" i="45" s="1"/>
  <c r="Q80" i="45" s="1"/>
  <c r="BK8" i="45"/>
  <c r="AM10" i="62" s="1"/>
  <c r="R5" i="45"/>
  <c r="R4" i="45" s="1"/>
  <c r="R58" i="45" s="1"/>
  <c r="BL23" i="45"/>
  <c r="R20" i="45"/>
  <c r="R19" i="45" s="1"/>
  <c r="R60" i="45" s="1"/>
  <c r="BK15" i="45"/>
  <c r="AM16" i="62" s="1"/>
  <c r="R12" i="45"/>
  <c r="R11" i="45" s="1"/>
  <c r="R59" i="45" s="1"/>
  <c r="BM7" i="45"/>
  <c r="AO9" i="62" s="1"/>
  <c r="BN7" i="45"/>
  <c r="AP9" i="62" s="1"/>
  <c r="BN14" i="45"/>
  <c r="AP15" i="62" s="1"/>
  <c r="BM14" i="45"/>
  <c r="AO15" i="62" s="1"/>
  <c r="BM112" i="34"/>
  <c r="BN71" i="36"/>
  <c r="BN161" i="34"/>
  <c r="BN177" i="34"/>
  <c r="BM96" i="34"/>
  <c r="BN55" i="36"/>
  <c r="R71" i="45" l="1"/>
  <c r="R73" i="45" s="1"/>
  <c r="R80" i="45" s="1"/>
  <c r="BM23" i="45"/>
  <c r="BN23" i="45"/>
  <c r="S12" i="45"/>
  <c r="S11" i="45" s="1"/>
  <c r="S59" i="45" s="1"/>
  <c r="S5" i="45"/>
  <c r="S4" i="45" s="1"/>
  <c r="S58" i="45" s="1"/>
  <c r="S20" i="45"/>
  <c r="S19" i="45" s="1"/>
  <c r="S60" i="45" s="1"/>
  <c r="BL15" i="45"/>
  <c r="AN16" i="62" s="1"/>
  <c r="BL8" i="45"/>
  <c r="AN10" i="62" s="1"/>
  <c r="BN112" i="34"/>
  <c r="BP71" i="36"/>
  <c r="BP161" i="34"/>
  <c r="BP177" i="34"/>
  <c r="BO71" i="36"/>
  <c r="BO161" i="34"/>
  <c r="BO177" i="34"/>
  <c r="BN96" i="34"/>
  <c r="BP55" i="36"/>
  <c r="BO55" i="36"/>
  <c r="S71" i="45" l="1"/>
  <c r="S73" i="45" s="1"/>
  <c r="S80" i="45" s="1"/>
  <c r="BN15" i="45"/>
  <c r="AP16" i="62" s="1"/>
  <c r="BN8" i="45"/>
  <c r="AP10" i="62" s="1"/>
  <c r="BM8" i="45"/>
  <c r="AO10" i="62" s="1"/>
  <c r="T12" i="45"/>
  <c r="T11" i="45" s="1"/>
  <c r="T59" i="45" s="1"/>
  <c r="T5" i="45"/>
  <c r="T4" i="45" s="1"/>
  <c r="T58" i="45" s="1"/>
  <c r="BM15" i="45"/>
  <c r="AO16" i="62" s="1"/>
  <c r="T20" i="45"/>
  <c r="T19" i="45" s="1"/>
  <c r="T60" i="45" s="1"/>
  <c r="BP112" i="34"/>
  <c r="BO112" i="34"/>
  <c r="BP96" i="34"/>
  <c r="BO96" i="34"/>
  <c r="T71" i="45" l="1"/>
  <c r="T73" i="45" s="1"/>
  <c r="T80" i="45" s="1"/>
  <c r="U5" i="45"/>
  <c r="U4" i="45" s="1"/>
  <c r="U58" i="45" s="1"/>
  <c r="U12" i="45"/>
  <c r="U11" i="45" s="1"/>
  <c r="U59" i="45" s="1"/>
  <c r="U20" i="45"/>
  <c r="U19" i="45" s="1"/>
  <c r="U60" i="45" s="1"/>
  <c r="U71" i="45" l="1"/>
  <c r="U73" i="45" s="1"/>
  <c r="U80" i="45" s="1"/>
  <c r="V20" i="45"/>
  <c r="V19" i="45" s="1"/>
  <c r="V60" i="45" s="1"/>
  <c r="V5" i="45"/>
  <c r="V4" i="45" s="1"/>
  <c r="V58" i="45" s="1"/>
  <c r="V12" i="45"/>
  <c r="V11" i="45" s="1"/>
  <c r="V59" i="45" s="1"/>
  <c r="V71" i="45" l="1"/>
  <c r="V73" i="45" s="1"/>
  <c r="V80" i="45" s="1"/>
  <c r="W12" i="45"/>
  <c r="W11" i="45" s="1"/>
  <c r="W59" i="45" s="1"/>
  <c r="W20" i="45"/>
  <c r="W19" i="45" s="1"/>
  <c r="W60" i="45" s="1"/>
  <c r="W5" i="45"/>
  <c r="W4" i="45" s="1"/>
  <c r="W58" i="45" s="1"/>
  <c r="W71" i="45" l="1"/>
  <c r="W73" i="45" s="1"/>
  <c r="W80" i="45" s="1"/>
  <c r="X20" i="45"/>
  <c r="X19" i="45" s="1"/>
  <c r="X60" i="45" s="1"/>
  <c r="X5" i="45"/>
  <c r="X4" i="45" s="1"/>
  <c r="X58" i="45" s="1"/>
  <c r="X12" i="45"/>
  <c r="X11" i="45" s="1"/>
  <c r="X59" i="45" s="1"/>
  <c r="X71" i="45" l="1"/>
  <c r="X73" i="45" s="1"/>
  <c r="X80" i="45" s="1"/>
  <c r="Y12" i="45"/>
  <c r="Y11" i="45" s="1"/>
  <c r="Y59" i="45" s="1"/>
  <c r="Y20" i="45"/>
  <c r="Y19" i="45" s="1"/>
  <c r="Y60" i="45" s="1"/>
  <c r="Y5" i="45"/>
  <c r="Y4" i="45" s="1"/>
  <c r="Y58" i="45" s="1"/>
  <c r="Y71" i="45" l="1"/>
  <c r="Y73" i="45" s="1"/>
  <c r="Y80" i="45" s="1"/>
  <c r="Z5" i="45"/>
  <c r="Z4" i="45" s="1"/>
  <c r="Z58" i="45" s="1"/>
  <c r="Z20" i="45"/>
  <c r="Z19" i="45" s="1"/>
  <c r="Z60" i="45" s="1"/>
  <c r="Z12" i="45"/>
  <c r="Z11" i="45" s="1"/>
  <c r="Z59" i="45" s="1"/>
  <c r="Z71" i="45" l="1"/>
  <c r="AA5" i="45"/>
  <c r="AA4" i="45" s="1"/>
  <c r="AA58" i="45" s="1"/>
  <c r="AA20" i="45"/>
  <c r="AA19" i="45" s="1"/>
  <c r="AA60" i="45" s="1"/>
  <c r="AA12" i="45"/>
  <c r="AA11" i="45" s="1"/>
  <c r="AA59" i="45" s="1"/>
  <c r="AA71" i="45" l="1"/>
  <c r="AA30" i="45" l="1"/>
  <c r="AA37" i="45"/>
  <c r="Z37" i="45"/>
  <c r="Z30" i="45"/>
  <c r="AA31" i="45" l="1"/>
  <c r="AA38" i="45"/>
  <c r="Z33" i="45"/>
  <c r="Z40" i="45"/>
  <c r="Z31" i="45"/>
  <c r="Z38" i="45"/>
  <c r="Z32" i="45"/>
  <c r="Z39" i="45"/>
  <c r="AA40" i="45"/>
  <c r="AA33" i="45"/>
  <c r="AA32" i="45"/>
  <c r="AA39" i="45"/>
  <c r="Z35" i="45" l="1"/>
  <c r="Z29" i="45"/>
  <c r="Z28" i="45"/>
  <c r="Z36" i="45"/>
  <c r="AA28" i="45"/>
  <c r="AA29" i="45"/>
  <c r="AA35" i="45"/>
  <c r="AA36" i="45"/>
  <c r="Z27" i="45" l="1"/>
  <c r="Z61" i="45" s="1"/>
  <c r="Z34" i="45"/>
  <c r="Z62" i="45" s="1"/>
  <c r="AA34" i="45"/>
  <c r="AA62" i="45" s="1"/>
  <c r="AA27" i="45"/>
  <c r="AA61" i="45" s="1"/>
  <c r="AA72" i="45" l="1"/>
  <c r="AA73" i="45" s="1"/>
  <c r="AA80" i="45" s="1"/>
  <c r="Z72" i="45"/>
  <c r="Z73" i="45" s="1"/>
  <c r="Z80" i="45" s="1"/>
  <c r="AJ71" i="36" l="1"/>
  <c r="AJ112" i="34" s="1"/>
  <c r="AJ177" i="34"/>
  <c r="AJ161" i="34"/>
  <c r="AJ41" i="34"/>
  <c r="AJ9" i="34"/>
  <c r="AJ23" i="34"/>
  <c r="AJ55" i="36"/>
  <c r="AJ96" i="34" l="1"/>
  <c r="T24" i="55"/>
  <c r="AJ39" i="57"/>
  <c r="AK29" i="57"/>
  <c r="AK40" i="57"/>
  <c r="AJ40" i="57" l="1"/>
  <c r="AK39" i="57"/>
  <c r="AR45" i="50" s="1"/>
  <c r="AR44" i="50" s="1"/>
  <c r="AJ29" i="57"/>
  <c r="AK33" i="57"/>
  <c r="AJ33" i="57"/>
  <c r="AK41" i="57"/>
  <c r="AJ41" i="57"/>
  <c r="X60" i="50" l="1"/>
  <c r="W60" i="50"/>
  <c r="W61" i="50" s="1"/>
  <c r="V60" i="50"/>
  <c r="V61" i="50" s="1"/>
  <c r="U60" i="50"/>
  <c r="U61" i="50" s="1"/>
  <c r="T60" i="50"/>
  <c r="T61" i="50" s="1"/>
  <c r="K60" i="50"/>
  <c r="K61" i="50" s="1"/>
  <c r="N60" i="50"/>
  <c r="N61" i="50" s="1"/>
  <c r="D60" i="50"/>
  <c r="D61" i="50" s="1"/>
  <c r="I60" i="50"/>
  <c r="I61" i="50" s="1"/>
  <c r="R60" i="50"/>
  <c r="R61" i="50" s="1"/>
  <c r="H60" i="50"/>
  <c r="H61" i="50" s="1"/>
  <c r="G60" i="50"/>
  <c r="G61" i="50" s="1"/>
  <c r="J60" i="50"/>
  <c r="J61" i="50" s="1"/>
  <c r="C60" i="50"/>
  <c r="C61" i="50" s="1"/>
  <c r="E60" i="50"/>
  <c r="E61" i="50" s="1"/>
  <c r="M60" i="50"/>
  <c r="M61" i="50" s="1"/>
  <c r="S60" i="50"/>
  <c r="S61" i="50" s="1"/>
  <c r="L60" i="50"/>
  <c r="L61" i="50" s="1"/>
  <c r="F60" i="50"/>
  <c r="F61" i="50" s="1"/>
  <c r="Q60" i="50"/>
  <c r="Q61" i="50" s="1"/>
  <c r="O60" i="50"/>
  <c r="O61" i="50" s="1"/>
  <c r="P60" i="50"/>
  <c r="P61" i="50" s="1"/>
  <c r="AE42" i="50"/>
  <c r="AE55" i="50" s="1"/>
  <c r="AN42" i="50"/>
  <c r="AN55" i="50" s="1"/>
  <c r="AA42" i="50"/>
  <c r="AA55" i="50" s="1"/>
  <c r="AI42" i="50"/>
  <c r="AI55" i="50" s="1"/>
  <c r="AO42" i="50"/>
  <c r="AO55" i="50" s="1"/>
  <c r="AD42" i="50"/>
  <c r="AD55" i="50" s="1"/>
  <c r="AM42" i="50"/>
  <c r="AM55" i="50" s="1"/>
  <c r="Z42" i="50"/>
  <c r="Z55" i="50" s="1"/>
  <c r="AB42" i="50"/>
  <c r="AB55" i="50" s="1"/>
  <c r="AH42" i="50"/>
  <c r="AH55" i="50" s="1"/>
  <c r="Y42" i="50"/>
  <c r="AD20" i="36" s="1"/>
  <c r="AC42" i="50"/>
  <c r="AC55" i="50" s="1"/>
  <c r="BF42" i="50"/>
  <c r="BF55" i="50" s="1"/>
  <c r="AP42" i="50"/>
  <c r="AP55" i="50" s="1"/>
  <c r="AK42" i="50"/>
  <c r="AK55" i="50" s="1"/>
  <c r="AT42" i="50"/>
  <c r="AT55" i="50" s="1"/>
  <c r="BE42" i="50"/>
  <c r="BE55" i="50" s="1"/>
  <c r="AY42" i="50"/>
  <c r="AY55" i="50" s="1"/>
  <c r="AL42" i="50"/>
  <c r="AL55" i="50" s="1"/>
  <c r="AX42" i="50"/>
  <c r="AX55" i="50" s="1"/>
  <c r="AV42" i="50"/>
  <c r="AV55" i="50" s="1"/>
  <c r="AQ42" i="50"/>
  <c r="AQ55" i="50" s="1"/>
  <c r="AF42" i="50"/>
  <c r="AF55" i="50" s="1"/>
  <c r="AZ42" i="50"/>
  <c r="AZ55" i="50" s="1"/>
  <c r="AS42" i="50"/>
  <c r="AS55" i="50" s="1"/>
  <c r="BG42" i="50"/>
  <c r="BG55" i="50" s="1"/>
  <c r="BD42" i="50"/>
  <c r="BD55" i="50" s="1"/>
  <c r="AJ42" i="50"/>
  <c r="AJ55" i="50" s="1"/>
  <c r="AG42" i="50"/>
  <c r="AG55" i="50" s="1"/>
  <c r="BB42" i="50"/>
  <c r="BB55" i="50" s="1"/>
  <c r="BK42" i="50"/>
  <c r="BK55" i="50" s="1"/>
  <c r="AW42" i="50"/>
  <c r="AW55" i="50" s="1"/>
  <c r="BH42" i="50"/>
  <c r="BH55" i="50" s="1"/>
  <c r="BJ42" i="50"/>
  <c r="BJ55" i="50" s="1"/>
  <c r="BI42" i="50"/>
  <c r="BI55" i="50" s="1"/>
  <c r="BC42" i="50"/>
  <c r="BC55" i="50" s="1"/>
  <c r="AR42" i="50"/>
  <c r="AR55" i="50" s="1"/>
  <c r="BA42" i="50"/>
  <c r="BA55" i="50" s="1"/>
  <c r="AU42" i="50"/>
  <c r="AU55" i="50" s="1"/>
  <c r="Z27" i="50"/>
  <c r="Z18" i="50" s="1"/>
  <c r="Z52" i="50" s="1"/>
  <c r="Y27" i="50"/>
  <c r="Y18" i="50" s="1"/>
  <c r="Y52" i="50" s="1"/>
  <c r="AD37" i="50"/>
  <c r="AD54" i="50" s="1"/>
  <c r="AB37" i="50"/>
  <c r="AB54" i="50" s="1"/>
  <c r="AE37" i="50"/>
  <c r="AE54" i="50" s="1"/>
  <c r="AC37" i="50"/>
  <c r="AC54" i="50" s="1"/>
  <c r="Z37" i="50"/>
  <c r="Z54" i="50" s="1"/>
  <c r="AA37" i="50"/>
  <c r="AA54" i="50" s="1"/>
  <c r="AN37" i="50"/>
  <c r="AN54" i="50" s="1"/>
  <c r="AI37" i="50"/>
  <c r="AI54" i="50" s="1"/>
  <c r="AO37" i="50"/>
  <c r="AO54" i="50" s="1"/>
  <c r="AH37" i="50"/>
  <c r="AH54" i="50" s="1"/>
  <c r="AM37" i="50"/>
  <c r="AM54" i="50" s="1"/>
  <c r="AP37" i="50"/>
  <c r="AP54" i="50" s="1"/>
  <c r="AK37" i="50"/>
  <c r="AK54" i="50" s="1"/>
  <c r="AY37" i="50"/>
  <c r="AY54" i="50" s="1"/>
  <c r="AW37" i="50"/>
  <c r="AW54" i="50" s="1"/>
  <c r="AQ37" i="50"/>
  <c r="AQ54" i="50" s="1"/>
  <c r="AZ37" i="50"/>
  <c r="AZ54" i="50" s="1"/>
  <c r="AT37" i="50"/>
  <c r="AT54" i="50" s="1"/>
  <c r="AX37" i="50"/>
  <c r="AX54" i="50" s="1"/>
  <c r="AV37" i="50"/>
  <c r="AV54" i="50" s="1"/>
  <c r="BK37" i="50"/>
  <c r="BK54" i="50" s="1"/>
  <c r="BJ37" i="50"/>
  <c r="BJ54" i="50" s="1"/>
  <c r="BC37" i="50"/>
  <c r="BC54" i="50" s="1"/>
  <c r="BA37" i="50"/>
  <c r="BA54" i="50" s="1"/>
  <c r="BB37" i="50"/>
  <c r="BB54" i="50" s="1"/>
  <c r="BH37" i="50"/>
  <c r="BH54" i="50" s="1"/>
  <c r="BF37" i="50"/>
  <c r="BF54" i="50" s="1"/>
  <c r="BD37" i="50"/>
  <c r="BD54" i="50" s="1"/>
  <c r="BG37" i="50"/>
  <c r="BG54" i="50" s="1"/>
  <c r="AF37" i="50"/>
  <c r="AF54" i="50" s="1"/>
  <c r="AS37" i="50"/>
  <c r="AS54" i="50" s="1"/>
  <c r="BE37" i="50"/>
  <c r="BE54" i="50" s="1"/>
  <c r="AJ37" i="50"/>
  <c r="AJ54" i="50" s="1"/>
  <c r="AU37" i="50"/>
  <c r="AU54" i="50" s="1"/>
  <c r="AL37" i="50"/>
  <c r="AL54" i="50" s="1"/>
  <c r="BI37" i="50"/>
  <c r="BI54" i="50" s="1"/>
  <c r="AR37" i="50"/>
  <c r="AR54" i="50" s="1"/>
  <c r="AG37" i="50"/>
  <c r="AG54" i="50" s="1"/>
  <c r="AI15" i="50"/>
  <c r="AI50" i="50" s="1"/>
  <c r="Y15" i="50"/>
  <c r="Y50" i="50" s="1"/>
  <c r="AC15" i="50"/>
  <c r="AC50" i="50" s="1"/>
  <c r="AB15" i="50"/>
  <c r="AB50" i="50" s="1"/>
  <c r="Z15" i="50"/>
  <c r="Z50" i="50" s="1"/>
  <c r="AD15" i="50"/>
  <c r="AD50" i="50" s="1"/>
  <c r="AA15" i="50"/>
  <c r="AA50" i="50" s="1"/>
  <c r="Y37" i="50"/>
  <c r="AE49" i="50"/>
  <c r="AD49" i="50"/>
  <c r="AA49" i="50"/>
  <c r="AC49" i="50"/>
  <c r="Y49" i="50"/>
  <c r="AB49" i="50"/>
  <c r="Z49" i="50"/>
  <c r="AD45" i="50"/>
  <c r="AD44" i="50" s="1"/>
  <c r="AA27" i="50"/>
  <c r="AA18" i="50" s="1"/>
  <c r="AA52" i="50" s="1"/>
  <c r="AB27" i="50"/>
  <c r="AB18" i="50" s="1"/>
  <c r="AB52" i="50" s="1"/>
  <c r="AC27" i="50"/>
  <c r="AC18" i="50" s="1"/>
  <c r="AC52" i="50" s="1"/>
  <c r="AD27" i="50"/>
  <c r="AD18" i="50" s="1"/>
  <c r="AD52" i="50" s="1"/>
  <c r="Z45" i="50"/>
  <c r="Z44" i="50" s="1"/>
  <c r="AA45" i="50"/>
  <c r="AA44" i="50" s="1"/>
  <c r="AC45" i="50"/>
  <c r="AC44" i="50" s="1"/>
  <c r="AB45" i="50"/>
  <c r="AB44" i="50" s="1"/>
  <c r="Y45" i="50"/>
  <c r="Y44" i="50" s="1"/>
  <c r="AE15" i="50"/>
  <c r="AE50" i="50" s="1"/>
  <c r="AO27" i="50"/>
  <c r="AO18" i="50" s="1"/>
  <c r="AO52" i="50" s="1"/>
  <c r="AE27" i="50"/>
  <c r="AE18" i="50" s="1"/>
  <c r="AE52" i="50" s="1"/>
  <c r="AE45" i="50"/>
  <c r="AE44" i="50" s="1"/>
  <c r="BG27" i="50"/>
  <c r="BG18" i="50" s="1"/>
  <c r="BG52" i="50" s="1"/>
  <c r="AJ27" i="50"/>
  <c r="AJ18" i="50" s="1"/>
  <c r="AJ52" i="50" s="1"/>
  <c r="BK27" i="50"/>
  <c r="BK18" i="50" s="1"/>
  <c r="BK52" i="50" s="1"/>
  <c r="BC27" i="50"/>
  <c r="BC18" i="50" s="1"/>
  <c r="BC52" i="50" s="1"/>
  <c r="AP27" i="50"/>
  <c r="AP18" i="50" s="1"/>
  <c r="AP52" i="50" s="1"/>
  <c r="BF27" i="50"/>
  <c r="BF18" i="50" s="1"/>
  <c r="BF52" i="50" s="1"/>
  <c r="AS27" i="50"/>
  <c r="AS18" i="50" s="1"/>
  <c r="AS52" i="50" s="1"/>
  <c r="BI27" i="50"/>
  <c r="BI18" i="50" s="1"/>
  <c r="BI52" i="50" s="1"/>
  <c r="AY27" i="50"/>
  <c r="AY18" i="50" s="1"/>
  <c r="AY52" i="50" s="1"/>
  <c r="AT27" i="50"/>
  <c r="AT18" i="50" s="1"/>
  <c r="AT52" i="50" s="1"/>
  <c r="AG27" i="50"/>
  <c r="AQ27" i="50"/>
  <c r="AQ18" i="50" s="1"/>
  <c r="AQ52" i="50" s="1"/>
  <c r="AF27" i="50"/>
  <c r="AF18" i="50" s="1"/>
  <c r="AF52" i="50" s="1"/>
  <c r="AL27" i="50"/>
  <c r="AL18" i="50" s="1"/>
  <c r="AL52" i="50" s="1"/>
  <c r="BB27" i="50"/>
  <c r="BB18" i="50" s="1"/>
  <c r="BB52" i="50" s="1"/>
  <c r="AV27" i="50"/>
  <c r="AV18" i="50" s="1"/>
  <c r="AV52" i="50" s="1"/>
  <c r="BE27" i="50"/>
  <c r="BE18" i="50" s="1"/>
  <c r="BE52" i="50" s="1"/>
  <c r="BD27" i="50"/>
  <c r="BD18" i="50" s="1"/>
  <c r="BD52" i="50" s="1"/>
  <c r="AX27" i="50"/>
  <c r="AX18" i="50" s="1"/>
  <c r="AX52" i="50" s="1"/>
  <c r="AU27" i="50"/>
  <c r="AU18" i="50" s="1"/>
  <c r="AU52" i="50" s="1"/>
  <c r="AW27" i="50"/>
  <c r="AW18" i="50" s="1"/>
  <c r="AW52" i="50" s="1"/>
  <c r="AM27" i="50"/>
  <c r="AM18" i="50" s="1"/>
  <c r="AM52" i="50" s="1"/>
  <c r="AR27" i="50"/>
  <c r="AR18" i="50" s="1"/>
  <c r="AR52" i="50" s="1"/>
  <c r="BA27" i="50"/>
  <c r="BA18" i="50" s="1"/>
  <c r="BA52" i="50" s="1"/>
  <c r="AI27" i="50"/>
  <c r="AI18" i="50" s="1"/>
  <c r="AI52" i="50" s="1"/>
  <c r="BH27" i="50"/>
  <c r="BH18" i="50" s="1"/>
  <c r="BH52" i="50" s="1"/>
  <c r="AH27" i="50"/>
  <c r="AH18" i="50" s="1"/>
  <c r="AH52" i="50" s="1"/>
  <c r="BJ27" i="50"/>
  <c r="BJ18" i="50" s="1"/>
  <c r="BJ52" i="50" s="1"/>
  <c r="AU15" i="50"/>
  <c r="AU50" i="50" s="1"/>
  <c r="AT15" i="50"/>
  <c r="AT50" i="50" s="1"/>
  <c r="AW15" i="50"/>
  <c r="AW50" i="50" s="1"/>
  <c r="BK15" i="50"/>
  <c r="BK50" i="50" s="1"/>
  <c r="AS15" i="50"/>
  <c r="AS50" i="50" s="1"/>
  <c r="BE15" i="50"/>
  <c r="BE50" i="50" s="1"/>
  <c r="BB15" i="50"/>
  <c r="BB50" i="50" s="1"/>
  <c r="AN15" i="50"/>
  <c r="AN50" i="50" s="1"/>
  <c r="BI15" i="50"/>
  <c r="BI50" i="50" s="1"/>
  <c r="AL15" i="50"/>
  <c r="AL50" i="50" s="1"/>
  <c r="BD15" i="50"/>
  <c r="BD50" i="50" s="1"/>
  <c r="AZ15" i="50"/>
  <c r="AZ50" i="50" s="1"/>
  <c r="AH15" i="50"/>
  <c r="AH50" i="50" s="1"/>
  <c r="AG15" i="50"/>
  <c r="AG50" i="50" s="1"/>
  <c r="AK15" i="50"/>
  <c r="AK50" i="50" s="1"/>
  <c r="AV45" i="50"/>
  <c r="AV44" i="50" s="1"/>
  <c r="AK27" i="50"/>
  <c r="AK18" i="50" s="1"/>
  <c r="AK52" i="50" s="1"/>
  <c r="BE45" i="50"/>
  <c r="BE44" i="50" s="1"/>
  <c r="AX45" i="50"/>
  <c r="AX44" i="50" s="1"/>
  <c r="BI45" i="50"/>
  <c r="BI44" i="50" s="1"/>
  <c r="AI45" i="50"/>
  <c r="AI44" i="50" s="1"/>
  <c r="BF15" i="50"/>
  <c r="BF50" i="50" s="1"/>
  <c r="BA15" i="50"/>
  <c r="BA50" i="50" s="1"/>
  <c r="BJ15" i="50"/>
  <c r="BJ50" i="50" s="1"/>
  <c r="AF15" i="50"/>
  <c r="AF50" i="50" s="1"/>
  <c r="AJ15" i="50"/>
  <c r="AJ50" i="50" s="1"/>
  <c r="BH15" i="50"/>
  <c r="BH50" i="50" s="1"/>
  <c r="BC15" i="50"/>
  <c r="BC50" i="50" s="1"/>
  <c r="AX15" i="50"/>
  <c r="AX50" i="50" s="1"/>
  <c r="AF45" i="50"/>
  <c r="AF44" i="50" s="1"/>
  <c r="AG45" i="50"/>
  <c r="AG44" i="50" s="1"/>
  <c r="AG46" i="50" s="1"/>
  <c r="AN45" i="50"/>
  <c r="AN44" i="50" s="1"/>
  <c r="AY15" i="50"/>
  <c r="AY50" i="50" s="1"/>
  <c r="AM15" i="50"/>
  <c r="AM50" i="50" s="1"/>
  <c r="AV15" i="50"/>
  <c r="AV50" i="50" s="1"/>
  <c r="AP15" i="50"/>
  <c r="AP50" i="50" s="1"/>
  <c r="AR15" i="50"/>
  <c r="AR50" i="50" s="1"/>
  <c r="AQ15" i="50"/>
  <c r="AQ50" i="50" s="1"/>
  <c r="BG15" i="50"/>
  <c r="BG50" i="50" s="1"/>
  <c r="AO15" i="50"/>
  <c r="AO50" i="50" s="1"/>
  <c r="BG45" i="50"/>
  <c r="BG44" i="50" s="1"/>
  <c r="BA45" i="50"/>
  <c r="BA44" i="50" s="1"/>
  <c r="AM45" i="50"/>
  <c r="AM44" i="50" s="1"/>
  <c r="BK45" i="50"/>
  <c r="BK44" i="50" s="1"/>
  <c r="AZ45" i="50"/>
  <c r="AZ44" i="50" s="1"/>
  <c r="AO45" i="50"/>
  <c r="AO44" i="50" s="1"/>
  <c r="AH45" i="50"/>
  <c r="AH44" i="50" s="1"/>
  <c r="BF45" i="50"/>
  <c r="BF44" i="50" s="1"/>
  <c r="AK45" i="50"/>
  <c r="AK44" i="50" s="1"/>
  <c r="AS45" i="50"/>
  <c r="AS44" i="50" s="1"/>
  <c r="BB45" i="50"/>
  <c r="BB44" i="50" s="1"/>
  <c r="BJ45" i="50"/>
  <c r="BJ44" i="50" s="1"/>
  <c r="AU45" i="50"/>
  <c r="AU44" i="50" s="1"/>
  <c r="AJ45" i="50"/>
  <c r="AJ44" i="50" s="1"/>
  <c r="AJ46" i="50" s="1"/>
  <c r="BH45" i="50"/>
  <c r="BH44" i="50" s="1"/>
  <c r="AQ45" i="50"/>
  <c r="AQ44" i="50" s="1"/>
  <c r="AY45" i="50"/>
  <c r="AY44" i="50" s="1"/>
  <c r="BD45" i="50"/>
  <c r="BD44" i="50" s="1"/>
  <c r="AL45" i="50"/>
  <c r="AL44" i="50" s="1"/>
  <c r="AT45" i="50"/>
  <c r="AT44" i="50" s="1"/>
  <c r="BC45" i="50"/>
  <c r="BC44" i="50" s="1"/>
  <c r="AN27" i="50"/>
  <c r="AN18" i="50" s="1"/>
  <c r="AN52" i="50" s="1"/>
  <c r="AZ27" i="50"/>
  <c r="AZ18" i="50" s="1"/>
  <c r="AZ52" i="50" s="1"/>
  <c r="AW45" i="50"/>
  <c r="AW44" i="50" s="1"/>
  <c r="AP45" i="50"/>
  <c r="AP44" i="50" s="1"/>
  <c r="AY49" i="50"/>
  <c r="AS49" i="50"/>
  <c r="AM49" i="50"/>
  <c r="AG49" i="50"/>
  <c r="AQ49" i="50"/>
  <c r="AK49" i="50"/>
  <c r="AU49" i="50"/>
  <c r="AO49" i="50"/>
  <c r="AH49" i="50"/>
  <c r="AF49" i="50"/>
  <c r="BI49" i="50"/>
  <c r="BC49" i="50"/>
  <c r="AW49" i="50"/>
  <c r="BG49" i="50"/>
  <c r="BA49" i="50"/>
  <c r="BK49" i="50"/>
  <c r="BE49" i="50"/>
  <c r="AX49" i="50"/>
  <c r="AV49" i="50"/>
  <c r="AL49" i="50"/>
  <c r="AJ49" i="50"/>
  <c r="AP49" i="50"/>
  <c r="AN49" i="50"/>
  <c r="AT49" i="50"/>
  <c r="AR49" i="50"/>
  <c r="AZ49" i="50"/>
  <c r="BH49" i="50"/>
  <c r="AI49" i="50"/>
  <c r="BF49" i="50"/>
  <c r="BD49" i="50"/>
  <c r="BB49" i="50"/>
  <c r="BJ49" i="50"/>
  <c r="AR46" i="50"/>
  <c r="Y55" i="50" l="1"/>
  <c r="BC56" i="50"/>
  <c r="BC58" i="50" s="1"/>
  <c r="BC59" i="50" s="1"/>
  <c r="BC60" i="50" s="1"/>
  <c r="BE56" i="50"/>
  <c r="AO56" i="50"/>
  <c r="AP56" i="50"/>
  <c r="BJ56" i="50"/>
  <c r="BK56" i="50"/>
  <c r="Z56" i="50"/>
  <c r="BG56" i="50"/>
  <c r="BH56" i="50"/>
  <c r="AK56" i="50"/>
  <c r="BD56" i="50"/>
  <c r="BB56" i="50"/>
  <c r="X61" i="50"/>
  <c r="AD41" i="36"/>
  <c r="BA56" i="50"/>
  <c r="AQ56" i="50"/>
  <c r="AV56" i="50"/>
  <c r="AR56" i="50"/>
  <c r="AY56" i="50"/>
  <c r="AF56" i="50"/>
  <c r="AH56" i="50"/>
  <c r="BI56" i="50"/>
  <c r="AU56" i="50"/>
  <c r="AZ56" i="50"/>
  <c r="AN56" i="50"/>
  <c r="AI56" i="50"/>
  <c r="AG18" i="50"/>
  <c r="AG52" i="50" s="1"/>
  <c r="AG56" i="50" s="1"/>
  <c r="AB56" i="50"/>
  <c r="AA56" i="50"/>
  <c r="AD56" i="50"/>
  <c r="AM56" i="50"/>
  <c r="BF56" i="50"/>
  <c r="AL56" i="50"/>
  <c r="AS56" i="50"/>
  <c r="AE56" i="50"/>
  <c r="AW56" i="50"/>
  <c r="AJ56" i="50"/>
  <c r="AT56" i="50"/>
  <c r="AC56" i="50"/>
  <c r="AX56" i="50"/>
  <c r="AD21" i="36"/>
  <c r="Y54" i="50"/>
  <c r="BB20" i="36"/>
  <c r="BB22" i="36"/>
  <c r="BE22" i="36"/>
  <c r="BE20" i="36"/>
  <c r="AY20" i="36"/>
  <c r="AY22" i="36"/>
  <c r="AE22" i="36"/>
  <c r="AE20" i="36"/>
  <c r="AZ20" i="36"/>
  <c r="AZ22" i="36"/>
  <c r="BN20" i="36"/>
  <c r="BN22" i="36"/>
  <c r="BP22" i="36"/>
  <c r="BP20" i="36"/>
  <c r="BI20" i="36"/>
  <c r="BI22" i="36"/>
  <c r="AK22" i="36"/>
  <c r="AK20" i="36"/>
  <c r="AQ22" i="36"/>
  <c r="AQ20" i="36"/>
  <c r="AP22" i="36"/>
  <c r="AP20" i="36"/>
  <c r="AD22" i="36"/>
  <c r="AR22" i="36"/>
  <c r="AR20" i="36"/>
  <c r="AF20" i="36"/>
  <c r="AF22" i="36"/>
  <c r="BH22" i="36"/>
  <c r="BH20" i="36"/>
  <c r="AO20" i="36"/>
  <c r="AO22" i="36"/>
  <c r="BC20" i="36"/>
  <c r="BC22" i="36"/>
  <c r="AH20" i="36"/>
  <c r="AH22" i="36"/>
  <c r="BF22" i="36"/>
  <c r="BF20" i="36"/>
  <c r="BO20" i="36"/>
  <c r="BO22" i="36"/>
  <c r="BG22" i="36"/>
  <c r="BG20" i="36"/>
  <c r="BL22" i="36"/>
  <c r="BL20" i="36"/>
  <c r="AV22" i="36"/>
  <c r="AV20" i="36"/>
  <c r="BD22" i="36"/>
  <c r="BD20" i="36"/>
  <c r="AU20" i="36"/>
  <c r="AU22" i="36"/>
  <c r="AM22" i="36"/>
  <c r="AM20" i="36"/>
  <c r="AI22" i="36"/>
  <c r="AI20" i="36"/>
  <c r="AS22" i="36"/>
  <c r="AS20" i="36"/>
  <c r="AN20" i="36"/>
  <c r="AN22" i="36"/>
  <c r="AW22" i="36"/>
  <c r="AW20" i="36"/>
  <c r="BM22" i="36"/>
  <c r="BM20" i="36"/>
  <c r="AL22" i="36"/>
  <c r="AL20" i="36"/>
  <c r="AX22" i="36"/>
  <c r="AX20" i="36"/>
  <c r="BA22" i="36"/>
  <c r="BA20" i="36"/>
  <c r="BJ20" i="36"/>
  <c r="BJ22" i="36"/>
  <c r="BK20" i="36"/>
  <c r="BK22" i="36"/>
  <c r="AG20" i="36"/>
  <c r="AG22" i="36"/>
  <c r="AT22" i="36"/>
  <c r="AT20" i="36"/>
  <c r="AJ22" i="36"/>
  <c r="AJ20" i="36"/>
  <c r="BM7" i="36"/>
  <c r="BM5" i="36"/>
  <c r="BM6" i="36"/>
  <c r="AP6" i="36"/>
  <c r="AP5" i="36"/>
  <c r="AP7" i="36"/>
  <c r="BB7" i="36"/>
  <c r="BB5" i="36"/>
  <c r="BB6" i="36"/>
  <c r="AV7" i="36"/>
  <c r="AV5" i="36"/>
  <c r="AV6" i="36"/>
  <c r="AR5" i="36"/>
  <c r="AR6" i="36"/>
  <c r="AR7" i="36"/>
  <c r="AO5" i="36"/>
  <c r="AO7" i="36"/>
  <c r="AO6" i="36"/>
  <c r="BK7" i="36"/>
  <c r="BK6" i="36"/>
  <c r="BK5" i="36"/>
  <c r="AL5" i="36"/>
  <c r="AL7" i="36"/>
  <c r="AL6" i="36"/>
  <c r="BJ6" i="36"/>
  <c r="BJ7" i="36"/>
  <c r="BJ5" i="36"/>
  <c r="AY5" i="36"/>
  <c r="AY7" i="36"/>
  <c r="AY6" i="36"/>
  <c r="AF7" i="36"/>
  <c r="AF6" i="36"/>
  <c r="AF5" i="36"/>
  <c r="AH5" i="36"/>
  <c r="AH6" i="36"/>
  <c r="AH7" i="36"/>
  <c r="BL5" i="36"/>
  <c r="BL7" i="36"/>
  <c r="BL6" i="36"/>
  <c r="BG6" i="36"/>
  <c r="BG7" i="36"/>
  <c r="BG5" i="36"/>
  <c r="AG6" i="36"/>
  <c r="AG7" i="36"/>
  <c r="AG5" i="36"/>
  <c r="AW5" i="36"/>
  <c r="AW7" i="36"/>
  <c r="AW6" i="36"/>
  <c r="BD6" i="36"/>
  <c r="BD5" i="36"/>
  <c r="BD7" i="36"/>
  <c r="BC6" i="36"/>
  <c r="BC7" i="36"/>
  <c r="BC5" i="36"/>
  <c r="AK6" i="36"/>
  <c r="AK7" i="36"/>
  <c r="AK5" i="36"/>
  <c r="AM6" i="36"/>
  <c r="AM5" i="36"/>
  <c r="AM7" i="36"/>
  <c r="BN5" i="36"/>
  <c r="BN7" i="36"/>
  <c r="BN6" i="36"/>
  <c r="AX5" i="36"/>
  <c r="AX6" i="36"/>
  <c r="AX7" i="36"/>
  <c r="AZ6" i="36"/>
  <c r="AZ7" i="36"/>
  <c r="AZ5" i="36"/>
  <c r="AJ6" i="36"/>
  <c r="AJ5" i="36"/>
  <c r="AJ7" i="36"/>
  <c r="AI7" i="36"/>
  <c r="AI6" i="36"/>
  <c r="AI5" i="36"/>
  <c r="BA5" i="36"/>
  <c r="BA7" i="36"/>
  <c r="BA6" i="36"/>
  <c r="BF5" i="36"/>
  <c r="BF7" i="36"/>
  <c r="BF6" i="36"/>
  <c r="BI5" i="36"/>
  <c r="BI7" i="36"/>
  <c r="BI6" i="36"/>
  <c r="AT5" i="36"/>
  <c r="AT7" i="36"/>
  <c r="AT6" i="36"/>
  <c r="AU7" i="36"/>
  <c r="AU5" i="36"/>
  <c r="AU6" i="36"/>
  <c r="BH6" i="36"/>
  <c r="BH7" i="36"/>
  <c r="BH5" i="36"/>
  <c r="BO7" i="36"/>
  <c r="BO6" i="36"/>
  <c r="BO5" i="36"/>
  <c r="BE6" i="36"/>
  <c r="BE5" i="36"/>
  <c r="BE7" i="36"/>
  <c r="AS5" i="36"/>
  <c r="AS6" i="36"/>
  <c r="AS7" i="36"/>
  <c r="BP5" i="36"/>
  <c r="BP6" i="36"/>
  <c r="BP7" i="36"/>
  <c r="AE5" i="36"/>
  <c r="AE6" i="36"/>
  <c r="AE7" i="36"/>
  <c r="AN7" i="36"/>
  <c r="AN5" i="36"/>
  <c r="AN6" i="36"/>
  <c r="AQ5" i="36"/>
  <c r="AQ7" i="36"/>
  <c r="AQ6" i="36"/>
  <c r="AD6" i="36"/>
  <c r="AD7" i="36"/>
  <c r="AD5" i="36"/>
  <c r="AW31" i="55"/>
  <c r="AL31" i="55"/>
  <c r="AX31" i="55"/>
  <c r="AQ31" i="55"/>
  <c r="AA31" i="55"/>
  <c r="AT31" i="55"/>
  <c r="AR31" i="55"/>
  <c r="AM31" i="55"/>
  <c r="AC31" i="55"/>
  <c r="Z31" i="55"/>
  <c r="AV31" i="55"/>
  <c r="W31" i="55"/>
  <c r="AB31" i="55"/>
  <c r="AU31" i="55"/>
  <c r="AJ31" i="55"/>
  <c r="AH31" i="55"/>
  <c r="AO31" i="55"/>
  <c r="AN31" i="55"/>
  <c r="V31" i="55"/>
  <c r="X31" i="55"/>
  <c r="AY31" i="55"/>
  <c r="AI31" i="55"/>
  <c r="AK31" i="55"/>
  <c r="AE31" i="55"/>
  <c r="AF31" i="55"/>
  <c r="AS31" i="55"/>
  <c r="AZ31" i="55"/>
  <c r="AP31" i="55"/>
  <c r="AD31" i="55"/>
  <c r="BA31" i="55"/>
  <c r="Y31" i="55"/>
  <c r="AL19" i="36"/>
  <c r="AL21" i="36"/>
  <c r="BM19" i="36"/>
  <c r="BM21" i="36"/>
  <c r="AY21" i="36"/>
  <c r="AY19" i="36"/>
  <c r="AM21" i="36"/>
  <c r="AM19" i="36"/>
  <c r="AG19" i="36"/>
  <c r="AG21" i="36"/>
  <c r="AW19" i="36"/>
  <c r="AW21" i="36"/>
  <c r="AO19" i="36"/>
  <c r="AO21" i="36"/>
  <c r="BL21" i="36"/>
  <c r="BL19" i="36"/>
  <c r="BG21" i="36"/>
  <c r="BG19" i="36"/>
  <c r="BP19" i="36"/>
  <c r="BP21" i="36"/>
  <c r="BE19" i="36"/>
  <c r="BE21" i="36"/>
  <c r="AP21" i="36"/>
  <c r="AP19" i="36"/>
  <c r="AT19" i="36"/>
  <c r="AT21" i="36"/>
  <c r="AE21" i="36"/>
  <c r="AE19" i="36"/>
  <c r="AI21" i="36"/>
  <c r="AI19" i="36"/>
  <c r="AZ21" i="36"/>
  <c r="AZ19" i="36"/>
  <c r="AK19" i="36"/>
  <c r="AK21" i="36"/>
  <c r="BO21" i="36"/>
  <c r="BO19" i="36"/>
  <c r="BD19" i="36"/>
  <c r="BD21" i="36"/>
  <c r="AF19" i="36"/>
  <c r="AF21" i="36"/>
  <c r="AD19" i="36"/>
  <c r="BN21" i="36"/>
  <c r="BN19" i="36"/>
  <c r="BJ19" i="36"/>
  <c r="BJ21" i="36"/>
  <c r="BI19" i="36"/>
  <c r="BI21" i="36"/>
  <c r="BF21" i="36"/>
  <c r="BF19" i="36"/>
  <c r="BA19" i="36"/>
  <c r="BA21" i="36"/>
  <c r="AV19" i="36"/>
  <c r="AV21" i="36"/>
  <c r="AU21" i="36"/>
  <c r="AU19" i="36"/>
  <c r="AN19" i="36"/>
  <c r="AN21" i="36"/>
  <c r="AH19" i="36"/>
  <c r="AH21" i="36"/>
  <c r="AQ21" i="36"/>
  <c r="AQ19" i="36"/>
  <c r="AX21" i="36"/>
  <c r="AX19" i="36"/>
  <c r="BK21" i="36"/>
  <c r="BK19" i="36"/>
  <c r="BH19" i="36"/>
  <c r="BH21" i="36"/>
  <c r="BC21" i="36"/>
  <c r="BC19" i="36"/>
  <c r="BB19" i="36"/>
  <c r="BB21" i="36"/>
  <c r="AR21" i="36"/>
  <c r="AR19" i="36"/>
  <c r="AS19" i="36"/>
  <c r="AS21" i="36"/>
  <c r="AJ21" i="36"/>
  <c r="AJ19" i="36"/>
  <c r="BE12" i="36"/>
  <c r="BE11" i="36"/>
  <c r="AM12" i="36"/>
  <c r="AM11" i="36"/>
  <c r="BC12" i="36"/>
  <c r="BC11" i="36"/>
  <c r="AL12" i="36"/>
  <c r="AL11" i="36"/>
  <c r="BP11" i="36"/>
  <c r="BP12" i="36"/>
  <c r="AI12" i="36"/>
  <c r="AI11" i="36"/>
  <c r="AS12" i="36"/>
  <c r="AS11" i="36"/>
  <c r="AR12" i="36"/>
  <c r="AR11" i="36"/>
  <c r="AP12" i="36"/>
  <c r="AP11" i="36"/>
  <c r="AN12" i="36"/>
  <c r="AN11" i="36"/>
  <c r="BB12" i="36"/>
  <c r="BB11" i="36"/>
  <c r="BJ12" i="36"/>
  <c r="BJ11" i="36"/>
  <c r="AK12" i="36"/>
  <c r="AK11" i="36"/>
  <c r="AK162" i="34" s="1"/>
  <c r="BD12" i="36"/>
  <c r="BD11" i="36"/>
  <c r="AU12" i="36"/>
  <c r="AU11" i="36"/>
  <c r="AU10" i="34" s="1"/>
  <c r="BL12" i="36"/>
  <c r="BL11" i="36"/>
  <c r="AG12" i="36"/>
  <c r="AG11" i="36"/>
  <c r="AD11" i="36"/>
  <c r="AD12" i="36"/>
  <c r="AW12" i="36"/>
  <c r="AW11" i="36"/>
  <c r="BG12" i="36"/>
  <c r="BG11" i="36"/>
  <c r="AX12" i="36"/>
  <c r="AX11" i="36"/>
  <c r="AJ12" i="36"/>
  <c r="AJ11" i="36"/>
  <c r="BM12" i="36"/>
  <c r="BM11" i="36"/>
  <c r="BI12" i="36"/>
  <c r="BI11" i="36"/>
  <c r="AQ12" i="36"/>
  <c r="AQ11" i="36"/>
  <c r="AY12" i="36"/>
  <c r="AY11" i="36"/>
  <c r="BK12" i="36"/>
  <c r="BK11" i="36"/>
  <c r="AO12" i="36"/>
  <c r="AO11" i="36"/>
  <c r="AT12" i="36"/>
  <c r="AT11" i="36"/>
  <c r="AT162" i="34" s="1"/>
  <c r="AH12" i="36"/>
  <c r="AH11" i="36"/>
  <c r="BO12" i="36"/>
  <c r="BO11" i="36"/>
  <c r="BF12" i="36"/>
  <c r="BF11" i="36"/>
  <c r="AZ12" i="36"/>
  <c r="AZ11" i="36"/>
  <c r="BA12" i="36"/>
  <c r="BA11" i="36"/>
  <c r="AV12" i="36"/>
  <c r="AV11" i="36"/>
  <c r="BN12" i="36"/>
  <c r="BN11" i="36"/>
  <c r="BH12" i="36"/>
  <c r="BH11" i="36"/>
  <c r="AF12" i="36"/>
  <c r="AF11" i="36"/>
  <c r="AE11" i="36"/>
  <c r="AE12" i="36"/>
  <c r="AN37" i="55"/>
  <c r="AR37" i="55"/>
  <c r="AI37" i="55"/>
  <c r="AX37" i="55"/>
  <c r="AJ37" i="55"/>
  <c r="AH37" i="55"/>
  <c r="AE37" i="55"/>
  <c r="AA37" i="55"/>
  <c r="AC37" i="55"/>
  <c r="AB37" i="55"/>
  <c r="Z37" i="55"/>
  <c r="X37" i="55"/>
  <c r="W37" i="55"/>
  <c r="U37" i="55"/>
  <c r="BA37" i="55"/>
  <c r="S12" i="55"/>
  <c r="T12" i="55"/>
  <c r="R31" i="55"/>
  <c r="AV46" i="50"/>
  <c r="O12" i="55"/>
  <c r="Q6" i="55"/>
  <c r="Q31" i="55"/>
  <c r="S31" i="55"/>
  <c r="T6" i="55"/>
  <c r="BI46" i="50"/>
  <c r="U31" i="55"/>
  <c r="P12" i="55"/>
  <c r="O6" i="55"/>
  <c r="P6" i="55"/>
  <c r="T31" i="55"/>
  <c r="O31" i="55"/>
  <c r="AM46" i="50"/>
  <c r="Q12" i="55"/>
  <c r="R12" i="55"/>
  <c r="R6" i="55"/>
  <c r="S6" i="55"/>
  <c r="P31" i="55"/>
  <c r="AM37" i="55"/>
  <c r="AO37" i="55"/>
  <c r="V37" i="55"/>
  <c r="AW37" i="55"/>
  <c r="Y37" i="55"/>
  <c r="AU37" i="55"/>
  <c r="AF37" i="55"/>
  <c r="Y46" i="50"/>
  <c r="Z46" i="50"/>
  <c r="O37" i="55"/>
  <c r="AB46" i="50"/>
  <c r="T37" i="55"/>
  <c r="R37" i="55"/>
  <c r="AC46" i="50"/>
  <c r="P37" i="55"/>
  <c r="Q37" i="55"/>
  <c r="AA46" i="50"/>
  <c r="S37" i="55"/>
  <c r="AD46" i="50"/>
  <c r="AD37" i="55"/>
  <c r="BD46" i="50"/>
  <c r="AS46" i="50"/>
  <c r="AO46" i="50"/>
  <c r="BA46" i="50"/>
  <c r="AX46" i="50"/>
  <c r="AP46" i="50"/>
  <c r="BC46" i="50"/>
  <c r="AY46" i="50"/>
  <c r="AU46" i="50"/>
  <c r="AZ46" i="50"/>
  <c r="BG46" i="50"/>
  <c r="BE46" i="50"/>
  <c r="AW46" i="50"/>
  <c r="AT46" i="50"/>
  <c r="AQ46" i="50"/>
  <c r="BJ46" i="50"/>
  <c r="BF46" i="50"/>
  <c r="BK46" i="50"/>
  <c r="BH46" i="50"/>
  <c r="BB46" i="50"/>
  <c r="AN46" i="50"/>
  <c r="AT37" i="55"/>
  <c r="AV37" i="55"/>
  <c r="AH46" i="50"/>
  <c r="AE46" i="50"/>
  <c r="AQ31" i="50"/>
  <c r="AQ36" i="50"/>
  <c r="AQ41" i="50"/>
  <c r="AG31" i="55"/>
  <c r="AO41" i="50"/>
  <c r="AX24" i="55"/>
  <c r="AT24" i="55"/>
  <c r="BA24" i="55"/>
  <c r="AL24" i="55"/>
  <c r="AQ24" i="55"/>
  <c r="AN24" i="55"/>
  <c r="AP24" i="55"/>
  <c r="AM24" i="55"/>
  <c r="AO24" i="55"/>
  <c r="AV24" i="55"/>
  <c r="AI24" i="55"/>
  <c r="AY24" i="55"/>
  <c r="AH24" i="55"/>
  <c r="AJ24" i="55"/>
  <c r="AK24" i="55"/>
  <c r="AU24" i="55"/>
  <c r="AS24" i="55"/>
  <c r="AW24" i="55"/>
  <c r="AR24" i="55"/>
  <c r="AZ24" i="55"/>
  <c r="AQ37" i="55"/>
  <c r="AK37" i="55"/>
  <c r="AL37" i="55"/>
  <c r="AG37" i="55"/>
  <c r="AS37" i="55"/>
  <c r="AY37" i="55"/>
  <c r="AZ37" i="55"/>
  <c r="AK46" i="50"/>
  <c r="AF46" i="50"/>
  <c r="AI46" i="50"/>
  <c r="AP37" i="55"/>
  <c r="AL46" i="50"/>
  <c r="W24" i="55"/>
  <c r="AA24" i="55"/>
  <c r="BA12" i="55"/>
  <c r="AS12" i="55"/>
  <c r="X12" i="55"/>
  <c r="AA12" i="55"/>
  <c r="AV12" i="55"/>
  <c r="AK12" i="55"/>
  <c r="W12" i="55"/>
  <c r="U12" i="55"/>
  <c r="AW6" i="55"/>
  <c r="AT6" i="55"/>
  <c r="AV6" i="55"/>
  <c r="AC6" i="55"/>
  <c r="AQ6" i="55"/>
  <c r="AF6" i="55"/>
  <c r="AZ6" i="55"/>
  <c r="AO6" i="55"/>
  <c r="V24" i="55"/>
  <c r="AE24" i="55"/>
  <c r="AO31" i="50"/>
  <c r="Z24" i="55"/>
  <c r="AG12" i="55"/>
  <c r="AZ12" i="55"/>
  <c r="AY12" i="55"/>
  <c r="AC12" i="55"/>
  <c r="AR12" i="55"/>
  <c r="AM12" i="55"/>
  <c r="AF12" i="55"/>
  <c r="AN12" i="55"/>
  <c r="AO36" i="50"/>
  <c r="AE12" i="55"/>
  <c r="AX6" i="55"/>
  <c r="AY6" i="55"/>
  <c r="AK6" i="55"/>
  <c r="W6" i="55"/>
  <c r="AN6" i="55"/>
  <c r="BA6" i="55"/>
  <c r="AI6" i="55"/>
  <c r="U6" i="55"/>
  <c r="X24" i="55"/>
  <c r="AC24" i="55"/>
  <c r="U24" i="55"/>
  <c r="Y12" i="55"/>
  <c r="AQ12" i="55"/>
  <c r="Z12" i="55"/>
  <c r="AJ12" i="55"/>
  <c r="AI12" i="55"/>
  <c r="AX12" i="55"/>
  <c r="AW12" i="55"/>
  <c r="AB12" i="55"/>
  <c r="AS6" i="55"/>
  <c r="AP6" i="55"/>
  <c r="AJ6" i="55"/>
  <c r="AD6" i="55"/>
  <c r="AU6" i="55"/>
  <c r="AG6" i="55"/>
  <c r="Z6" i="55"/>
  <c r="X6" i="55"/>
  <c r="AE6" i="55"/>
  <c r="Y24" i="55"/>
  <c r="AD24" i="55"/>
  <c r="AG24" i="55"/>
  <c r="AB24" i="55"/>
  <c r="AF24" i="55"/>
  <c r="AD12" i="55"/>
  <c r="AT12" i="55"/>
  <c r="V12" i="55"/>
  <c r="AO12" i="55"/>
  <c r="AL12" i="55"/>
  <c r="AU12" i="55"/>
  <c r="AH12" i="55"/>
  <c r="AP12" i="55"/>
  <c r="Y6" i="55"/>
  <c r="AA6" i="55"/>
  <c r="V6" i="55"/>
  <c r="AH6" i="55"/>
  <c r="AB6" i="55"/>
  <c r="AR6" i="55"/>
  <c r="AL6" i="55"/>
  <c r="AM6" i="55"/>
  <c r="Y56" i="50" l="1"/>
  <c r="Y58" i="50" s="1"/>
  <c r="Y59" i="50" s="1"/>
  <c r="Y60" i="50" s="1"/>
  <c r="AD45" i="36"/>
  <c r="AD82" i="36"/>
  <c r="AD85" i="36" s="1"/>
  <c r="BE58" i="50"/>
  <c r="BE59" i="50" s="1"/>
  <c r="BE60" i="50" s="1"/>
  <c r="BE61" i="50" s="1"/>
  <c r="BK58" i="50"/>
  <c r="BK59" i="50" s="1"/>
  <c r="BK60" i="50" s="1"/>
  <c r="BK61" i="50" s="1"/>
  <c r="BJ58" i="50"/>
  <c r="BJ59" i="50" s="1"/>
  <c r="BJ60" i="50" s="1"/>
  <c r="BP41" i="36" s="1"/>
  <c r="BP82" i="36" s="1"/>
  <c r="BB58" i="50"/>
  <c r="BB59" i="50" s="1"/>
  <c r="BB60" i="50" s="1"/>
  <c r="BB61" i="50" s="1"/>
  <c r="BG58" i="50"/>
  <c r="BG59" i="50" s="1"/>
  <c r="BG60" i="50" s="1"/>
  <c r="BG61" i="50" s="1"/>
  <c r="AP58" i="50"/>
  <c r="AP59" i="50" s="1"/>
  <c r="AP60" i="50" s="1"/>
  <c r="AP61" i="50" s="1"/>
  <c r="AK58" i="50"/>
  <c r="AK59" i="50" s="1"/>
  <c r="AK60" i="50" s="1"/>
  <c r="AK61" i="50" s="1"/>
  <c r="BH58" i="50"/>
  <c r="BH59" i="50" s="1"/>
  <c r="BH60" i="50" s="1"/>
  <c r="BN41" i="36" s="1"/>
  <c r="BN82" i="36" s="1"/>
  <c r="BD58" i="50"/>
  <c r="BD59" i="50" s="1"/>
  <c r="BD60" i="50" s="1"/>
  <c r="BD61" i="50" s="1"/>
  <c r="Z58" i="50"/>
  <c r="Z59" i="50" s="1"/>
  <c r="Z60" i="50" s="1"/>
  <c r="Z61" i="50" s="1"/>
  <c r="AO58" i="50"/>
  <c r="AO59" i="50" s="1"/>
  <c r="AO60" i="50" s="1"/>
  <c r="AO61" i="50" s="1"/>
  <c r="AX58" i="50"/>
  <c r="AX59" i="50" s="1"/>
  <c r="AX60" i="50" s="1"/>
  <c r="BF58" i="50"/>
  <c r="BF59" i="50" s="1"/>
  <c r="BF60" i="50" s="1"/>
  <c r="AG58" i="50"/>
  <c r="AG59" i="50" s="1"/>
  <c r="AG60" i="50" s="1"/>
  <c r="AI58" i="50"/>
  <c r="AI59" i="50" s="1"/>
  <c r="AI60" i="50" s="1"/>
  <c r="BI58" i="50"/>
  <c r="BI59" i="50" s="1"/>
  <c r="BI60" i="50" s="1"/>
  <c r="AR58" i="50"/>
  <c r="AR59" i="50" s="1"/>
  <c r="AR60" i="50" s="1"/>
  <c r="AE58" i="50"/>
  <c r="AE59" i="50" s="1"/>
  <c r="AE60" i="50" s="1"/>
  <c r="AM58" i="50"/>
  <c r="AM59" i="50" s="1"/>
  <c r="AM60" i="50" s="1"/>
  <c r="AN58" i="50"/>
  <c r="AN59" i="50" s="1"/>
  <c r="AN60" i="50" s="1"/>
  <c r="AH58" i="50"/>
  <c r="AH59" i="50" s="1"/>
  <c r="AH60" i="50" s="1"/>
  <c r="AV58" i="50"/>
  <c r="AV59" i="50" s="1"/>
  <c r="AV60" i="50" s="1"/>
  <c r="AT58" i="50"/>
  <c r="AT59" i="50" s="1"/>
  <c r="AT60" i="50" s="1"/>
  <c r="AS58" i="50"/>
  <c r="AS59" i="50" s="1"/>
  <c r="AS60" i="50" s="1"/>
  <c r="AD58" i="50"/>
  <c r="AD59" i="50" s="1"/>
  <c r="AD60" i="50" s="1"/>
  <c r="AZ58" i="50"/>
  <c r="AZ59" i="50" s="1"/>
  <c r="AZ60" i="50" s="1"/>
  <c r="AF58" i="50"/>
  <c r="AF59" i="50" s="1"/>
  <c r="AF60" i="50" s="1"/>
  <c r="AQ58" i="50"/>
  <c r="AQ59" i="50" s="1"/>
  <c r="AQ60" i="50" s="1"/>
  <c r="AW58" i="50"/>
  <c r="AW59" i="50" s="1"/>
  <c r="AW60" i="50" s="1"/>
  <c r="BI41" i="36"/>
  <c r="BI82" i="36" s="1"/>
  <c r="BC61" i="50"/>
  <c r="AC58" i="50"/>
  <c r="AC59" i="50" s="1"/>
  <c r="AC60" i="50" s="1"/>
  <c r="AB58" i="50"/>
  <c r="AB59" i="50" s="1"/>
  <c r="AB60" i="50" s="1"/>
  <c r="AJ58" i="50"/>
  <c r="AJ59" i="50" s="1"/>
  <c r="AJ60" i="50" s="1"/>
  <c r="AL58" i="50"/>
  <c r="AL59" i="50" s="1"/>
  <c r="AL60" i="50" s="1"/>
  <c r="AA58" i="50"/>
  <c r="AA59" i="50" s="1"/>
  <c r="AA60" i="50" s="1"/>
  <c r="AU58" i="50"/>
  <c r="AU59" i="50" s="1"/>
  <c r="AU60" i="50" s="1"/>
  <c r="AY58" i="50"/>
  <c r="AY59" i="50" s="1"/>
  <c r="AY60" i="50" s="1"/>
  <c r="BA58" i="50"/>
  <c r="BA59" i="50" s="1"/>
  <c r="BA60" i="50" s="1"/>
  <c r="AP178" i="34"/>
  <c r="AP179" i="34"/>
  <c r="AL179" i="34"/>
  <c r="AL72" i="36"/>
  <c r="AL113" i="34" s="1"/>
  <c r="AL42" i="34"/>
  <c r="AO25" i="34"/>
  <c r="AO56" i="36"/>
  <c r="AO97" i="34" s="1"/>
  <c r="AM24" i="34"/>
  <c r="AM43" i="34"/>
  <c r="AN72" i="36"/>
  <c r="AN113" i="34" s="1"/>
  <c r="AK10" i="34"/>
  <c r="AQ24" i="34"/>
  <c r="AQ178" i="34"/>
  <c r="AU162" i="34"/>
  <c r="AJ56" i="36"/>
  <c r="AJ97" i="34" s="1"/>
  <c r="AQ10" i="34"/>
  <c r="AU43" i="34"/>
  <c r="AU4" i="36"/>
  <c r="AU56" i="36"/>
  <c r="AU97" i="34" s="1"/>
  <c r="AO10" i="34"/>
  <c r="AO72" i="36"/>
  <c r="AO113" i="34" s="1"/>
  <c r="AK178" i="34"/>
  <c r="AN24" i="34"/>
  <c r="AN56" i="36"/>
  <c r="AN97" i="34" s="1"/>
  <c r="AJ42" i="34"/>
  <c r="AJ72" i="36"/>
  <c r="AJ113" i="34" s="1"/>
  <c r="AV4" i="36"/>
  <c r="AU24" i="34"/>
  <c r="AU72" i="36"/>
  <c r="AU113" i="34" s="1"/>
  <c r="AO42" i="34"/>
  <c r="AO162" i="34"/>
  <c r="AN10" i="34"/>
  <c r="AN178" i="34"/>
  <c r="AJ10" i="34"/>
  <c r="AJ162" i="34"/>
  <c r="AU42" i="34"/>
  <c r="AU178" i="34"/>
  <c r="AO24" i="34"/>
  <c r="AO178" i="34"/>
  <c r="AN42" i="34"/>
  <c r="AN162" i="34"/>
  <c r="AJ24" i="34"/>
  <c r="AJ178" i="34"/>
  <c r="AT179" i="34"/>
  <c r="AT4" i="36"/>
  <c r="AQ56" i="36"/>
  <c r="AQ97" i="34" s="1"/>
  <c r="AP10" i="34"/>
  <c r="AM56" i="36"/>
  <c r="AM97" i="34" s="1"/>
  <c r="AL162" i="34"/>
  <c r="AQ42" i="34"/>
  <c r="AQ162" i="34"/>
  <c r="AP72" i="36"/>
  <c r="AP113" i="34" s="1"/>
  <c r="AM72" i="36"/>
  <c r="AM113" i="34" s="1"/>
  <c r="AL10" i="34"/>
  <c r="AT56" i="36"/>
  <c r="AT97" i="34" s="1"/>
  <c r="AQ72" i="36"/>
  <c r="AQ113" i="34" s="1"/>
  <c r="AP42" i="34"/>
  <c r="AP56" i="36"/>
  <c r="AP97" i="34" s="1"/>
  <c r="AM10" i="34"/>
  <c r="AM178" i="34"/>
  <c r="AL178" i="34"/>
  <c r="AT10" i="34"/>
  <c r="AP24" i="34"/>
  <c r="AP162" i="34"/>
  <c r="AM42" i="34"/>
  <c r="AM162" i="34"/>
  <c r="AL24" i="34"/>
  <c r="AL56" i="36"/>
  <c r="AL97" i="34" s="1"/>
  <c r="AT42" i="34"/>
  <c r="AS72" i="36"/>
  <c r="AS113" i="34" s="1"/>
  <c r="AT72" i="36"/>
  <c r="AT113" i="34" s="1"/>
  <c r="AT24" i="34"/>
  <c r="AT178" i="34"/>
  <c r="AR72" i="36"/>
  <c r="AR113" i="34" s="1"/>
  <c r="AR10" i="34"/>
  <c r="AR56" i="36"/>
  <c r="AR97" i="34" s="1"/>
  <c r="AR24" i="34"/>
  <c r="AR178" i="34"/>
  <c r="AR42" i="34"/>
  <c r="AR162" i="34"/>
  <c r="AD80" i="36"/>
  <c r="AD121" i="34" s="1"/>
  <c r="AD64" i="36"/>
  <c r="AD105" i="34" s="1"/>
  <c r="AD186" i="34"/>
  <c r="AD170" i="34"/>
  <c r="AD50" i="34"/>
  <c r="AD32" i="34"/>
  <c r="AK72" i="36"/>
  <c r="AK113" i="34" s="1"/>
  <c r="AH81" i="36"/>
  <c r="AH122" i="34" s="1"/>
  <c r="AH65" i="36"/>
  <c r="AH106" i="34" s="1"/>
  <c r="AH187" i="34"/>
  <c r="AH171" i="34"/>
  <c r="AH33" i="34"/>
  <c r="AH51" i="34"/>
  <c r="AG80" i="36"/>
  <c r="AG121" i="34" s="1"/>
  <c r="AG64" i="36"/>
  <c r="AG105" i="34" s="1"/>
  <c r="AG186" i="34"/>
  <c r="AG170" i="34"/>
  <c r="AG32" i="34"/>
  <c r="AG50" i="34"/>
  <c r="AK11" i="34"/>
  <c r="AE65" i="36"/>
  <c r="AE106" i="34" s="1"/>
  <c r="AE81" i="36"/>
  <c r="AE122" i="34" s="1"/>
  <c r="AE187" i="34"/>
  <c r="AE171" i="34"/>
  <c r="AE33" i="34"/>
  <c r="AE51" i="34"/>
  <c r="AE64" i="36"/>
  <c r="AE105" i="34" s="1"/>
  <c r="AE80" i="36"/>
  <c r="AE121" i="34" s="1"/>
  <c r="AE186" i="34"/>
  <c r="AE170" i="34"/>
  <c r="AE50" i="34"/>
  <c r="AE32" i="34"/>
  <c r="AH64" i="36"/>
  <c r="AH105" i="34" s="1"/>
  <c r="AH80" i="36"/>
  <c r="AH121" i="34" s="1"/>
  <c r="AH186" i="34"/>
  <c r="AH170" i="34"/>
  <c r="AH32" i="34"/>
  <c r="AH50" i="34"/>
  <c r="AK24" i="34"/>
  <c r="AK56" i="36"/>
  <c r="AK97" i="34" s="1"/>
  <c r="AI51" i="34"/>
  <c r="AI65" i="36"/>
  <c r="AI106" i="34" s="1"/>
  <c r="AI81" i="36"/>
  <c r="AI122" i="34" s="1"/>
  <c r="AI187" i="34"/>
  <c r="AI171" i="34"/>
  <c r="AI33" i="34"/>
  <c r="AF65" i="36"/>
  <c r="AF106" i="34" s="1"/>
  <c r="AF81" i="36"/>
  <c r="AF122" i="34" s="1"/>
  <c r="AF171" i="34"/>
  <c r="AF187" i="34"/>
  <c r="AF33" i="34"/>
  <c r="AF51" i="34"/>
  <c r="AK42" i="34"/>
  <c r="AG81" i="36"/>
  <c r="AG122" i="34" s="1"/>
  <c r="AG65" i="36"/>
  <c r="AG106" i="34" s="1"/>
  <c r="AG171" i="34"/>
  <c r="AG187" i="34"/>
  <c r="AG51" i="34"/>
  <c r="AG33" i="34"/>
  <c r="AF64" i="36"/>
  <c r="AF105" i="34" s="1"/>
  <c r="AF80" i="36"/>
  <c r="AF121" i="34" s="1"/>
  <c r="AF186" i="34"/>
  <c r="AF170" i="34"/>
  <c r="AF50" i="34"/>
  <c r="AF32" i="34"/>
  <c r="AD81" i="36"/>
  <c r="AD122" i="34" s="1"/>
  <c r="AD65" i="36"/>
  <c r="AD106" i="34" s="1"/>
  <c r="AD187" i="34"/>
  <c r="AD171" i="34"/>
  <c r="AD33" i="34"/>
  <c r="AD51" i="34"/>
  <c r="AI50" i="34"/>
  <c r="AI80" i="36"/>
  <c r="AI121" i="34" s="1"/>
  <c r="AI64" i="36"/>
  <c r="AI105" i="34" s="1"/>
  <c r="AI186" i="34"/>
  <c r="AI170" i="34"/>
  <c r="AI32" i="34"/>
  <c r="AE56" i="36"/>
  <c r="AE72" i="36"/>
  <c r="AE162" i="34"/>
  <c r="AE10" i="34"/>
  <c r="AE24" i="34"/>
  <c r="AE42" i="34"/>
  <c r="AE178" i="34"/>
  <c r="AG72" i="36"/>
  <c r="AG56" i="36"/>
  <c r="AG10" i="34"/>
  <c r="AG42" i="34"/>
  <c r="AG24" i="34"/>
  <c r="AG162" i="34"/>
  <c r="AG178" i="34"/>
  <c r="AH56" i="36"/>
  <c r="AH72" i="36"/>
  <c r="AH24" i="34"/>
  <c r="AH42" i="34"/>
  <c r="AH10" i="34"/>
  <c r="AH162" i="34"/>
  <c r="AH178" i="34"/>
  <c r="AF56" i="36"/>
  <c r="AF72" i="36"/>
  <c r="AF42" i="34"/>
  <c r="AF24" i="34"/>
  <c r="AF10" i="34"/>
  <c r="AF162" i="34"/>
  <c r="AF178" i="34"/>
  <c r="AI56" i="36"/>
  <c r="AI72" i="36"/>
  <c r="AI42" i="34"/>
  <c r="AI10" i="34"/>
  <c r="AI24" i="34"/>
  <c r="AI162" i="34"/>
  <c r="AI178" i="34"/>
  <c r="AD56" i="36"/>
  <c r="AD72" i="36"/>
  <c r="AD162" i="34"/>
  <c r="AD178" i="34"/>
  <c r="AD42" i="34"/>
  <c r="AD10" i="34"/>
  <c r="AD24" i="34"/>
  <c r="AS162" i="34"/>
  <c r="AS10" i="34"/>
  <c r="AS56" i="36"/>
  <c r="AS97" i="34" s="1"/>
  <c r="AS42" i="34"/>
  <c r="AS178" i="34"/>
  <c r="AS24" i="34"/>
  <c r="AV10" i="34"/>
  <c r="AV56" i="36"/>
  <c r="AV97" i="34" s="1"/>
  <c r="AV162" i="34"/>
  <c r="BE170" i="34"/>
  <c r="BE186" i="34"/>
  <c r="BE80" i="36"/>
  <c r="BE121" i="34" s="1"/>
  <c r="BE64" i="36"/>
  <c r="BE105" i="34" s="1"/>
  <c r="BE50" i="34"/>
  <c r="BE32" i="34"/>
  <c r="BD170" i="34"/>
  <c r="BD186" i="34"/>
  <c r="BD80" i="36"/>
  <c r="BD121" i="34" s="1"/>
  <c r="BD64" i="36"/>
  <c r="BD105" i="34" s="1"/>
  <c r="BD32" i="34"/>
  <c r="BD50" i="34"/>
  <c r="AO51" i="34"/>
  <c r="AO187" i="34"/>
  <c r="AO171" i="34"/>
  <c r="AO33" i="34"/>
  <c r="AO65" i="36"/>
  <c r="AO106" i="34" s="1"/>
  <c r="AO81" i="36"/>
  <c r="AO122" i="34" s="1"/>
  <c r="BJ171" i="34"/>
  <c r="BJ33" i="34"/>
  <c r="BJ187" i="34"/>
  <c r="BJ51" i="34"/>
  <c r="BJ65" i="36"/>
  <c r="BJ106" i="34" s="1"/>
  <c r="BJ81" i="36"/>
  <c r="BJ122" i="34" s="1"/>
  <c r="BH171" i="34"/>
  <c r="BH187" i="34"/>
  <c r="BH33" i="34"/>
  <c r="BH51" i="34"/>
  <c r="BH81" i="36"/>
  <c r="BH122" i="34" s="1"/>
  <c r="BH65" i="36"/>
  <c r="BH106" i="34" s="1"/>
  <c r="BL170" i="34"/>
  <c r="BL186" i="34"/>
  <c r="BL80" i="36"/>
  <c r="BL121" i="34" s="1"/>
  <c r="BL64" i="36"/>
  <c r="BL105" i="34" s="1"/>
  <c r="BL50" i="34"/>
  <c r="BL32" i="34"/>
  <c r="AX186" i="34"/>
  <c r="AX170" i="34"/>
  <c r="AX64" i="36"/>
  <c r="AX105" i="34" s="1"/>
  <c r="AX80" i="36"/>
  <c r="AX121" i="34" s="1"/>
  <c r="AX32" i="34"/>
  <c r="AX50" i="34"/>
  <c r="AO170" i="34"/>
  <c r="AO186" i="34"/>
  <c r="AO64" i="36"/>
  <c r="AO105" i="34" s="1"/>
  <c r="AO80" i="36"/>
  <c r="AO121" i="34" s="1"/>
  <c r="AO50" i="34"/>
  <c r="AO32" i="34"/>
  <c r="AN170" i="34"/>
  <c r="AN186" i="34"/>
  <c r="AN80" i="36"/>
  <c r="AN121" i="34" s="1"/>
  <c r="AN64" i="36"/>
  <c r="AN105" i="34" s="1"/>
  <c r="AN32" i="34"/>
  <c r="AN50" i="34"/>
  <c r="AR168" i="34"/>
  <c r="AR184" i="34"/>
  <c r="AR62" i="36"/>
  <c r="AR103" i="34" s="1"/>
  <c r="AR78" i="36"/>
  <c r="AR119" i="34" s="1"/>
  <c r="AR16" i="34"/>
  <c r="AR48" i="34"/>
  <c r="AR30" i="34"/>
  <c r="AJ187" i="34"/>
  <c r="AJ171" i="34"/>
  <c r="AJ33" i="34"/>
  <c r="AJ51" i="34"/>
  <c r="AJ65" i="36"/>
  <c r="AJ106" i="34" s="1"/>
  <c r="AJ81" i="36"/>
  <c r="AJ122" i="34" s="1"/>
  <c r="BP171" i="34"/>
  <c r="BP33" i="34"/>
  <c r="BP51" i="34"/>
  <c r="BP65" i="36"/>
  <c r="BP106" i="34" s="1"/>
  <c r="BP187" i="34"/>
  <c r="BP81" i="36"/>
  <c r="BP122" i="34" s="1"/>
  <c r="AL171" i="34"/>
  <c r="AL33" i="34"/>
  <c r="AL51" i="34"/>
  <c r="AL187" i="34"/>
  <c r="AL81" i="36"/>
  <c r="AL122" i="34" s="1"/>
  <c r="AL65" i="36"/>
  <c r="AL106" i="34" s="1"/>
  <c r="BN187" i="34"/>
  <c r="BN171" i="34"/>
  <c r="BN33" i="34"/>
  <c r="BN51" i="34"/>
  <c r="BN81" i="36"/>
  <c r="BN122" i="34" s="1"/>
  <c r="BN65" i="36"/>
  <c r="BN106" i="34" s="1"/>
  <c r="AT186" i="34"/>
  <c r="AT170" i="34"/>
  <c r="AT80" i="36"/>
  <c r="AT121" i="34" s="1"/>
  <c r="AT64" i="36"/>
  <c r="AT105" i="34" s="1"/>
  <c r="AT32" i="34"/>
  <c r="AT50" i="34"/>
  <c r="AK168" i="34"/>
  <c r="AK184" i="34"/>
  <c r="AK78" i="36"/>
  <c r="AK119" i="34" s="1"/>
  <c r="AK62" i="36"/>
  <c r="AK103" i="34" s="1"/>
  <c r="AK48" i="34"/>
  <c r="AK30" i="34"/>
  <c r="AK16" i="34"/>
  <c r="BO187" i="34"/>
  <c r="BO33" i="34"/>
  <c r="BO51" i="34"/>
  <c r="BO171" i="34"/>
  <c r="BO65" i="36"/>
  <c r="BO106" i="34" s="1"/>
  <c r="BO81" i="36"/>
  <c r="BO122" i="34" s="1"/>
  <c r="BF187" i="34"/>
  <c r="BF33" i="34"/>
  <c r="BF51" i="34"/>
  <c r="BF171" i="34"/>
  <c r="BF81" i="36"/>
  <c r="BF122" i="34" s="1"/>
  <c r="BF65" i="36"/>
  <c r="BF106" i="34" s="1"/>
  <c r="BK187" i="34"/>
  <c r="BK33" i="34"/>
  <c r="BK51" i="34"/>
  <c r="BK171" i="34"/>
  <c r="BK65" i="36"/>
  <c r="BK106" i="34" s="1"/>
  <c r="BK81" i="36"/>
  <c r="BK122" i="34" s="1"/>
  <c r="BL171" i="34"/>
  <c r="BL51" i="34"/>
  <c r="BL33" i="34"/>
  <c r="BL187" i="34"/>
  <c r="BL81" i="36"/>
  <c r="BL122" i="34" s="1"/>
  <c r="BL65" i="36"/>
  <c r="BL106" i="34" s="1"/>
  <c r="AL170" i="34"/>
  <c r="AL186" i="34"/>
  <c r="AL80" i="36"/>
  <c r="AL121" i="34" s="1"/>
  <c r="AL64" i="36"/>
  <c r="AL105" i="34" s="1"/>
  <c r="AL50" i="34"/>
  <c r="AL32" i="34"/>
  <c r="BK170" i="34"/>
  <c r="BK186" i="34"/>
  <c r="BK64" i="36"/>
  <c r="BK105" i="34" s="1"/>
  <c r="BK80" i="36"/>
  <c r="BK121" i="34" s="1"/>
  <c r="BK32" i="34"/>
  <c r="BK50" i="34"/>
  <c r="AM186" i="34"/>
  <c r="AM170" i="34"/>
  <c r="AM64" i="36"/>
  <c r="AM105" i="34" s="1"/>
  <c r="AM80" i="36"/>
  <c r="AM121" i="34" s="1"/>
  <c r="AM50" i="34"/>
  <c r="AM32" i="34"/>
  <c r="BP186" i="34"/>
  <c r="BP170" i="34"/>
  <c r="BP80" i="36"/>
  <c r="BP121" i="34" s="1"/>
  <c r="BP64" i="36"/>
  <c r="BP105" i="34" s="1"/>
  <c r="BP32" i="34"/>
  <c r="BP50" i="34"/>
  <c r="AN43" i="34"/>
  <c r="AN25" i="34"/>
  <c r="AN11" i="34"/>
  <c r="AN179" i="34"/>
  <c r="AN57" i="36"/>
  <c r="AN98" i="34" s="1"/>
  <c r="AN163" i="34"/>
  <c r="AN73" i="36"/>
  <c r="AN114" i="34" s="1"/>
  <c r="BJ186" i="34"/>
  <c r="BJ170" i="34"/>
  <c r="BJ64" i="36"/>
  <c r="BJ105" i="34" s="1"/>
  <c r="BJ80" i="36"/>
  <c r="BJ121" i="34" s="1"/>
  <c r="BJ32" i="34"/>
  <c r="BJ50" i="34"/>
  <c r="BI186" i="34"/>
  <c r="BI170" i="34"/>
  <c r="BI80" i="36"/>
  <c r="BI121" i="34" s="1"/>
  <c r="BI64" i="36"/>
  <c r="BI105" i="34" s="1"/>
  <c r="BI32" i="34"/>
  <c r="BI50" i="34"/>
  <c r="AY187" i="34"/>
  <c r="AY33" i="34"/>
  <c r="AY51" i="34"/>
  <c r="AY171" i="34"/>
  <c r="AY65" i="36"/>
  <c r="AY106" i="34" s="1"/>
  <c r="AY81" i="36"/>
  <c r="AY122" i="34" s="1"/>
  <c r="BB187" i="34"/>
  <c r="BB33" i="34"/>
  <c r="BB51" i="34"/>
  <c r="BB171" i="34"/>
  <c r="BB65" i="36"/>
  <c r="BB106" i="34" s="1"/>
  <c r="BB81" i="36"/>
  <c r="BB122" i="34" s="1"/>
  <c r="BG187" i="34"/>
  <c r="BG33" i="34"/>
  <c r="BG51" i="34"/>
  <c r="BG171" i="34"/>
  <c r="BG81" i="36"/>
  <c r="BG122" i="34" s="1"/>
  <c r="BG65" i="36"/>
  <c r="BG106" i="34" s="1"/>
  <c r="AW187" i="34"/>
  <c r="AW33" i="34"/>
  <c r="AW51" i="34"/>
  <c r="AW171" i="34"/>
  <c r="AW65" i="36"/>
  <c r="AW106" i="34" s="1"/>
  <c r="AW81" i="36"/>
  <c r="AW122" i="34" s="1"/>
  <c r="AP171" i="34"/>
  <c r="AP33" i="34"/>
  <c r="AP51" i="34"/>
  <c r="AP187" i="34"/>
  <c r="AP81" i="36"/>
  <c r="AP122" i="34" s="1"/>
  <c r="AP65" i="36"/>
  <c r="AP106" i="34" s="1"/>
  <c r="AQ184" i="34"/>
  <c r="AQ168" i="34"/>
  <c r="AQ62" i="36"/>
  <c r="AQ103" i="34" s="1"/>
  <c r="AQ78" i="36"/>
  <c r="AQ119" i="34" s="1"/>
  <c r="AQ30" i="34"/>
  <c r="AQ16" i="34"/>
  <c r="AQ48" i="34"/>
  <c r="AS168" i="34"/>
  <c r="AS184" i="34"/>
  <c r="AS78" i="36"/>
  <c r="AS119" i="34" s="1"/>
  <c r="AS62" i="36"/>
  <c r="AS103" i="34" s="1"/>
  <c r="AS16" i="34"/>
  <c r="AS30" i="34"/>
  <c r="AS48" i="34"/>
  <c r="AU186" i="34"/>
  <c r="AU170" i="34"/>
  <c r="AU80" i="36"/>
  <c r="AU121" i="34" s="1"/>
  <c r="AU64" i="36"/>
  <c r="AU105" i="34" s="1"/>
  <c r="AU50" i="34"/>
  <c r="AU32" i="34"/>
  <c r="BG186" i="34"/>
  <c r="BG170" i="34"/>
  <c r="BG80" i="36"/>
  <c r="BG121" i="34" s="1"/>
  <c r="BG64" i="36"/>
  <c r="BG105" i="34" s="1"/>
  <c r="BG50" i="34"/>
  <c r="BG32" i="34"/>
  <c r="BN170" i="34"/>
  <c r="BN186" i="34"/>
  <c r="BN64" i="36"/>
  <c r="BN105" i="34" s="1"/>
  <c r="BN80" i="36"/>
  <c r="BN121" i="34" s="1"/>
  <c r="BN32" i="34"/>
  <c r="BN50" i="34"/>
  <c r="AV186" i="34"/>
  <c r="AV170" i="34"/>
  <c r="AV64" i="36"/>
  <c r="AV105" i="34" s="1"/>
  <c r="AV80" i="36"/>
  <c r="AV121" i="34" s="1"/>
  <c r="AV50" i="34"/>
  <c r="AV32" i="34"/>
  <c r="AT168" i="34"/>
  <c r="AT184" i="34"/>
  <c r="AT78" i="36"/>
  <c r="AT119" i="34" s="1"/>
  <c r="AT62" i="36"/>
  <c r="AT103" i="34" s="1"/>
  <c r="AT16" i="34"/>
  <c r="AT48" i="34"/>
  <c r="AT30" i="34"/>
  <c r="AP184" i="34"/>
  <c r="AP168" i="34"/>
  <c r="AP78" i="36"/>
  <c r="AP119" i="34" s="1"/>
  <c r="AP62" i="36"/>
  <c r="AP103" i="34" s="1"/>
  <c r="AP30" i="34"/>
  <c r="AP16" i="34"/>
  <c r="AP48" i="34"/>
  <c r="BA186" i="34"/>
  <c r="BA170" i="34"/>
  <c r="BA64" i="36"/>
  <c r="BA105" i="34" s="1"/>
  <c r="BA80" i="36"/>
  <c r="BA121" i="34" s="1"/>
  <c r="BA32" i="34"/>
  <c r="BA50" i="34"/>
  <c r="AK186" i="34"/>
  <c r="AK170" i="34"/>
  <c r="AK64" i="36"/>
  <c r="AK105" i="34" s="1"/>
  <c r="AK80" i="36"/>
  <c r="AK121" i="34" s="1"/>
  <c r="AK50" i="34"/>
  <c r="AK32" i="34"/>
  <c r="AM171" i="34"/>
  <c r="AM33" i="34"/>
  <c r="AM51" i="34"/>
  <c r="AM187" i="34"/>
  <c r="AM65" i="36"/>
  <c r="AM106" i="34" s="1"/>
  <c r="AM81" i="36"/>
  <c r="AM122" i="34" s="1"/>
  <c r="AV187" i="34"/>
  <c r="AV171" i="34"/>
  <c r="AV33" i="34"/>
  <c r="AV81" i="36"/>
  <c r="AV122" i="34" s="1"/>
  <c r="AV65" i="36"/>
  <c r="AV106" i="34" s="1"/>
  <c r="AV51" i="34"/>
  <c r="AS187" i="34"/>
  <c r="AS33" i="34"/>
  <c r="AS51" i="34"/>
  <c r="AS171" i="34"/>
  <c r="AS65" i="36"/>
  <c r="AS106" i="34" s="1"/>
  <c r="AS81" i="36"/>
  <c r="AS122" i="34" s="1"/>
  <c r="BE171" i="34"/>
  <c r="BE33" i="34"/>
  <c r="BE51" i="34"/>
  <c r="BE187" i="34"/>
  <c r="BE65" i="36"/>
  <c r="BE106" i="34" s="1"/>
  <c r="BE81" i="36"/>
  <c r="BE122" i="34" s="1"/>
  <c r="AQ186" i="34"/>
  <c r="AQ170" i="34"/>
  <c r="AQ80" i="36"/>
  <c r="AQ121" i="34" s="1"/>
  <c r="AQ64" i="36"/>
  <c r="AQ105" i="34" s="1"/>
  <c r="AQ50" i="34"/>
  <c r="AQ32" i="34"/>
  <c r="BM170" i="34"/>
  <c r="BM186" i="34"/>
  <c r="BM64" i="36"/>
  <c r="BM105" i="34" s="1"/>
  <c r="BM80" i="36"/>
  <c r="BM121" i="34" s="1"/>
  <c r="BM50" i="34"/>
  <c r="BM32" i="34"/>
  <c r="AY170" i="34"/>
  <c r="AY186" i="34"/>
  <c r="AY80" i="36"/>
  <c r="AY121" i="34" s="1"/>
  <c r="AY64" i="36"/>
  <c r="AY105" i="34" s="1"/>
  <c r="AY32" i="34"/>
  <c r="AY50" i="34"/>
  <c r="BF170" i="34"/>
  <c r="BF186" i="34"/>
  <c r="BF80" i="36"/>
  <c r="BF121" i="34" s="1"/>
  <c r="BF64" i="36"/>
  <c r="BF105" i="34" s="1"/>
  <c r="BF50" i="34"/>
  <c r="BF32" i="34"/>
  <c r="AJ184" i="34"/>
  <c r="AJ168" i="34"/>
  <c r="AJ78" i="36"/>
  <c r="AJ119" i="34" s="1"/>
  <c r="AJ62" i="36"/>
  <c r="AJ103" i="34" s="1"/>
  <c r="AJ48" i="34"/>
  <c r="AJ16" i="34"/>
  <c r="AJ30" i="34"/>
  <c r="AM184" i="34"/>
  <c r="AM168" i="34"/>
  <c r="AM78" i="36"/>
  <c r="AM119" i="34" s="1"/>
  <c r="AM62" i="36"/>
  <c r="AM103" i="34" s="1"/>
  <c r="AM30" i="34"/>
  <c r="AM16" i="34"/>
  <c r="AM48" i="34"/>
  <c r="AR11" i="34"/>
  <c r="AR179" i="34"/>
  <c r="AR25" i="34"/>
  <c r="AR43" i="34"/>
  <c r="AR163" i="34"/>
  <c r="AR57" i="36"/>
  <c r="AR98" i="34" s="1"/>
  <c r="AR73" i="36"/>
  <c r="AR114" i="34" s="1"/>
  <c r="AX171" i="34"/>
  <c r="AX33" i="34"/>
  <c r="AX51" i="34"/>
  <c r="AX187" i="34"/>
  <c r="AX81" i="36"/>
  <c r="AX122" i="34" s="1"/>
  <c r="AX65" i="36"/>
  <c r="AX106" i="34" s="1"/>
  <c r="BC187" i="34"/>
  <c r="BC33" i="34"/>
  <c r="BC51" i="34"/>
  <c r="BC65" i="36"/>
  <c r="BC106" i="34" s="1"/>
  <c r="BC171" i="34"/>
  <c r="BC81" i="36"/>
  <c r="BC122" i="34" s="1"/>
  <c r="AZ187" i="34"/>
  <c r="AZ171" i="34"/>
  <c r="AZ33" i="34"/>
  <c r="AZ51" i="34"/>
  <c r="AZ65" i="36"/>
  <c r="AZ106" i="34" s="1"/>
  <c r="AZ81" i="36"/>
  <c r="AZ122" i="34" s="1"/>
  <c r="BM187" i="34"/>
  <c r="BM33" i="34"/>
  <c r="BM51" i="34"/>
  <c r="BM171" i="34"/>
  <c r="BM65" i="36"/>
  <c r="BM106" i="34" s="1"/>
  <c r="BM81" i="36"/>
  <c r="BM122" i="34" s="1"/>
  <c r="AS43" i="34"/>
  <c r="AS25" i="34"/>
  <c r="AS11" i="34"/>
  <c r="AS179" i="34"/>
  <c r="AS163" i="34"/>
  <c r="AS73" i="36"/>
  <c r="AS114" i="34" s="1"/>
  <c r="AS57" i="36"/>
  <c r="AS98" i="34" s="1"/>
  <c r="BD171" i="34"/>
  <c r="BD187" i="34"/>
  <c r="BD33" i="34"/>
  <c r="BD51" i="34"/>
  <c r="BD81" i="36"/>
  <c r="BD122" i="34" s="1"/>
  <c r="BD65" i="36"/>
  <c r="BD106" i="34" s="1"/>
  <c r="AU187" i="34"/>
  <c r="AU33" i="34"/>
  <c r="AU51" i="34"/>
  <c r="AU171" i="34"/>
  <c r="AU65" i="36"/>
  <c r="AU106" i="34" s="1"/>
  <c r="AU81" i="36"/>
  <c r="AU122" i="34" s="1"/>
  <c r="AR171" i="34"/>
  <c r="AR187" i="34"/>
  <c r="AR33" i="34"/>
  <c r="AR51" i="34"/>
  <c r="AR65" i="36"/>
  <c r="AR106" i="34" s="1"/>
  <c r="AR81" i="36"/>
  <c r="AR122" i="34" s="1"/>
  <c r="BI171" i="34"/>
  <c r="BI33" i="34"/>
  <c r="BI51" i="34"/>
  <c r="BI187" i="34"/>
  <c r="BI81" i="36"/>
  <c r="BI122" i="34" s="1"/>
  <c r="BI65" i="36"/>
  <c r="BI106" i="34" s="1"/>
  <c r="AJ170" i="34"/>
  <c r="AJ186" i="34"/>
  <c r="AJ64" i="36"/>
  <c r="AJ105" i="34" s="1"/>
  <c r="AJ80" i="36"/>
  <c r="AJ121" i="34" s="1"/>
  <c r="AJ50" i="34"/>
  <c r="AJ32" i="34"/>
  <c r="AZ186" i="34"/>
  <c r="AZ170" i="34"/>
  <c r="AZ64" i="36"/>
  <c r="AZ105" i="34" s="1"/>
  <c r="AZ80" i="36"/>
  <c r="AZ121" i="34" s="1"/>
  <c r="AZ50" i="34"/>
  <c r="AZ32" i="34"/>
  <c r="AP186" i="34"/>
  <c r="AP170" i="34"/>
  <c r="AP80" i="36"/>
  <c r="AP121" i="34" s="1"/>
  <c r="AP64" i="36"/>
  <c r="AP105" i="34" s="1"/>
  <c r="AP50" i="34"/>
  <c r="AP32" i="34"/>
  <c r="BH186" i="34"/>
  <c r="BH170" i="34"/>
  <c r="BH64" i="36"/>
  <c r="BH105" i="34" s="1"/>
  <c r="BH80" i="36"/>
  <c r="BH121" i="34" s="1"/>
  <c r="BH50" i="34"/>
  <c r="BH32" i="34"/>
  <c r="AW186" i="34"/>
  <c r="AW170" i="34"/>
  <c r="AW64" i="36"/>
  <c r="AW105" i="34" s="1"/>
  <c r="AW80" i="36"/>
  <c r="AW121" i="34" s="1"/>
  <c r="AW32" i="34"/>
  <c r="AW50" i="34"/>
  <c r="AS170" i="34"/>
  <c r="AS186" i="34"/>
  <c r="AS64" i="36"/>
  <c r="AS105" i="34" s="1"/>
  <c r="AS80" i="36"/>
  <c r="AS121" i="34" s="1"/>
  <c r="AS32" i="34"/>
  <c r="AS50" i="34"/>
  <c r="BA187" i="34"/>
  <c r="BA33" i="34"/>
  <c r="BA51" i="34"/>
  <c r="BA171" i="34"/>
  <c r="BA65" i="36"/>
  <c r="BA106" i="34" s="1"/>
  <c r="BA81" i="36"/>
  <c r="BA122" i="34" s="1"/>
  <c r="AQ171" i="34"/>
  <c r="AQ33" i="34"/>
  <c r="AQ51" i="34"/>
  <c r="AQ187" i="34"/>
  <c r="AQ81" i="36"/>
  <c r="AQ122" i="34" s="1"/>
  <c r="AQ65" i="36"/>
  <c r="AQ106" i="34" s="1"/>
  <c r="AK51" i="34"/>
  <c r="AK171" i="34"/>
  <c r="AK187" i="34"/>
  <c r="AK33" i="34"/>
  <c r="AK81" i="36"/>
  <c r="AK122" i="34" s="1"/>
  <c r="AK65" i="36"/>
  <c r="AK106" i="34" s="1"/>
  <c r="AN51" i="34"/>
  <c r="AN187" i="34"/>
  <c r="AN171" i="34"/>
  <c r="AN33" i="34"/>
  <c r="AN65" i="36"/>
  <c r="AN106" i="34" s="1"/>
  <c r="AN81" i="36"/>
  <c r="AN122" i="34" s="1"/>
  <c r="AU168" i="34"/>
  <c r="AU184" i="34"/>
  <c r="AU78" i="36"/>
  <c r="AU119" i="34" s="1"/>
  <c r="AU62" i="36"/>
  <c r="AU103" i="34" s="1"/>
  <c r="AU48" i="34"/>
  <c r="AU16" i="34"/>
  <c r="AU30" i="34"/>
  <c r="AV168" i="34"/>
  <c r="AV184" i="34"/>
  <c r="AV62" i="36"/>
  <c r="AV103" i="34" s="1"/>
  <c r="AV78" i="36"/>
  <c r="AV119" i="34" s="1"/>
  <c r="AV30" i="34"/>
  <c r="AV48" i="34"/>
  <c r="AV16" i="34"/>
  <c r="AN184" i="34"/>
  <c r="AN168" i="34"/>
  <c r="AN78" i="36"/>
  <c r="AN119" i="34" s="1"/>
  <c r="AN62" i="36"/>
  <c r="AN103" i="34" s="1"/>
  <c r="AN48" i="34"/>
  <c r="AN30" i="34"/>
  <c r="AN16" i="34"/>
  <c r="AV43" i="34"/>
  <c r="AV25" i="34"/>
  <c r="AV179" i="34"/>
  <c r="AV163" i="34"/>
  <c r="AV11" i="34"/>
  <c r="AV57" i="36"/>
  <c r="AV98" i="34" s="1"/>
  <c r="AV73" i="36"/>
  <c r="AV114" i="34" s="1"/>
  <c r="AQ11" i="34"/>
  <c r="AQ179" i="34"/>
  <c r="AQ25" i="34"/>
  <c r="AQ43" i="34"/>
  <c r="AQ163" i="34"/>
  <c r="AQ57" i="36"/>
  <c r="AQ98" i="34" s="1"/>
  <c r="AQ73" i="36"/>
  <c r="AQ114" i="34" s="1"/>
  <c r="AT187" i="34"/>
  <c r="AT33" i="34"/>
  <c r="AT51" i="34"/>
  <c r="AT171" i="34"/>
  <c r="AT65" i="36"/>
  <c r="AT106" i="34" s="1"/>
  <c r="AT81" i="36"/>
  <c r="AT122" i="34" s="1"/>
  <c r="BC186" i="34"/>
  <c r="BC170" i="34"/>
  <c r="BC80" i="36"/>
  <c r="BC121" i="34" s="1"/>
  <c r="BC64" i="36"/>
  <c r="BC105" i="34" s="1"/>
  <c r="BC50" i="34"/>
  <c r="BC32" i="34"/>
  <c r="BB170" i="34"/>
  <c r="BB186" i="34"/>
  <c r="BB64" i="36"/>
  <c r="BB105" i="34" s="1"/>
  <c r="BB80" i="36"/>
  <c r="BB121" i="34" s="1"/>
  <c r="BB50" i="34"/>
  <c r="BB32" i="34"/>
  <c r="AR186" i="34"/>
  <c r="AR170" i="34"/>
  <c r="AR80" i="36"/>
  <c r="AR121" i="34" s="1"/>
  <c r="AR64" i="36"/>
  <c r="AR105" i="34" s="1"/>
  <c r="AR32" i="34"/>
  <c r="AR50" i="34"/>
  <c r="BO170" i="34"/>
  <c r="BO186" i="34"/>
  <c r="BO64" i="36"/>
  <c r="BO105" i="34" s="1"/>
  <c r="BO80" i="36"/>
  <c r="BO121" i="34" s="1"/>
  <c r="BO32" i="34"/>
  <c r="BO50" i="34"/>
  <c r="AO168" i="34"/>
  <c r="AO184" i="34"/>
  <c r="AO78" i="36"/>
  <c r="AO119" i="34" s="1"/>
  <c r="AO62" i="36"/>
  <c r="AO103" i="34" s="1"/>
  <c r="AO16" i="34"/>
  <c r="AO30" i="34"/>
  <c r="AO48" i="34"/>
  <c r="AP163" i="34"/>
  <c r="AL168" i="34"/>
  <c r="AL184" i="34"/>
  <c r="AL78" i="36"/>
  <c r="AL119" i="34" s="1"/>
  <c r="AL62" i="36"/>
  <c r="AL103" i="34" s="1"/>
  <c r="AL30" i="34"/>
  <c r="AL48" i="34"/>
  <c r="AL16" i="34"/>
  <c r="AM179" i="34"/>
  <c r="AJ179" i="34"/>
  <c r="AJ11" i="34"/>
  <c r="AJ43" i="34"/>
  <c r="AJ163" i="34"/>
  <c r="AJ57" i="36"/>
  <c r="AJ98" i="34" s="1"/>
  <c r="AJ25" i="34"/>
  <c r="AJ73" i="36"/>
  <c r="AJ114" i="34" s="1"/>
  <c r="BK41" i="36" l="1"/>
  <c r="BK82" i="36" s="1"/>
  <c r="AV41" i="36"/>
  <c r="AV82" i="36" s="1"/>
  <c r="BH41" i="36"/>
  <c r="BH82" i="36" s="1"/>
  <c r="AF41" i="36"/>
  <c r="AF82" i="36" s="1"/>
  <c r="BH61" i="50"/>
  <c r="BM41" i="36"/>
  <c r="BM82" i="36" s="1"/>
  <c r="BJ41" i="36"/>
  <c r="BJ82" i="36" s="1"/>
  <c r="AQ41" i="36"/>
  <c r="AQ82" i="36" s="1"/>
  <c r="BJ61" i="50"/>
  <c r="AU41" i="36"/>
  <c r="AU82" i="36" s="1"/>
  <c r="BA41" i="36"/>
  <c r="BA82" i="36" s="1"/>
  <c r="AU61" i="50"/>
  <c r="AH41" i="36"/>
  <c r="AH82" i="36" s="1"/>
  <c r="AB61" i="50"/>
  <c r="BF41" i="36"/>
  <c r="BF82" i="36" s="1"/>
  <c r="AZ61" i="50"/>
  <c r="Y61" i="50"/>
  <c r="AE41" i="36"/>
  <c r="AE82" i="36" s="1"/>
  <c r="AS41" i="36"/>
  <c r="AS82" i="36" s="1"/>
  <c r="AM61" i="50"/>
  <c r="AR61" i="50"/>
  <c r="AX41" i="36"/>
  <c r="AX82" i="36" s="1"/>
  <c r="BL41" i="36"/>
  <c r="BL82" i="36" s="1"/>
  <c r="BF61" i="50"/>
  <c r="BE41" i="36"/>
  <c r="BE82" i="36" s="1"/>
  <c r="AY61" i="50"/>
  <c r="AG41" i="36"/>
  <c r="AG82" i="36" s="1"/>
  <c r="AG85" i="36" s="1"/>
  <c r="AA61" i="50"/>
  <c r="AJ61" i="50"/>
  <c r="AP41" i="36"/>
  <c r="AP82" i="36" s="1"/>
  <c r="AC61" i="50"/>
  <c r="AI41" i="36"/>
  <c r="AI82" i="36" s="1"/>
  <c r="AW61" i="50"/>
  <c r="BC41" i="36"/>
  <c r="BC82" i="36" s="1"/>
  <c r="AF61" i="50"/>
  <c r="AL41" i="36"/>
  <c r="AL82" i="36" s="1"/>
  <c r="AJ41" i="36"/>
  <c r="AJ82" i="36" s="1"/>
  <c r="AD61" i="50"/>
  <c r="AZ41" i="36"/>
  <c r="AZ82" i="36" s="1"/>
  <c r="AT61" i="50"/>
  <c r="AV61" i="50"/>
  <c r="BB41" i="36"/>
  <c r="BB82" i="36" s="1"/>
  <c r="AT41" i="36"/>
  <c r="AT82" i="36" s="1"/>
  <c r="AN61" i="50"/>
  <c r="AK41" i="36"/>
  <c r="AK82" i="36" s="1"/>
  <c r="AE61" i="50"/>
  <c r="BI61" i="50"/>
  <c r="BO41" i="36"/>
  <c r="BO82" i="36" s="1"/>
  <c r="AG61" i="50"/>
  <c r="AM41" i="36"/>
  <c r="AM82" i="36" s="1"/>
  <c r="BD41" i="36"/>
  <c r="BD82" i="36" s="1"/>
  <c r="AX61" i="50"/>
  <c r="BA61" i="50"/>
  <c r="BG41" i="36"/>
  <c r="BG82" i="36" s="1"/>
  <c r="AR41" i="36"/>
  <c r="AR82" i="36" s="1"/>
  <c r="AL61" i="50"/>
  <c r="AW41" i="36"/>
  <c r="AW82" i="36" s="1"/>
  <c r="AQ61" i="50"/>
  <c r="AS61" i="50"/>
  <c r="AY41" i="36"/>
  <c r="AY82" i="36" s="1"/>
  <c r="AN41" i="36"/>
  <c r="AN82" i="36" s="1"/>
  <c r="AH61" i="50"/>
  <c r="AO41" i="36"/>
  <c r="AO82" i="36" s="1"/>
  <c r="AI61" i="50"/>
  <c r="AT52" i="36"/>
  <c r="AT93" i="34" s="1"/>
  <c r="BH172" i="34"/>
  <c r="BH38" i="34"/>
  <c r="AQ173" i="34"/>
  <c r="BF6" i="34"/>
  <c r="AP158" i="34"/>
  <c r="AP172" i="34"/>
  <c r="BL157" i="34"/>
  <c r="BL38" i="34"/>
  <c r="AR38" i="34"/>
  <c r="AR18" i="34"/>
  <c r="BO158" i="34"/>
  <c r="AE50" i="36"/>
  <c r="AE91" i="34" s="1"/>
  <c r="AE20" i="34"/>
  <c r="BE38" i="34"/>
  <c r="BE50" i="36"/>
  <c r="BE91" i="34" s="1"/>
  <c r="AO18" i="34"/>
  <c r="AO6" i="34"/>
  <c r="AU19" i="34"/>
  <c r="AU38" i="34"/>
  <c r="BP173" i="34"/>
  <c r="BP174" i="34"/>
  <c r="AS4" i="34"/>
  <c r="AS52" i="36"/>
  <c r="AS93" i="34" s="1"/>
  <c r="BK18" i="34"/>
  <c r="BK6" i="34"/>
  <c r="AI67" i="36"/>
  <c r="AI108" i="34" s="1"/>
  <c r="BB20" i="34"/>
  <c r="AL50" i="36"/>
  <c r="AL91" i="34" s="1"/>
  <c r="AL37" i="34"/>
  <c r="BD158" i="34"/>
  <c r="AD172" i="34"/>
  <c r="BA6" i="34"/>
  <c r="BA37" i="34"/>
  <c r="AK36" i="34"/>
  <c r="AK38" i="34"/>
  <c r="BJ157" i="34"/>
  <c r="BJ66" i="36"/>
  <c r="BJ107" i="34" s="1"/>
  <c r="AV174" i="34"/>
  <c r="AV67" i="36"/>
  <c r="AV108" i="34" s="1"/>
  <c r="AV36" i="34"/>
  <c r="BI6" i="34"/>
  <c r="BC6" i="34"/>
  <c r="BC4" i="34"/>
  <c r="BN67" i="36"/>
  <c r="BN108" i="34" s="1"/>
  <c r="BN36" i="34"/>
  <c r="BN6" i="34"/>
  <c r="AX37" i="34"/>
  <c r="AH20" i="34"/>
  <c r="AH18" i="34"/>
  <c r="AZ174" i="34"/>
  <c r="AY51" i="36"/>
  <c r="AY92" i="34" s="1"/>
  <c r="AY6" i="34"/>
  <c r="BM174" i="34"/>
  <c r="BM5" i="34"/>
  <c r="AW50" i="36"/>
  <c r="AW91" i="34" s="1"/>
  <c r="AW6" i="34"/>
  <c r="AG52" i="36"/>
  <c r="AG93" i="34" s="1"/>
  <c r="AG37" i="34"/>
  <c r="AL18" i="34"/>
  <c r="AQ172" i="34"/>
  <c r="AQ51" i="36"/>
  <c r="AQ92" i="34" s="1"/>
  <c r="AQ4" i="34"/>
  <c r="AQ156" i="34"/>
  <c r="AQ67" i="36"/>
  <c r="AQ108" i="34" s="1"/>
  <c r="AM163" i="34"/>
  <c r="AL6" i="45"/>
  <c r="N8" i="62" s="1"/>
  <c r="AP11" i="34"/>
  <c r="AN6" i="45" s="1"/>
  <c r="P8" i="62" s="1"/>
  <c r="AM25" i="34"/>
  <c r="AK13" i="45" s="1"/>
  <c r="M14" i="62" s="1"/>
  <c r="AP25" i="34"/>
  <c r="AN13" i="45" s="1"/>
  <c r="P14" i="62" s="1"/>
  <c r="AM57" i="36"/>
  <c r="AM98" i="34" s="1"/>
  <c r="AM11" i="34"/>
  <c r="AK6" i="45" s="1"/>
  <c r="M8" i="62" s="1"/>
  <c r="AP73" i="36"/>
  <c r="AP114" i="34" s="1"/>
  <c r="AO179" i="34"/>
  <c r="AP57" i="36"/>
  <c r="AP98" i="34" s="1"/>
  <c r="AP43" i="34"/>
  <c r="AN21" i="45" s="1"/>
  <c r="P21" i="62" s="1"/>
  <c r="AM73" i="36"/>
  <c r="AM114" i="34" s="1"/>
  <c r="AO43" i="34"/>
  <c r="AM21" i="45" s="1"/>
  <c r="O21" i="62" s="1"/>
  <c r="AL73" i="36"/>
  <c r="AL114" i="34" s="1"/>
  <c r="AL163" i="34"/>
  <c r="AL43" i="34"/>
  <c r="AJ21" i="45" s="1"/>
  <c r="L21" i="62" s="1"/>
  <c r="AL57" i="36"/>
  <c r="AL98" i="34" s="1"/>
  <c r="AL25" i="34"/>
  <c r="AJ13" i="45" s="1"/>
  <c r="L14" i="62" s="1"/>
  <c r="AL11" i="34"/>
  <c r="AJ6" i="45" s="1"/>
  <c r="L8" i="62" s="1"/>
  <c r="AO73" i="36"/>
  <c r="AO114" i="34" s="1"/>
  <c r="AO11" i="34"/>
  <c r="AM6" i="45" s="1"/>
  <c r="O8" i="62" s="1"/>
  <c r="AO163" i="34"/>
  <c r="AW10" i="34"/>
  <c r="AO57" i="36"/>
  <c r="AO98" i="34" s="1"/>
  <c r="AO13" i="45"/>
  <c r="Q14" i="62" s="1"/>
  <c r="BP156" i="34"/>
  <c r="AU179" i="34"/>
  <c r="AH6" i="45"/>
  <c r="J8" i="62" s="1"/>
  <c r="AO6" i="45"/>
  <c r="Q8" i="62" s="1"/>
  <c r="AT163" i="34"/>
  <c r="AU73" i="36"/>
  <c r="AU114" i="34" s="1"/>
  <c r="AI6" i="45"/>
  <c r="K8" i="62" s="1"/>
  <c r="AU57" i="36"/>
  <c r="AU98" i="34" s="1"/>
  <c r="AU11" i="34"/>
  <c r="AS6" i="45" s="1"/>
  <c r="U8" i="62" s="1"/>
  <c r="BA158" i="34"/>
  <c r="AH13" i="45"/>
  <c r="J14" i="62" s="1"/>
  <c r="AU25" i="34"/>
  <c r="AS13" i="45" s="1"/>
  <c r="U14" i="62" s="1"/>
  <c r="AH21" i="45"/>
  <c r="J21" i="62" s="1"/>
  <c r="AU163" i="34"/>
  <c r="AL13" i="45"/>
  <c r="N14" i="62" s="1"/>
  <c r="AL4" i="34"/>
  <c r="AM13" i="45"/>
  <c r="O14" i="62" s="1"/>
  <c r="AS21" i="45"/>
  <c r="U21" i="62" s="1"/>
  <c r="AT57" i="36"/>
  <c r="AT98" i="34" s="1"/>
  <c r="AT43" i="34"/>
  <c r="AR21" i="45" s="1"/>
  <c r="T21" i="62" s="1"/>
  <c r="AT73" i="36"/>
  <c r="AT114" i="34" s="1"/>
  <c r="AT25" i="34"/>
  <c r="AR13" i="45" s="1"/>
  <c r="T14" i="62" s="1"/>
  <c r="AL21" i="45"/>
  <c r="N21" i="62" s="1"/>
  <c r="AT11" i="34"/>
  <c r="AR6" i="45" s="1"/>
  <c r="T8" i="62" s="1"/>
  <c r="AU174" i="34"/>
  <c r="AU18" i="34"/>
  <c r="BF18" i="34"/>
  <c r="AK21" i="45"/>
  <c r="M21" i="62" s="1"/>
  <c r="AR174" i="34"/>
  <c r="AO21" i="45"/>
  <c r="Q21" i="62" s="1"/>
  <c r="AQ21" i="45"/>
  <c r="S21" i="62" s="1"/>
  <c r="AU50" i="36"/>
  <c r="AU91" i="34" s="1"/>
  <c r="BF66" i="36"/>
  <c r="BF107" i="34" s="1"/>
  <c r="BN174" i="34"/>
  <c r="AZ52" i="36"/>
  <c r="AZ93" i="34" s="1"/>
  <c r="AP13" i="45"/>
  <c r="R14" i="62" s="1"/>
  <c r="BI172" i="34"/>
  <c r="AZ38" i="34"/>
  <c r="BO52" i="36"/>
  <c r="BO93" i="34" s="1"/>
  <c r="AZ158" i="34"/>
  <c r="BO38" i="34"/>
  <c r="BO174" i="34"/>
  <c r="AR172" i="34"/>
  <c r="AU172" i="34"/>
  <c r="AK20" i="34"/>
  <c r="BN158" i="34"/>
  <c r="AO68" i="36"/>
  <c r="AO109" i="34" s="1"/>
  <c r="AZ68" i="36"/>
  <c r="AZ109" i="34" s="1"/>
  <c r="AZ20" i="34"/>
  <c r="AU4" i="34"/>
  <c r="AU156" i="34"/>
  <c r="AK174" i="34"/>
  <c r="BO68" i="36"/>
  <c r="BO109" i="34" s="1"/>
  <c r="BO20" i="34"/>
  <c r="AZ6" i="34"/>
  <c r="AU36" i="34"/>
  <c r="AU66" i="36"/>
  <c r="AU107" i="34" s="1"/>
  <c r="BO6" i="34"/>
  <c r="BC156" i="34"/>
  <c r="BP4" i="34"/>
  <c r="BA20" i="34"/>
  <c r="BL18" i="34"/>
  <c r="BE52" i="36"/>
  <c r="BE93" i="34" s="1"/>
  <c r="BP50" i="36"/>
  <c r="BP91" i="34" s="1"/>
  <c r="BI38" i="34"/>
  <c r="BE20" i="34"/>
  <c r="BL156" i="34"/>
  <c r="BE174" i="34"/>
  <c r="BP172" i="34"/>
  <c r="BA38" i="34"/>
  <c r="BK36" i="34"/>
  <c r="BI20" i="34"/>
  <c r="BE68" i="36"/>
  <c r="BE109" i="34" s="1"/>
  <c r="BE6" i="34"/>
  <c r="BP18" i="34"/>
  <c r="BA52" i="36"/>
  <c r="BA93" i="34" s="1"/>
  <c r="BK4" i="34"/>
  <c r="AK43" i="34"/>
  <c r="AI21" i="45" s="1"/>
  <c r="K21" i="62" s="1"/>
  <c r="BK66" i="36"/>
  <c r="BK107" i="34" s="1"/>
  <c r="AK25" i="34"/>
  <c r="AI13" i="45" s="1"/>
  <c r="K14" i="62" s="1"/>
  <c r="AK179" i="34"/>
  <c r="AK57" i="36"/>
  <c r="AK98" i="34" s="1"/>
  <c r="AK163" i="34"/>
  <c r="AK73" i="36"/>
  <c r="AK114" i="34" s="1"/>
  <c r="AP6" i="45"/>
  <c r="R8" i="62" s="1"/>
  <c r="AP21" i="45"/>
  <c r="R21" i="62" s="1"/>
  <c r="AI52" i="34"/>
  <c r="AI34" i="34"/>
  <c r="AD35" i="34"/>
  <c r="AD53" i="34"/>
  <c r="AH4" i="34"/>
  <c r="AH172" i="34"/>
  <c r="AE53" i="34"/>
  <c r="AE35" i="34"/>
  <c r="BA4" i="34"/>
  <c r="AG35" i="34"/>
  <c r="AG53" i="34"/>
  <c r="AE34" i="34"/>
  <c r="AE52" i="34"/>
  <c r="AD66" i="36"/>
  <c r="AD107" i="34" s="1"/>
  <c r="AD50" i="36"/>
  <c r="AD91" i="34" s="1"/>
  <c r="AD4" i="34"/>
  <c r="AD156" i="34"/>
  <c r="AD36" i="34"/>
  <c r="AH35" i="34"/>
  <c r="AH53" i="34"/>
  <c r="BA50" i="36"/>
  <c r="BA91" i="34" s="1"/>
  <c r="AI38" i="34"/>
  <c r="AI52" i="36"/>
  <c r="AI93" i="34" s="1"/>
  <c r="AI68" i="36"/>
  <c r="AI109" i="34" s="1"/>
  <c r="AI158" i="34"/>
  <c r="AI174" i="34"/>
  <c r="AI20" i="34"/>
  <c r="AI6" i="34"/>
  <c r="AF52" i="34"/>
  <c r="AF34" i="34"/>
  <c r="AF50" i="36"/>
  <c r="AF91" i="34" s="1"/>
  <c r="AF66" i="36"/>
  <c r="AF107" i="34" s="1"/>
  <c r="AF18" i="34"/>
  <c r="AF172" i="34"/>
  <c r="AF4" i="34"/>
  <c r="AF36" i="34"/>
  <c r="AF156" i="34"/>
  <c r="AF35" i="34"/>
  <c r="AF53" i="34"/>
  <c r="AG50" i="36"/>
  <c r="AG91" i="34" s="1"/>
  <c r="AG66" i="36"/>
  <c r="AG107" i="34" s="1"/>
  <c r="AG36" i="34"/>
  <c r="AG4" i="34"/>
  <c r="AG156" i="34"/>
  <c r="AG18" i="34"/>
  <c r="AG172" i="34"/>
  <c r="AG52" i="34"/>
  <c r="AG34" i="34"/>
  <c r="AI36" i="34"/>
  <c r="AI50" i="36"/>
  <c r="AI91" i="34" s="1"/>
  <c r="AI66" i="36"/>
  <c r="AI107" i="34" s="1"/>
  <c r="AI156" i="34"/>
  <c r="AI4" i="34"/>
  <c r="AI18" i="34"/>
  <c r="AI172" i="34"/>
  <c r="AE4" i="34"/>
  <c r="AF52" i="36"/>
  <c r="AF93" i="34" s="1"/>
  <c r="AF68" i="36"/>
  <c r="AF109" i="34" s="1"/>
  <c r="AF38" i="34"/>
  <c r="AF158" i="34"/>
  <c r="AF20" i="34"/>
  <c r="AF6" i="34"/>
  <c r="AF174" i="34"/>
  <c r="AH52" i="36"/>
  <c r="AH93" i="34" s="1"/>
  <c r="AH68" i="36"/>
  <c r="AH109" i="34" s="1"/>
  <c r="AH6" i="34"/>
  <c r="AH174" i="34"/>
  <c r="AH38" i="34"/>
  <c r="AI53" i="34"/>
  <c r="AI35" i="34"/>
  <c r="AH52" i="34"/>
  <c r="AH34" i="34"/>
  <c r="AD34" i="34"/>
  <c r="AD52" i="34"/>
  <c r="AQ6" i="45"/>
  <c r="S8" i="62" s="1"/>
  <c r="AQ13" i="45"/>
  <c r="S14" i="62" s="1"/>
  <c r="AR6" i="34"/>
  <c r="AU68" i="36"/>
  <c r="AU109" i="34" s="1"/>
  <c r="AU20" i="34"/>
  <c r="AO4" i="34"/>
  <c r="AO172" i="34"/>
  <c r="BF156" i="34"/>
  <c r="BF50" i="36"/>
  <c r="BF91" i="34" s="1"/>
  <c r="AV158" i="34"/>
  <c r="AR52" i="36"/>
  <c r="AR93" i="34" s="1"/>
  <c r="AR158" i="34"/>
  <c r="AU6" i="34"/>
  <c r="AU158" i="34"/>
  <c r="AO36" i="34"/>
  <c r="AO50" i="36"/>
  <c r="AO91" i="34" s="1"/>
  <c r="BF36" i="34"/>
  <c r="AV68" i="36"/>
  <c r="AV109" i="34" s="1"/>
  <c r="AV20" i="34"/>
  <c r="AR68" i="36"/>
  <c r="AR109" i="34" s="1"/>
  <c r="AO66" i="36"/>
  <c r="AO107" i="34" s="1"/>
  <c r="BF4" i="34"/>
  <c r="BF172" i="34"/>
  <c r="AV52" i="36"/>
  <c r="AV93" i="34" s="1"/>
  <c r="AV38" i="34"/>
  <c r="AI113" i="34"/>
  <c r="AH113" i="34"/>
  <c r="AG113" i="34"/>
  <c r="AD73" i="36"/>
  <c r="AD114" i="34" s="1"/>
  <c r="AD57" i="36"/>
  <c r="AD98" i="34" s="1"/>
  <c r="AD11" i="34"/>
  <c r="AB6" i="45" s="1"/>
  <c r="D8" i="62" s="1"/>
  <c r="AD163" i="34"/>
  <c r="AD43" i="34"/>
  <c r="AB21" i="45" s="1"/>
  <c r="D21" i="62" s="1"/>
  <c r="AD25" i="34"/>
  <c r="AB13" i="45" s="1"/>
  <c r="D14" i="62" s="1"/>
  <c r="AD179" i="34"/>
  <c r="AI97" i="34"/>
  <c r="AF57" i="36"/>
  <c r="AF98" i="34" s="1"/>
  <c r="AF73" i="36"/>
  <c r="AF114" i="34" s="1"/>
  <c r="AF179" i="34"/>
  <c r="AF43" i="34"/>
  <c r="AD21" i="45" s="1"/>
  <c r="F21" i="62" s="1"/>
  <c r="AF25" i="34"/>
  <c r="AD13" i="45" s="1"/>
  <c r="F14" i="62" s="1"/>
  <c r="AF11" i="34"/>
  <c r="AD6" i="45" s="1"/>
  <c r="F8" i="62" s="1"/>
  <c r="AF163" i="34"/>
  <c r="AH97" i="34"/>
  <c r="AG57" i="36"/>
  <c r="AG98" i="34" s="1"/>
  <c r="AG73" i="36"/>
  <c r="AG114" i="34" s="1"/>
  <c r="AG43" i="34"/>
  <c r="AE21" i="45" s="1"/>
  <c r="G21" i="62" s="1"/>
  <c r="AG25" i="34"/>
  <c r="AE13" i="45" s="1"/>
  <c r="G14" i="62" s="1"/>
  <c r="AG163" i="34"/>
  <c r="AG11" i="34"/>
  <c r="AE6" i="45" s="1"/>
  <c r="G8" i="62" s="1"/>
  <c r="AG179" i="34"/>
  <c r="AE113" i="34"/>
  <c r="AD113" i="34"/>
  <c r="AF113" i="34"/>
  <c r="AE97" i="34"/>
  <c r="AW158" i="34"/>
  <c r="AD97" i="34"/>
  <c r="AI73" i="36"/>
  <c r="AI114" i="34" s="1"/>
  <c r="AI57" i="36"/>
  <c r="AI98" i="34" s="1"/>
  <c r="AI43" i="34"/>
  <c r="AG21" i="45" s="1"/>
  <c r="I21" i="62" s="1"/>
  <c r="AI11" i="34"/>
  <c r="AG6" i="45" s="1"/>
  <c r="I8" i="62" s="1"/>
  <c r="AI25" i="34"/>
  <c r="AG13" i="45" s="1"/>
  <c r="I14" i="62" s="1"/>
  <c r="AI163" i="34"/>
  <c r="AI179" i="34"/>
  <c r="AF97" i="34"/>
  <c r="AH57" i="36"/>
  <c r="AH98" i="34" s="1"/>
  <c r="AH73" i="36"/>
  <c r="AH114" i="34" s="1"/>
  <c r="AH43" i="34"/>
  <c r="AF21" i="45" s="1"/>
  <c r="H21" i="62" s="1"/>
  <c r="AH11" i="34"/>
  <c r="AF6" i="45" s="1"/>
  <c r="H8" i="62" s="1"/>
  <c r="AH25" i="34"/>
  <c r="AF13" i="45" s="1"/>
  <c r="H14" i="62" s="1"/>
  <c r="AH163" i="34"/>
  <c r="AH179" i="34"/>
  <c r="AG97" i="34"/>
  <c r="AE57" i="36"/>
  <c r="AE98" i="34" s="1"/>
  <c r="AE73" i="36"/>
  <c r="AE114" i="34" s="1"/>
  <c r="AE43" i="34"/>
  <c r="AC21" i="45" s="1"/>
  <c r="E21" i="62" s="1"/>
  <c r="AE163" i="34"/>
  <c r="AE25" i="34"/>
  <c r="AC13" i="45" s="1"/>
  <c r="E14" i="62" s="1"/>
  <c r="AE179" i="34"/>
  <c r="AE11" i="34"/>
  <c r="AC6" i="45" s="1"/>
  <c r="E8" i="62" s="1"/>
  <c r="BA66" i="36"/>
  <c r="BA107" i="34" s="1"/>
  <c r="BD52" i="36"/>
  <c r="BD93" i="34" s="1"/>
  <c r="BA174" i="34"/>
  <c r="BA36" i="34"/>
  <c r="BA172" i="34"/>
  <c r="BK156" i="34"/>
  <c r="BK50" i="36"/>
  <c r="BK91" i="34" s="1"/>
  <c r="BD6" i="34"/>
  <c r="BE158" i="34"/>
  <c r="BI18" i="34"/>
  <c r="BP36" i="34"/>
  <c r="BP66" i="36"/>
  <c r="BP107" i="34" s="1"/>
  <c r="BM18" i="34"/>
  <c r="BA68" i="36"/>
  <c r="BA109" i="34" s="1"/>
  <c r="BA156" i="34"/>
  <c r="BA18" i="34"/>
  <c r="BK172" i="34"/>
  <c r="BD50" i="36"/>
  <c r="BD91" i="34" s="1"/>
  <c r="BI66" i="36"/>
  <c r="BI107" i="34" s="1"/>
  <c r="BK52" i="36"/>
  <c r="BK93" i="34" s="1"/>
  <c r="BN38" i="34"/>
  <c r="BD4" i="34"/>
  <c r="BI36" i="34"/>
  <c r="BI4" i="34"/>
  <c r="AW20" i="34"/>
  <c r="AW174" i="34"/>
  <c r="BK68" i="36"/>
  <c r="BK109" i="34" s="1"/>
  <c r="BK20" i="34"/>
  <c r="BE51" i="36"/>
  <c r="BE92" i="34" s="1"/>
  <c r="BI156" i="34"/>
  <c r="BI50" i="36"/>
  <c r="BI91" i="34" s="1"/>
  <c r="AW38" i="34"/>
  <c r="BK174" i="34"/>
  <c r="BK38" i="34"/>
  <c r="BF19" i="34"/>
  <c r="BN68" i="36"/>
  <c r="BN109" i="34" s="1"/>
  <c r="BN20" i="34"/>
  <c r="BN52" i="36"/>
  <c r="BN93" i="34" s="1"/>
  <c r="AW68" i="36"/>
  <c r="AW109" i="34" s="1"/>
  <c r="BL66" i="36"/>
  <c r="BL107" i="34" s="1"/>
  <c r="BL172" i="34"/>
  <c r="BN19" i="34"/>
  <c r="BH36" i="34"/>
  <c r="BL36" i="34"/>
  <c r="BC18" i="34"/>
  <c r="BD174" i="34"/>
  <c r="BD38" i="34"/>
  <c r="BL4" i="34"/>
  <c r="BL50" i="36"/>
  <c r="BL91" i="34" s="1"/>
  <c r="BC172" i="34"/>
  <c r="BC50" i="36"/>
  <c r="BC91" i="34" s="1"/>
  <c r="BN37" i="34"/>
  <c r="BH4" i="34"/>
  <c r="BD68" i="36"/>
  <c r="BD109" i="34" s="1"/>
  <c r="BD20" i="34"/>
  <c r="BC36" i="34"/>
  <c r="AP6" i="34"/>
  <c r="BH18" i="34"/>
  <c r="BL67" i="36"/>
  <c r="BL108" i="34" s="1"/>
  <c r="BL37" i="34"/>
  <c r="BL173" i="34"/>
  <c r="BL51" i="36"/>
  <c r="BL92" i="34" s="1"/>
  <c r="BL19" i="34"/>
  <c r="BL5" i="34"/>
  <c r="BM19" i="34"/>
  <c r="BI174" i="34"/>
  <c r="BD66" i="36"/>
  <c r="BD107" i="34" s="1"/>
  <c r="BM4" i="34"/>
  <c r="BM172" i="34"/>
  <c r="AP38" i="34"/>
  <c r="AT20" i="34"/>
  <c r="AT68" i="36"/>
  <c r="AT109" i="34" s="1"/>
  <c r="AT6" i="34"/>
  <c r="AT38" i="34"/>
  <c r="AT174" i="34"/>
  <c r="BI68" i="36"/>
  <c r="BI109" i="34" s="1"/>
  <c r="BI158" i="34"/>
  <c r="BD18" i="34"/>
  <c r="BD156" i="34"/>
  <c r="BM36" i="34"/>
  <c r="BM66" i="36"/>
  <c r="BM107" i="34" s="1"/>
  <c r="AP20" i="34"/>
  <c r="BI52" i="36"/>
  <c r="BI93" i="34" s="1"/>
  <c r="BD36" i="34"/>
  <c r="BD172" i="34"/>
  <c r="BM156" i="34"/>
  <c r="BM50" i="36"/>
  <c r="BM91" i="34" s="1"/>
  <c r="AT156" i="34"/>
  <c r="AT172" i="34"/>
  <c r="AT50" i="36"/>
  <c r="AT91" i="34" s="1"/>
  <c r="AT4" i="34"/>
  <c r="AT66" i="36"/>
  <c r="AT107" i="34" s="1"/>
  <c r="AT36" i="34"/>
  <c r="AT18" i="34"/>
  <c r="AV42" i="34"/>
  <c r="AT21" i="45" s="1"/>
  <c r="V21" i="62" s="1"/>
  <c r="AT6" i="45"/>
  <c r="V8" i="62" s="1"/>
  <c r="AT5" i="34"/>
  <c r="AT173" i="34"/>
  <c r="AT67" i="36"/>
  <c r="AT108" i="34" s="1"/>
  <c r="AT37" i="34"/>
  <c r="AT157" i="34"/>
  <c r="AT51" i="36"/>
  <c r="AT92" i="34" s="1"/>
  <c r="AT19" i="34"/>
  <c r="AV157" i="34"/>
  <c r="AV178" i="34"/>
  <c r="AV72" i="36"/>
  <c r="AV113" i="34" s="1"/>
  <c r="AV24" i="34"/>
  <c r="AT13" i="45" s="1"/>
  <c r="V14" i="62" s="1"/>
  <c r="AK37" i="34"/>
  <c r="AK173" i="34"/>
  <c r="AK51" i="36"/>
  <c r="AK92" i="34" s="1"/>
  <c r="AS5" i="34"/>
  <c r="AS36" i="34"/>
  <c r="AS18" i="34"/>
  <c r="AS172" i="34"/>
  <c r="AS156" i="34"/>
  <c r="AV5" i="34"/>
  <c r="AV37" i="34"/>
  <c r="AV51" i="36"/>
  <c r="AV92" i="34" s="1"/>
  <c r="AV19" i="34"/>
  <c r="AL49" i="34"/>
  <c r="AJ25" i="45" s="1"/>
  <c r="L23" i="62" s="1"/>
  <c r="AL31" i="34"/>
  <c r="AJ17" i="45" s="1"/>
  <c r="L18" i="62" s="1"/>
  <c r="AL169" i="34"/>
  <c r="AL185" i="34"/>
  <c r="AL17" i="34"/>
  <c r="AJ10" i="45" s="1"/>
  <c r="L12" i="62" s="1"/>
  <c r="AL79" i="36"/>
  <c r="AL120" i="34" s="1"/>
  <c r="AL63" i="36"/>
  <c r="AL104" i="34" s="1"/>
  <c r="BC34" i="34"/>
  <c r="BC52" i="34"/>
  <c r="AN49" i="34"/>
  <c r="AL25" i="45" s="1"/>
  <c r="N23" i="62" s="1"/>
  <c r="AN31" i="34"/>
  <c r="AL17" i="45" s="1"/>
  <c r="N18" i="62" s="1"/>
  <c r="AN169" i="34"/>
  <c r="AN185" i="34"/>
  <c r="AN63" i="36"/>
  <c r="AN104" i="34" s="1"/>
  <c r="AN17" i="34"/>
  <c r="AL10" i="45" s="1"/>
  <c r="N12" i="62" s="1"/>
  <c r="AN79" i="36"/>
  <c r="AV49" i="34"/>
  <c r="AT25" i="45" s="1"/>
  <c r="V23" i="62" s="1"/>
  <c r="AV31" i="34"/>
  <c r="AT17" i="45" s="1"/>
  <c r="V18" i="62" s="1"/>
  <c r="AV17" i="34"/>
  <c r="AT10" i="45" s="1"/>
  <c r="V12" i="62" s="1"/>
  <c r="AV169" i="34"/>
  <c r="AV185" i="34"/>
  <c r="AV79" i="36"/>
  <c r="AV120" i="34" s="1"/>
  <c r="AV63" i="36"/>
  <c r="AV104" i="34" s="1"/>
  <c r="AN53" i="34"/>
  <c r="AN35" i="34"/>
  <c r="AW52" i="34"/>
  <c r="AW34" i="34"/>
  <c r="AJ52" i="34"/>
  <c r="AJ34" i="34"/>
  <c r="AR53" i="34"/>
  <c r="AR35" i="34"/>
  <c r="AS19" i="34"/>
  <c r="AS173" i="34"/>
  <c r="AS157" i="34"/>
  <c r="AS37" i="34"/>
  <c r="AS67" i="36"/>
  <c r="AS108" i="34" s="1"/>
  <c r="AS51" i="36"/>
  <c r="AS92" i="34" s="1"/>
  <c r="BM53" i="34"/>
  <c r="BM35" i="34"/>
  <c r="AY34" i="34"/>
  <c r="AY52" i="34"/>
  <c r="BM52" i="34"/>
  <c r="BM34" i="34"/>
  <c r="BE53" i="34"/>
  <c r="BE35" i="34"/>
  <c r="AM53" i="34"/>
  <c r="AM35" i="34"/>
  <c r="AU52" i="34"/>
  <c r="AU34" i="34"/>
  <c r="AL34" i="34"/>
  <c r="AL52" i="34"/>
  <c r="BK53" i="34"/>
  <c r="BK35" i="34"/>
  <c r="AK31" i="34"/>
  <c r="AI17" i="45" s="1"/>
  <c r="K18" i="62" s="1"/>
  <c r="AK169" i="34"/>
  <c r="AK17" i="34"/>
  <c r="AI10" i="45" s="1"/>
  <c r="K12" i="62" s="1"/>
  <c r="AK185" i="34"/>
  <c r="AK49" i="34"/>
  <c r="AI25" i="45" s="1"/>
  <c r="K23" i="62" s="1"/>
  <c r="AK63" i="36"/>
  <c r="AK104" i="34" s="1"/>
  <c r="AK79" i="36"/>
  <c r="AK120" i="34" s="1"/>
  <c r="AJ53" i="34"/>
  <c r="AJ35" i="34"/>
  <c r="BL34" i="34"/>
  <c r="BL52" i="34"/>
  <c r="BO173" i="34"/>
  <c r="BO19" i="34"/>
  <c r="BO37" i="34"/>
  <c r="BO157" i="34"/>
  <c r="BO5" i="34"/>
  <c r="BO67" i="36"/>
  <c r="BO108" i="34" s="1"/>
  <c r="BO51" i="36"/>
  <c r="BO92" i="34" s="1"/>
  <c r="BB52" i="34"/>
  <c r="BB34" i="34"/>
  <c r="BA53" i="34"/>
  <c r="BA35" i="34"/>
  <c r="AS52" i="34"/>
  <c r="AS34" i="34"/>
  <c r="BH37" i="34"/>
  <c r="BH19" i="34"/>
  <c r="BH5" i="34"/>
  <c r="BH157" i="34"/>
  <c r="BH173" i="34"/>
  <c r="BH51" i="36"/>
  <c r="BH92" i="34" s="1"/>
  <c r="BH67" i="36"/>
  <c r="BH108" i="34" s="1"/>
  <c r="AZ34" i="34"/>
  <c r="AZ52" i="34"/>
  <c r="BI53" i="34"/>
  <c r="BI35" i="34"/>
  <c r="BF34" i="34"/>
  <c r="BF52" i="34"/>
  <c r="AV53" i="34"/>
  <c r="AV35" i="34"/>
  <c r="AK52" i="34"/>
  <c r="AK34" i="34"/>
  <c r="BA52" i="34"/>
  <c r="BA34" i="34"/>
  <c r="AP169" i="34"/>
  <c r="AP31" i="34"/>
  <c r="AN17" i="45" s="1"/>
  <c r="P18" i="62" s="1"/>
  <c r="AP185" i="34"/>
  <c r="AP49" i="34"/>
  <c r="AN25" i="45" s="1"/>
  <c r="P23" i="62" s="1"/>
  <c r="AP17" i="34"/>
  <c r="AN10" i="45" s="1"/>
  <c r="P12" i="62" s="1"/>
  <c r="AP79" i="36"/>
  <c r="AP120" i="34" s="1"/>
  <c r="AP63" i="36"/>
  <c r="AP104" i="34" s="1"/>
  <c r="AT49" i="34"/>
  <c r="AR25" i="45" s="1"/>
  <c r="T23" i="62" s="1"/>
  <c r="AT17" i="34"/>
  <c r="AR10" i="45" s="1"/>
  <c r="T12" i="62" s="1"/>
  <c r="AT31" i="34"/>
  <c r="AR17" i="45" s="1"/>
  <c r="T18" i="62" s="1"/>
  <c r="AT169" i="34"/>
  <c r="AT185" i="34"/>
  <c r="AT79" i="36"/>
  <c r="AT63" i="36"/>
  <c r="AT104" i="34" s="1"/>
  <c r="BG52" i="34"/>
  <c r="BG34" i="34"/>
  <c r="AS49" i="34"/>
  <c r="AQ25" i="45" s="1"/>
  <c r="S23" i="62" s="1"/>
  <c r="AS31" i="34"/>
  <c r="AQ17" i="45" s="1"/>
  <c r="S18" i="62" s="1"/>
  <c r="AS169" i="34"/>
  <c r="AS185" i="34"/>
  <c r="AS17" i="34"/>
  <c r="AQ10" i="45" s="1"/>
  <c r="S12" i="62" s="1"/>
  <c r="AS63" i="36"/>
  <c r="AS104" i="34" s="1"/>
  <c r="AS79" i="36"/>
  <c r="AS120" i="34" s="1"/>
  <c r="AP53" i="34"/>
  <c r="AP35" i="34"/>
  <c r="AY53" i="34"/>
  <c r="AY35" i="34"/>
  <c r="BK34" i="34"/>
  <c r="BK52" i="34"/>
  <c r="BL53" i="34"/>
  <c r="BL35" i="34"/>
  <c r="BP53" i="34"/>
  <c r="BP35" i="34"/>
  <c r="AR169" i="34"/>
  <c r="AR31" i="34"/>
  <c r="AP17" i="45" s="1"/>
  <c r="R18" i="62" s="1"/>
  <c r="AR185" i="34"/>
  <c r="AR49" i="34"/>
  <c r="AP25" i="45" s="1"/>
  <c r="R23" i="62" s="1"/>
  <c r="AR17" i="34"/>
  <c r="AP10" i="45" s="1"/>
  <c r="R12" i="62" s="1"/>
  <c r="AR79" i="36"/>
  <c r="AR120" i="34" s="1"/>
  <c r="AR63" i="36"/>
  <c r="AR104" i="34" s="1"/>
  <c r="AX34" i="34"/>
  <c r="AX52" i="34"/>
  <c r="BH53" i="34"/>
  <c r="BH35" i="34"/>
  <c r="BP37" i="34"/>
  <c r="BP19" i="34"/>
  <c r="BP157" i="34"/>
  <c r="BP5" i="34"/>
  <c r="BP67" i="36"/>
  <c r="BP108" i="34" s="1"/>
  <c r="AY173" i="34"/>
  <c r="AY5" i="34"/>
  <c r="AY37" i="34"/>
  <c r="AY157" i="34"/>
  <c r="AY67" i="36"/>
  <c r="AY108" i="34" s="1"/>
  <c r="AY19" i="34"/>
  <c r="AO185" i="34"/>
  <c r="AO17" i="34"/>
  <c r="AM10" i="45" s="1"/>
  <c r="O12" i="62" s="1"/>
  <c r="AO169" i="34"/>
  <c r="AO49" i="34"/>
  <c r="AM25" i="45" s="1"/>
  <c r="O23" i="62" s="1"/>
  <c r="AO31" i="34"/>
  <c r="AM17" i="45" s="1"/>
  <c r="O18" i="62" s="1"/>
  <c r="AO63" i="36"/>
  <c r="AO104" i="34" s="1"/>
  <c r="AO79" i="36"/>
  <c r="AO120" i="34" s="1"/>
  <c r="AR52" i="34"/>
  <c r="AR34" i="34"/>
  <c r="AQ53" i="34"/>
  <c r="AQ35" i="34"/>
  <c r="BD53" i="34"/>
  <c r="BD35" i="34"/>
  <c r="BC53" i="34"/>
  <c r="BC35" i="34"/>
  <c r="AX53" i="34"/>
  <c r="AX35" i="34"/>
  <c r="BA19" i="34"/>
  <c r="BA173" i="34"/>
  <c r="BA5" i="34"/>
  <c r="BA157" i="34"/>
  <c r="BA51" i="36"/>
  <c r="BA92" i="34" s="1"/>
  <c r="BA67" i="36"/>
  <c r="BA108" i="34" s="1"/>
  <c r="AM169" i="34"/>
  <c r="AM31" i="34"/>
  <c r="AK17" i="45" s="1"/>
  <c r="M18" i="62" s="1"/>
  <c r="AM185" i="34"/>
  <c r="AM49" i="34"/>
  <c r="AK25" i="45" s="1"/>
  <c r="M23" i="62" s="1"/>
  <c r="AM17" i="34"/>
  <c r="AK10" i="45" s="1"/>
  <c r="M12" i="62" s="1"/>
  <c r="AM63" i="36"/>
  <c r="AM104" i="34" s="1"/>
  <c r="AM79" i="36"/>
  <c r="AM120" i="34" s="1"/>
  <c r="AJ185" i="34"/>
  <c r="AJ31" i="34"/>
  <c r="AH17" i="45" s="1"/>
  <c r="J18" i="62" s="1"/>
  <c r="AJ49" i="34"/>
  <c r="AH25" i="45" s="1"/>
  <c r="J23" i="62" s="1"/>
  <c r="AJ17" i="34"/>
  <c r="AH10" i="45" s="1"/>
  <c r="J12" i="62" s="1"/>
  <c r="AJ169" i="34"/>
  <c r="AJ63" i="36"/>
  <c r="AJ104" i="34" s="1"/>
  <c r="AJ79" i="36"/>
  <c r="AJ120" i="34" s="1"/>
  <c r="AQ34" i="34"/>
  <c r="AQ52" i="34"/>
  <c r="AS53" i="34"/>
  <c r="AS35" i="34"/>
  <c r="AQ49" i="34"/>
  <c r="AO25" i="45" s="1"/>
  <c r="Q23" i="62" s="1"/>
  <c r="AQ31" i="34"/>
  <c r="AO17" i="45" s="1"/>
  <c r="Q18" i="62" s="1"/>
  <c r="AQ17" i="34"/>
  <c r="AO10" i="45" s="1"/>
  <c r="Q12" i="62" s="1"/>
  <c r="AQ185" i="34"/>
  <c r="AQ169" i="34"/>
  <c r="AQ63" i="36"/>
  <c r="AQ104" i="34" s="1"/>
  <c r="AQ79" i="36"/>
  <c r="AQ120" i="34" s="1"/>
  <c r="AW53" i="34"/>
  <c r="AW35" i="34"/>
  <c r="BB53" i="34"/>
  <c r="BB35" i="34"/>
  <c r="AM34" i="34"/>
  <c r="AM52" i="34"/>
  <c r="AT34" i="34"/>
  <c r="AT52" i="34"/>
  <c r="AL53" i="34"/>
  <c r="AL35" i="34"/>
  <c r="AN34" i="34"/>
  <c r="AN52" i="34"/>
  <c r="AO52" i="34"/>
  <c r="AO34" i="34"/>
  <c r="AO53" i="34"/>
  <c r="AO35" i="34"/>
  <c r="BD34" i="34"/>
  <c r="BD52" i="34"/>
  <c r="BE52" i="34"/>
  <c r="BE34" i="34"/>
  <c r="BO52" i="34"/>
  <c r="BO34" i="34"/>
  <c r="AT53" i="34"/>
  <c r="AT35" i="34"/>
  <c r="AU169" i="34"/>
  <c r="AU31" i="34"/>
  <c r="AS17" i="45" s="1"/>
  <c r="U18" i="62" s="1"/>
  <c r="AU49" i="34"/>
  <c r="AS25" i="45" s="1"/>
  <c r="U23" i="62" s="1"/>
  <c r="AU17" i="34"/>
  <c r="AS10" i="45" s="1"/>
  <c r="U12" i="62" s="1"/>
  <c r="AU185" i="34"/>
  <c r="AU63" i="36"/>
  <c r="AU104" i="34" s="1"/>
  <c r="AU79" i="36"/>
  <c r="AU120" i="34" s="1"/>
  <c r="AK53" i="34"/>
  <c r="AK35" i="34"/>
  <c r="BH34" i="34"/>
  <c r="BH52" i="34"/>
  <c r="AP52" i="34"/>
  <c r="AP34" i="34"/>
  <c r="AU53" i="34"/>
  <c r="AU35" i="34"/>
  <c r="BJ37" i="34"/>
  <c r="BJ5" i="34"/>
  <c r="BJ19" i="34"/>
  <c r="BJ51" i="36"/>
  <c r="BJ92" i="34" s="1"/>
  <c r="BJ67" i="36"/>
  <c r="BJ108" i="34" s="1"/>
  <c r="AZ53" i="34"/>
  <c r="AZ35" i="34"/>
  <c r="BF37" i="34"/>
  <c r="AV52" i="34"/>
  <c r="AV34" i="34"/>
  <c r="BN52" i="34"/>
  <c r="BN34" i="34"/>
  <c r="BG53" i="34"/>
  <c r="BG35" i="34"/>
  <c r="BI52" i="34"/>
  <c r="BI34" i="34"/>
  <c r="BJ52" i="34"/>
  <c r="BJ34" i="34"/>
  <c r="BP34" i="34"/>
  <c r="BP52" i="34"/>
  <c r="BF53" i="34"/>
  <c r="BF35" i="34"/>
  <c r="BO53" i="34"/>
  <c r="BO35" i="34"/>
  <c r="BN53" i="34"/>
  <c r="BN35" i="34"/>
  <c r="BJ53" i="34"/>
  <c r="BJ35" i="34"/>
  <c r="AE45" i="36" l="1"/>
  <c r="AF45" i="36" s="1"/>
  <c r="AG45" i="36" s="1"/>
  <c r="AH45" i="36" s="1"/>
  <c r="AI45" i="36" s="1"/>
  <c r="AJ45" i="36" s="1"/>
  <c r="AK45" i="36" s="1"/>
  <c r="AL45" i="36" s="1"/>
  <c r="AM45" i="36" s="1"/>
  <c r="AN45" i="36" s="1"/>
  <c r="AO45" i="36" s="1"/>
  <c r="AP45" i="36" s="1"/>
  <c r="AQ45" i="36" s="1"/>
  <c r="AR45" i="36" s="1"/>
  <c r="AS45" i="36" s="1"/>
  <c r="AT45" i="36" s="1"/>
  <c r="AU45" i="36" s="1"/>
  <c r="AV45" i="36" s="1"/>
  <c r="AW45" i="36" s="1"/>
  <c r="AX45" i="36" s="1"/>
  <c r="AY45" i="36" s="1"/>
  <c r="AZ45" i="36" s="1"/>
  <c r="BA45" i="36" s="1"/>
  <c r="BB45" i="36" s="1"/>
  <c r="BC45" i="36" s="1"/>
  <c r="BD45" i="36" s="1"/>
  <c r="BE45" i="36" s="1"/>
  <c r="BF45" i="36" s="1"/>
  <c r="BG45" i="36" s="1"/>
  <c r="BH45" i="36" s="1"/>
  <c r="BI45" i="36" s="1"/>
  <c r="AG158" i="34"/>
  <c r="BM6" i="34"/>
  <c r="AK158" i="34"/>
  <c r="AL172" i="34"/>
  <c r="AL156" i="34"/>
  <c r="AL36" i="34"/>
  <c r="AW52" i="36"/>
  <c r="AW93" i="34" s="1"/>
  <c r="BM38" i="34"/>
  <c r="BM20" i="34"/>
  <c r="BM158" i="34"/>
  <c r="BM52" i="36"/>
  <c r="BM93" i="34" s="1"/>
  <c r="AK6" i="34"/>
  <c r="AH158" i="34"/>
  <c r="AD18" i="34"/>
  <c r="AK52" i="36"/>
  <c r="AK93" i="34" s="1"/>
  <c r="AO156" i="34"/>
  <c r="AG68" i="36"/>
  <c r="AG109" i="34" s="1"/>
  <c r="AV6" i="34"/>
  <c r="AK68" i="36"/>
  <c r="AK109" i="34" s="1"/>
  <c r="BM68" i="36"/>
  <c r="BM109" i="34" s="1"/>
  <c r="AK4" i="34"/>
  <c r="AI51" i="36"/>
  <c r="AI92" i="34" s="1"/>
  <c r="BC66" i="36"/>
  <c r="BC107" i="34" s="1"/>
  <c r="AS38" i="34"/>
  <c r="BM173" i="34"/>
  <c r="AX157" i="34"/>
  <c r="AE172" i="34"/>
  <c r="AH50" i="36"/>
  <c r="AH91" i="34" s="1"/>
  <c r="AR66" i="36"/>
  <c r="AR107" i="34" s="1"/>
  <c r="AY174" i="34"/>
  <c r="AS20" i="34"/>
  <c r="BP6" i="34"/>
  <c r="BM67" i="36"/>
  <c r="BM108" i="34" s="1"/>
  <c r="AX173" i="34"/>
  <c r="AX51" i="36"/>
  <c r="AX92" i="34" s="1"/>
  <c r="BK158" i="34"/>
  <c r="AS50" i="36"/>
  <c r="AS91" i="34" s="1"/>
  <c r="AE156" i="34"/>
  <c r="AG6" i="34"/>
  <c r="AH66" i="36"/>
  <c r="AH107" i="34" s="1"/>
  <c r="AR4" i="34"/>
  <c r="AO158" i="34"/>
  <c r="AR36" i="34"/>
  <c r="AO20" i="34"/>
  <c r="AY52" i="36"/>
  <c r="AY93" i="34" s="1"/>
  <c r="AW18" i="34"/>
  <c r="AD158" i="34"/>
  <c r="BJ36" i="34"/>
  <c r="AU173" i="34"/>
  <c r="BN18" i="34"/>
  <c r="BH52" i="36"/>
  <c r="BH93" i="34" s="1"/>
  <c r="AG173" i="34"/>
  <c r="AS66" i="36"/>
  <c r="AS107" i="34" s="1"/>
  <c r="BN4" i="34"/>
  <c r="AE18" i="34"/>
  <c r="AE66" i="36"/>
  <c r="AE107" i="34" s="1"/>
  <c r="AE158" i="34"/>
  <c r="AG38" i="34"/>
  <c r="AE20" i="45" s="1"/>
  <c r="G20" i="62" s="1"/>
  <c r="AG20" i="34"/>
  <c r="AW172" i="34"/>
  <c r="AG51" i="36"/>
  <c r="AG92" i="34" s="1"/>
  <c r="AH156" i="34"/>
  <c r="BH156" i="34"/>
  <c r="AO52" i="36"/>
  <c r="AO93" i="34" s="1"/>
  <c r="AR50" i="36"/>
  <c r="AR91" i="34" s="1"/>
  <c r="BH50" i="36"/>
  <c r="BH91" i="34" s="1"/>
  <c r="AY38" i="34"/>
  <c r="BJ4" i="34"/>
  <c r="BB52" i="36"/>
  <c r="BB93" i="34" s="1"/>
  <c r="AU51" i="36"/>
  <c r="AU92" i="34" s="1"/>
  <c r="BH68" i="36"/>
  <c r="BH109" i="34" s="1"/>
  <c r="BL20" i="34"/>
  <c r="AK18" i="34"/>
  <c r="AV4" i="34"/>
  <c r="AW66" i="36"/>
  <c r="AW107" i="34" s="1"/>
  <c r="AU67" i="36"/>
  <c r="AU108" i="34" s="1"/>
  <c r="BE36" i="34"/>
  <c r="BE66" i="36"/>
  <c r="BE107" i="34" s="1"/>
  <c r="BJ173" i="34"/>
  <c r="BP51" i="36"/>
  <c r="BP92" i="34" s="1"/>
  <c r="AV173" i="34"/>
  <c r="BC20" i="34"/>
  <c r="AP174" i="34"/>
  <c r="AP68" i="36"/>
  <c r="AP109" i="34" s="1"/>
  <c r="AT158" i="34"/>
  <c r="AP52" i="36"/>
  <c r="AP93" i="34" s="1"/>
  <c r="BM51" i="36"/>
  <c r="BM92" i="34" s="1"/>
  <c r="BM37" i="34"/>
  <c r="AX67" i="36"/>
  <c r="AX108" i="34" s="1"/>
  <c r="BH66" i="36"/>
  <c r="BH107" i="34" s="1"/>
  <c r="BN173" i="34"/>
  <c r="AX19" i="34"/>
  <c r="AX5" i="34"/>
  <c r="BL174" i="34"/>
  <c r="AP18" i="34"/>
  <c r="AE36" i="34"/>
  <c r="AE174" i="34"/>
  <c r="AG174" i="34"/>
  <c r="AI5" i="34"/>
  <c r="AG5" i="45" s="1"/>
  <c r="AH36" i="34"/>
  <c r="AR156" i="34"/>
  <c r="AO174" i="34"/>
  <c r="AO38" i="34"/>
  <c r="BN156" i="34"/>
  <c r="AU52" i="36"/>
  <c r="AU93" i="34" s="1"/>
  <c r="AL66" i="36"/>
  <c r="AL107" i="34" s="1"/>
  <c r="AR20" i="34"/>
  <c r="AY20" i="34"/>
  <c r="AX66" i="36"/>
  <c r="AX107" i="34" s="1"/>
  <c r="AX4" i="34"/>
  <c r="AX18" i="34"/>
  <c r="AX172" i="34"/>
  <c r="AX36" i="34"/>
  <c r="AX50" i="36"/>
  <c r="AX91" i="34" s="1"/>
  <c r="AX156" i="34"/>
  <c r="BC158" i="34"/>
  <c r="AW4" i="34"/>
  <c r="BP38" i="34"/>
  <c r="AW156" i="34"/>
  <c r="BP52" i="36"/>
  <c r="BP93" i="34" s="1"/>
  <c r="BE156" i="34"/>
  <c r="AP36" i="34"/>
  <c r="AP156" i="34"/>
  <c r="BL6" i="34"/>
  <c r="BL68" i="36"/>
  <c r="BL109" i="34" s="1"/>
  <c r="BE172" i="34"/>
  <c r="BL158" i="34"/>
  <c r="AW36" i="34"/>
  <c r="BH174" i="34"/>
  <c r="AP66" i="36"/>
  <c r="AP107" i="34" s="1"/>
  <c r="AD174" i="34"/>
  <c r="AD38" i="34"/>
  <c r="AE38" i="34"/>
  <c r="AE52" i="36"/>
  <c r="AE93" i="34" s="1"/>
  <c r="AI19" i="34"/>
  <c r="AG12" i="45" s="1"/>
  <c r="I13" i="62" s="1"/>
  <c r="AI37" i="34"/>
  <c r="AG20" i="45" s="1"/>
  <c r="I20" i="62" s="1"/>
  <c r="AG5" i="34"/>
  <c r="AG67" i="36"/>
  <c r="AG108" i="34" s="1"/>
  <c r="AS158" i="34"/>
  <c r="AS174" i="34"/>
  <c r="AY68" i="36"/>
  <c r="AY109" i="34" s="1"/>
  <c r="AL51" i="36"/>
  <c r="AL92" i="34" s="1"/>
  <c r="BB6" i="34"/>
  <c r="AJ172" i="34"/>
  <c r="AJ18" i="34"/>
  <c r="AJ50" i="36"/>
  <c r="AJ91" i="34" s="1"/>
  <c r="AJ4" i="34"/>
  <c r="AJ156" i="34"/>
  <c r="AJ36" i="34"/>
  <c r="AJ66" i="36"/>
  <c r="AJ107" i="34" s="1"/>
  <c r="BG174" i="34"/>
  <c r="BG6" i="34"/>
  <c r="BG52" i="36"/>
  <c r="BG93" i="34" s="1"/>
  <c r="BG20" i="34"/>
  <c r="BG68" i="36"/>
  <c r="BG109" i="34" s="1"/>
  <c r="BG38" i="34"/>
  <c r="BG158" i="34"/>
  <c r="AL20" i="34"/>
  <c r="AL52" i="36"/>
  <c r="AL93" i="34" s="1"/>
  <c r="AL68" i="36"/>
  <c r="AL109" i="34" s="1"/>
  <c r="AL38" i="34"/>
  <c r="AL158" i="34"/>
  <c r="AL6" i="34"/>
  <c r="AL174" i="34"/>
  <c r="BB157" i="34"/>
  <c r="BB19" i="34"/>
  <c r="BB5" i="34"/>
  <c r="BB51" i="36"/>
  <c r="BB92" i="34" s="1"/>
  <c r="BB37" i="34"/>
  <c r="BB173" i="34"/>
  <c r="BB67" i="36"/>
  <c r="BB108" i="34" s="1"/>
  <c r="AQ20" i="34"/>
  <c r="AQ68" i="36"/>
  <c r="AQ109" i="34" s="1"/>
  <c r="AQ38" i="34"/>
  <c r="AQ52" i="36"/>
  <c r="AQ93" i="34" s="1"/>
  <c r="AQ158" i="34"/>
  <c r="AQ174" i="34"/>
  <c r="AQ6" i="34"/>
  <c r="AM6" i="34"/>
  <c r="AM52" i="36"/>
  <c r="AM93" i="34" s="1"/>
  <c r="AM20" i="34"/>
  <c r="AM158" i="34"/>
  <c r="AM174" i="34"/>
  <c r="AM68" i="36"/>
  <c r="AM109" i="34" s="1"/>
  <c r="AM38" i="34"/>
  <c r="BO18" i="34"/>
  <c r="BO50" i="36"/>
  <c r="BO91" i="34" s="1"/>
  <c r="BO156" i="34"/>
  <c r="BO36" i="34"/>
  <c r="BO172" i="34"/>
  <c r="BO4" i="34"/>
  <c r="BO66" i="36"/>
  <c r="BO107" i="34" s="1"/>
  <c r="AM5" i="34"/>
  <c r="AM19" i="34"/>
  <c r="AM157" i="34"/>
  <c r="AM67" i="36"/>
  <c r="AM108" i="34" s="1"/>
  <c r="AM173" i="34"/>
  <c r="AM37" i="34"/>
  <c r="AM51" i="36"/>
  <c r="AM92" i="34" s="1"/>
  <c r="AV172" i="34"/>
  <c r="AV156" i="34"/>
  <c r="AV66" i="36"/>
  <c r="AV107" i="34" s="1"/>
  <c r="BC68" i="36"/>
  <c r="BC109" i="34" s="1"/>
  <c r="AS68" i="36"/>
  <c r="AS109" i="34" s="1"/>
  <c r="BP158" i="34"/>
  <c r="AP50" i="36"/>
  <c r="AP91" i="34" s="1"/>
  <c r="BH158" i="34"/>
  <c r="BF158" i="34"/>
  <c r="BP68" i="36"/>
  <c r="BP109" i="34" s="1"/>
  <c r="BC52" i="36"/>
  <c r="BC93" i="34" s="1"/>
  <c r="AK172" i="34"/>
  <c r="BN66" i="36"/>
  <c r="BN107" i="34" s="1"/>
  <c r="AD6" i="34"/>
  <c r="AD52" i="36"/>
  <c r="AD93" i="34" s="1"/>
  <c r="AE6" i="34"/>
  <c r="AE68" i="36"/>
  <c r="AE109" i="34" s="1"/>
  <c r="AI157" i="34"/>
  <c r="AG53" i="45" s="1"/>
  <c r="AG19" i="34"/>
  <c r="BF38" i="34"/>
  <c r="BF20" i="34"/>
  <c r="AL157" i="34"/>
  <c r="AL173" i="34"/>
  <c r="AL19" i="34"/>
  <c r="BJ50" i="36"/>
  <c r="BJ91" i="34" s="1"/>
  <c r="BB68" i="36"/>
  <c r="BB109" i="34" s="1"/>
  <c r="BB38" i="34"/>
  <c r="BB174" i="34"/>
  <c r="BB158" i="34"/>
  <c r="AY156" i="34"/>
  <c r="AY4" i="34"/>
  <c r="AY66" i="36"/>
  <c r="AY107" i="34" s="1"/>
  <c r="AY36" i="34"/>
  <c r="AY172" i="34"/>
  <c r="AY18" i="34"/>
  <c r="AY50" i="36"/>
  <c r="AY91" i="34" s="1"/>
  <c r="AZ19" i="34"/>
  <c r="AZ51" i="36"/>
  <c r="AZ92" i="34" s="1"/>
  <c r="AZ173" i="34"/>
  <c r="AZ67" i="36"/>
  <c r="AZ108" i="34" s="1"/>
  <c r="AZ37" i="34"/>
  <c r="AZ157" i="34"/>
  <c r="AZ5" i="34"/>
  <c r="AX38" i="34"/>
  <c r="AX20" i="34"/>
  <c r="AX6" i="34"/>
  <c r="AX174" i="34"/>
  <c r="AX158" i="34"/>
  <c r="AX52" i="36"/>
  <c r="AX93" i="34" s="1"/>
  <c r="AX68" i="36"/>
  <c r="AX109" i="34" s="1"/>
  <c r="AN6" i="34"/>
  <c r="AN174" i="34"/>
  <c r="AN68" i="36"/>
  <c r="AN109" i="34" s="1"/>
  <c r="AN38" i="34"/>
  <c r="AN20" i="34"/>
  <c r="AN158" i="34"/>
  <c r="AN52" i="36"/>
  <c r="AN93" i="34" s="1"/>
  <c r="AQ19" i="34"/>
  <c r="AQ37" i="34"/>
  <c r="AQ5" i="34"/>
  <c r="AQ157" i="34"/>
  <c r="AJ173" i="34"/>
  <c r="AJ51" i="36"/>
  <c r="AJ92" i="34" s="1"/>
  <c r="AJ67" i="36"/>
  <c r="AJ108" i="34" s="1"/>
  <c r="AJ157" i="34"/>
  <c r="AJ19" i="34"/>
  <c r="AJ5" i="34"/>
  <c r="AJ37" i="34"/>
  <c r="AZ172" i="34"/>
  <c r="AZ4" i="34"/>
  <c r="AZ156" i="34"/>
  <c r="AZ18" i="34"/>
  <c r="AZ66" i="36"/>
  <c r="AZ107" i="34" s="1"/>
  <c r="AZ50" i="36"/>
  <c r="AZ91" i="34" s="1"/>
  <c r="AZ36" i="34"/>
  <c r="BG4" i="34"/>
  <c r="BG18" i="34"/>
  <c r="BG50" i="36"/>
  <c r="BG91" i="34" s="1"/>
  <c r="BG66" i="36"/>
  <c r="BG107" i="34" s="1"/>
  <c r="BG156" i="34"/>
  <c r="BG172" i="34"/>
  <c r="BG36" i="34"/>
  <c r="AN173" i="34"/>
  <c r="AN37" i="34"/>
  <c r="AN5" i="34"/>
  <c r="AN67" i="36"/>
  <c r="AN108" i="34" s="1"/>
  <c r="AN19" i="34"/>
  <c r="AN51" i="36"/>
  <c r="AN92" i="34" s="1"/>
  <c r="AN157" i="34"/>
  <c r="AV50" i="36"/>
  <c r="AV91" i="34" s="1"/>
  <c r="AV18" i="34"/>
  <c r="BC174" i="34"/>
  <c r="AS6" i="34"/>
  <c r="BF68" i="36"/>
  <c r="BF109" i="34" s="1"/>
  <c r="AP4" i="34"/>
  <c r="BE18" i="34"/>
  <c r="BH20" i="34"/>
  <c r="BF52" i="36"/>
  <c r="BF93" i="34" s="1"/>
  <c r="BH6" i="34"/>
  <c r="BF174" i="34"/>
  <c r="BC38" i="34"/>
  <c r="BE4" i="34"/>
  <c r="BL52" i="36"/>
  <c r="BL93" i="34" s="1"/>
  <c r="BN50" i="36"/>
  <c r="BN91" i="34" s="1"/>
  <c r="BN172" i="34"/>
  <c r="AK50" i="36"/>
  <c r="AK91" i="34" s="1"/>
  <c r="AK156" i="34"/>
  <c r="AD20" i="34"/>
  <c r="AD68" i="36"/>
  <c r="AD109" i="34" s="1"/>
  <c r="AI173" i="34"/>
  <c r="AG54" i="45" s="1"/>
  <c r="AG157" i="34"/>
  <c r="BP20" i="34"/>
  <c r="AK66" i="36"/>
  <c r="AK107" i="34" s="1"/>
  <c r="AL67" i="36"/>
  <c r="AL108" i="34" s="1"/>
  <c r="AL5" i="34"/>
  <c r="AY158" i="34"/>
  <c r="BJ156" i="34"/>
  <c r="BJ18" i="34"/>
  <c r="BJ172" i="34"/>
  <c r="AJ38" i="34"/>
  <c r="AJ6" i="34"/>
  <c r="AJ68" i="36"/>
  <c r="AJ109" i="34" s="1"/>
  <c r="AJ20" i="34"/>
  <c r="AJ52" i="36"/>
  <c r="AJ93" i="34" s="1"/>
  <c r="AJ174" i="34"/>
  <c r="AJ158" i="34"/>
  <c r="BJ38" i="34"/>
  <c r="BJ52" i="36"/>
  <c r="BJ93" i="34" s="1"/>
  <c r="BJ68" i="36"/>
  <c r="BJ109" i="34" s="1"/>
  <c r="BJ20" i="34"/>
  <c r="BJ174" i="34"/>
  <c r="BJ6" i="34"/>
  <c r="BJ158" i="34"/>
  <c r="BG157" i="34"/>
  <c r="BG67" i="36"/>
  <c r="BG108" i="34" s="1"/>
  <c r="BG37" i="34"/>
  <c r="BG51" i="36"/>
  <c r="BG92" i="34" s="1"/>
  <c r="BG173" i="34"/>
  <c r="BG5" i="34"/>
  <c r="BG19" i="34"/>
  <c r="AN66" i="36"/>
  <c r="AN107" i="34" s="1"/>
  <c r="AN156" i="34"/>
  <c r="AN36" i="34"/>
  <c r="AN172" i="34"/>
  <c r="AN50" i="36"/>
  <c r="AN91" i="34" s="1"/>
  <c r="AN4" i="34"/>
  <c r="AN18" i="34"/>
  <c r="BB50" i="36"/>
  <c r="BB91" i="34" s="1"/>
  <c r="BB18" i="34"/>
  <c r="BB36" i="34"/>
  <c r="BB172" i="34"/>
  <c r="BB4" i="34"/>
  <c r="BB66" i="36"/>
  <c r="BB107" i="34" s="1"/>
  <c r="BB156" i="34"/>
  <c r="AQ50" i="36"/>
  <c r="AQ91" i="34" s="1"/>
  <c r="AQ66" i="36"/>
  <c r="AQ107" i="34" s="1"/>
  <c r="AQ18" i="34"/>
  <c r="AQ36" i="34"/>
  <c r="AM66" i="36"/>
  <c r="AM107" i="34" s="1"/>
  <c r="AM18" i="34"/>
  <c r="AM156" i="34"/>
  <c r="AM172" i="34"/>
  <c r="AM36" i="34"/>
  <c r="AM4" i="34"/>
  <c r="AM50" i="36"/>
  <c r="AM91" i="34" s="1"/>
  <c r="AW24" i="34"/>
  <c r="AW43" i="34"/>
  <c r="AW4" i="36"/>
  <c r="AW42" i="34"/>
  <c r="AW72" i="36"/>
  <c r="AW113" i="34" s="1"/>
  <c r="AX4" i="36"/>
  <c r="AW56" i="36"/>
  <c r="AW97" i="34" s="1"/>
  <c r="AW162" i="34"/>
  <c r="AW178" i="34"/>
  <c r="AF26" i="45"/>
  <c r="H24" i="62" s="1"/>
  <c r="AB18" i="45"/>
  <c r="D19" i="62" s="1"/>
  <c r="AE26" i="45"/>
  <c r="G24" i="62" s="1"/>
  <c r="AC26" i="45"/>
  <c r="E24" i="62" s="1"/>
  <c r="AY18" i="45"/>
  <c r="AA19" i="62" s="1"/>
  <c r="AB26" i="45"/>
  <c r="D24" i="62" s="1"/>
  <c r="AG18" i="45"/>
  <c r="I19" i="62" s="1"/>
  <c r="AE18" i="45"/>
  <c r="G19" i="62" s="1"/>
  <c r="AF18" i="45"/>
  <c r="H19" i="62" s="1"/>
  <c r="AC18" i="45"/>
  <c r="E19" i="62" s="1"/>
  <c r="AQ26" i="45"/>
  <c r="S24" i="62" s="1"/>
  <c r="AG26" i="45"/>
  <c r="I24" i="62" s="1"/>
  <c r="AD26" i="45"/>
  <c r="F24" i="62" s="1"/>
  <c r="AD18" i="45"/>
  <c r="F19" i="62" s="1"/>
  <c r="AF67" i="36"/>
  <c r="AF51" i="36"/>
  <c r="AF92" i="34" s="1"/>
  <c r="AF37" i="34"/>
  <c r="AD20" i="45" s="1"/>
  <c r="F20" i="62" s="1"/>
  <c r="AF19" i="34"/>
  <c r="AD12" i="45" s="1"/>
  <c r="F13" i="62" s="1"/>
  <c r="AF5" i="34"/>
  <c r="AD5" i="45" s="1"/>
  <c r="AF157" i="34"/>
  <c r="AD53" i="45" s="1"/>
  <c r="AF173" i="34"/>
  <c r="AD54" i="45" s="1"/>
  <c r="AE51" i="36"/>
  <c r="AE92" i="34" s="1"/>
  <c r="AE67" i="36"/>
  <c r="AE108" i="34" s="1"/>
  <c r="AE19" i="34"/>
  <c r="AE5" i="34"/>
  <c r="AE37" i="34"/>
  <c r="AE173" i="34"/>
  <c r="AE157" i="34"/>
  <c r="AH51" i="36"/>
  <c r="AH92" i="34" s="1"/>
  <c r="AH67" i="36"/>
  <c r="AH108" i="34" s="1"/>
  <c r="AH19" i="34"/>
  <c r="AF12" i="45" s="1"/>
  <c r="H13" i="62" s="1"/>
  <c r="AH5" i="34"/>
  <c r="AF5" i="45" s="1"/>
  <c r="AH37" i="34"/>
  <c r="AH157" i="34"/>
  <c r="AH173" i="34"/>
  <c r="AF54" i="45" s="1"/>
  <c r="AD67" i="36"/>
  <c r="AD108" i="34" s="1"/>
  <c r="AD51" i="36"/>
  <c r="AD92" i="34" s="1"/>
  <c r="AD37" i="34"/>
  <c r="AD173" i="34"/>
  <c r="AD19" i="34"/>
  <c r="AD5" i="34"/>
  <c r="AD157" i="34"/>
  <c r="AI138" i="34"/>
  <c r="AG47" i="45"/>
  <c r="AI142" i="34"/>
  <c r="BB26" i="45"/>
  <c r="AD24" i="62" s="1"/>
  <c r="BF5" i="34"/>
  <c r="BF173" i="34"/>
  <c r="BE67" i="36"/>
  <c r="BE108" i="34" s="1"/>
  <c r="BE37" i="34"/>
  <c r="BF67" i="36"/>
  <c r="BF108" i="34" s="1"/>
  <c r="AU157" i="34"/>
  <c r="AU5" i="34"/>
  <c r="AU37" i="34"/>
  <c r="BE173" i="34"/>
  <c r="BE157" i="34"/>
  <c r="BE19" i="34"/>
  <c r="BF157" i="34"/>
  <c r="BF51" i="36"/>
  <c r="BF92" i="34" s="1"/>
  <c r="BE5" i="34"/>
  <c r="BN51" i="36"/>
  <c r="BN92" i="34" s="1"/>
  <c r="BN5" i="34"/>
  <c r="BN157" i="34"/>
  <c r="BM157" i="34"/>
  <c r="AK157" i="34"/>
  <c r="AK67" i="36"/>
  <c r="AK108" i="34" s="1"/>
  <c r="AK19" i="34"/>
  <c r="AK5" i="34"/>
  <c r="AR19" i="34"/>
  <c r="AR173" i="34"/>
  <c r="AR5" i="34"/>
  <c r="AR67" i="36"/>
  <c r="AR108" i="34" s="1"/>
  <c r="AR157" i="34"/>
  <c r="AR37" i="34"/>
  <c r="AR51" i="36"/>
  <c r="AR92" i="34" s="1"/>
  <c r="BI157" i="34"/>
  <c r="BI19" i="34"/>
  <c r="BI37" i="34"/>
  <c r="BI173" i="34"/>
  <c r="BI51" i="36"/>
  <c r="BI92" i="34" s="1"/>
  <c r="BI5" i="34"/>
  <c r="BI67" i="36"/>
  <c r="BI108" i="34" s="1"/>
  <c r="AP19" i="34"/>
  <c r="AP51" i="36"/>
  <c r="AP92" i="34" s="1"/>
  <c r="AP173" i="34"/>
  <c r="AP67" i="36"/>
  <c r="AP108" i="34" s="1"/>
  <c r="AP37" i="34"/>
  <c r="AP5" i="34"/>
  <c r="AP157" i="34"/>
  <c r="BK37" i="34"/>
  <c r="BK173" i="34"/>
  <c r="BK5" i="34"/>
  <c r="BK51" i="36"/>
  <c r="BK92" i="34" s="1"/>
  <c r="BK19" i="34"/>
  <c r="BK67" i="36"/>
  <c r="BK108" i="34" s="1"/>
  <c r="BK157" i="34"/>
  <c r="BD157" i="34"/>
  <c r="BD67" i="36"/>
  <c r="BD108" i="34" s="1"/>
  <c r="BD37" i="34"/>
  <c r="BD173" i="34"/>
  <c r="BD19" i="34"/>
  <c r="BD5" i="34"/>
  <c r="BD51" i="36"/>
  <c r="BD92" i="34" s="1"/>
  <c r="AW19" i="34"/>
  <c r="AW51" i="36"/>
  <c r="AW92" i="34" s="1"/>
  <c r="AW37" i="34"/>
  <c r="AW67" i="36"/>
  <c r="AW108" i="34" s="1"/>
  <c r="AW173" i="34"/>
  <c r="AW5" i="34"/>
  <c r="AW157" i="34"/>
  <c r="AO37" i="34"/>
  <c r="AO67" i="36"/>
  <c r="AO108" i="34" s="1"/>
  <c r="AO173" i="34"/>
  <c r="AO19" i="34"/>
  <c r="AO5" i="34"/>
  <c r="AO157" i="34"/>
  <c r="AO51" i="36"/>
  <c r="AO92" i="34" s="1"/>
  <c r="BC5" i="34"/>
  <c r="BC51" i="36"/>
  <c r="BC92" i="34" s="1"/>
  <c r="BC173" i="34"/>
  <c r="BC67" i="36"/>
  <c r="BC108" i="34" s="1"/>
  <c r="BC157" i="34"/>
  <c r="BC37" i="34"/>
  <c r="BC19" i="34"/>
  <c r="BG26" i="45"/>
  <c r="AI24" i="62" s="1"/>
  <c r="AU18" i="45"/>
  <c r="W19" i="62" s="1"/>
  <c r="AS26" i="45"/>
  <c r="U24" i="62" s="1"/>
  <c r="AN26" i="45"/>
  <c r="P24" i="62" s="1"/>
  <c r="AL18" i="45"/>
  <c r="N19" i="62" s="1"/>
  <c r="AV26" i="45"/>
  <c r="X24" i="62" s="1"/>
  <c r="BD18" i="45"/>
  <c r="AF19" i="62" s="1"/>
  <c r="AS18" i="45"/>
  <c r="U19" i="62" s="1"/>
  <c r="BF26" i="45"/>
  <c r="AH24" i="62" s="1"/>
  <c r="BJ26" i="45"/>
  <c r="AL24" i="62" s="1"/>
  <c r="AP18" i="45"/>
  <c r="R19" i="62" s="1"/>
  <c r="AT18" i="45"/>
  <c r="V19" i="62" s="1"/>
  <c r="BI26" i="45"/>
  <c r="AK24" i="62" s="1"/>
  <c r="BK26" i="45"/>
  <c r="AM24" i="62" s="1"/>
  <c r="BN18" i="45"/>
  <c r="AP19" i="62" s="1"/>
  <c r="AK26" i="45"/>
  <c r="M24" i="62" s="1"/>
  <c r="AZ18" i="45"/>
  <c r="AB19" i="62" s="1"/>
  <c r="AP26" i="45"/>
  <c r="R24" i="62" s="1"/>
  <c r="BA18" i="45"/>
  <c r="AC19" i="62" s="1"/>
  <c r="AJ26" i="45"/>
  <c r="L24" i="62" s="1"/>
  <c r="BK18" i="45"/>
  <c r="AM19" i="62" s="1"/>
  <c r="AW26" i="45"/>
  <c r="Y24" i="62" s="1"/>
  <c r="AY26" i="45"/>
  <c r="AA24" i="62" s="1"/>
  <c r="BJ18" i="45"/>
  <c r="AL19" i="62" s="1"/>
  <c r="BA26" i="45"/>
  <c r="AC24" i="62" s="1"/>
  <c r="AL26" i="45"/>
  <c r="N24" i="62" s="1"/>
  <c r="BI18" i="45"/>
  <c r="AK19" i="62" s="1"/>
  <c r="BC18" i="45"/>
  <c r="AE19" i="62" s="1"/>
  <c r="AH18" i="45"/>
  <c r="J19" i="62" s="1"/>
  <c r="BB18" i="45"/>
  <c r="AD19" i="62" s="1"/>
  <c r="AW18" i="45"/>
  <c r="Y19" i="62" s="1"/>
  <c r="AH26" i="45"/>
  <c r="J24" i="62" s="1"/>
  <c r="AK18" i="45"/>
  <c r="M19" i="62" s="1"/>
  <c r="AO18" i="45"/>
  <c r="Q19" i="62" s="1"/>
  <c r="BN26" i="45"/>
  <c r="AP24" i="62" s="1"/>
  <c r="AT26" i="45"/>
  <c r="V24" i="62" s="1"/>
  <c r="BF18" i="45"/>
  <c r="AH19" i="62" s="1"/>
  <c r="AU26" i="45"/>
  <c r="W24" i="62" s="1"/>
  <c r="BE18" i="45"/>
  <c r="AG19" i="62" s="1"/>
  <c r="AX18" i="45"/>
  <c r="Z19" i="62" s="1"/>
  <c r="BG18" i="45"/>
  <c r="AI19" i="62" s="1"/>
  <c r="AN18" i="45"/>
  <c r="P19" i="62" s="1"/>
  <c r="BC26" i="45"/>
  <c r="AE24" i="62" s="1"/>
  <c r="AJ18" i="45"/>
  <c r="L19" i="62" s="1"/>
  <c r="AO26" i="45"/>
  <c r="Q24" i="62" s="1"/>
  <c r="BH18" i="45"/>
  <c r="AJ19" i="62" s="1"/>
  <c r="BL26" i="45"/>
  <c r="AN24" i="62" s="1"/>
  <c r="BE26" i="45"/>
  <c r="AG24" i="62" s="1"/>
  <c r="AI18" i="45"/>
  <c r="K19" i="62" s="1"/>
  <c r="BH26" i="45"/>
  <c r="AJ24" i="62" s="1"/>
  <c r="AR26" i="45"/>
  <c r="T24" i="62" s="1"/>
  <c r="AI26" i="45"/>
  <c r="K24" i="62" s="1"/>
  <c r="AQ18" i="45"/>
  <c r="S19" i="62" s="1"/>
  <c r="BM18" i="45"/>
  <c r="AO19" i="62" s="1"/>
  <c r="AM18" i="45"/>
  <c r="O19" i="62" s="1"/>
  <c r="AR18" i="45"/>
  <c r="T19" i="62" s="1"/>
  <c r="AV18" i="45"/>
  <c r="X19" i="62" s="1"/>
  <c r="BD26" i="45"/>
  <c r="AF24" i="62" s="1"/>
  <c r="BL18" i="45"/>
  <c r="AN19" i="62" s="1"/>
  <c r="BM26" i="45"/>
  <c r="AO24" i="62" s="1"/>
  <c r="AM26" i="45"/>
  <c r="O24" i="62" s="1"/>
  <c r="AX26" i="45"/>
  <c r="Z24" i="62" s="1"/>
  <c r="AZ26" i="45"/>
  <c r="AB24" i="62" s="1"/>
  <c r="AN120" i="34"/>
  <c r="AT120" i="34"/>
  <c r="AC5" i="45" l="1"/>
  <c r="AC4" i="45" s="1"/>
  <c r="AC58" i="45" s="1"/>
  <c r="AO85" i="36"/>
  <c r="AP85" i="36"/>
  <c r="AE85" i="36"/>
  <c r="BG85" i="36"/>
  <c r="AS85" i="36"/>
  <c r="AF85" i="36"/>
  <c r="AV85" i="36"/>
  <c r="AX85" i="36"/>
  <c r="BH85" i="36"/>
  <c r="AQ85" i="36"/>
  <c r="AN85" i="36"/>
  <c r="AU85" i="36"/>
  <c r="BC85" i="36"/>
  <c r="BA85" i="36"/>
  <c r="AZ85" i="36"/>
  <c r="AY85" i="36"/>
  <c r="AM85" i="36"/>
  <c r="BF85" i="36"/>
  <c r="AT85" i="36"/>
  <c r="AJ85" i="36"/>
  <c r="BE85" i="36"/>
  <c r="BJ45" i="36"/>
  <c r="BI85" i="36"/>
  <c r="BB85" i="36"/>
  <c r="BD85" i="36"/>
  <c r="AI85" i="36"/>
  <c r="AK85" i="36"/>
  <c r="AR85" i="36"/>
  <c r="AL85" i="36"/>
  <c r="AH85" i="36"/>
  <c r="AW85" i="36"/>
  <c r="AD4" i="45"/>
  <c r="AD58" i="45" s="1"/>
  <c r="F7" i="62"/>
  <c r="AG4" i="45"/>
  <c r="AG58" i="45" s="1"/>
  <c r="I7" i="62"/>
  <c r="AF4" i="45"/>
  <c r="AF58" i="45" s="1"/>
  <c r="H7" i="62"/>
  <c r="AD19" i="45"/>
  <c r="AD60" i="45" s="1"/>
  <c r="AD11" i="45"/>
  <c r="AD59" i="45" s="1"/>
  <c r="AE12" i="45"/>
  <c r="AE53" i="45"/>
  <c r="AE47" i="45"/>
  <c r="AF20" i="45"/>
  <c r="AC53" i="45"/>
  <c r="AB53" i="45"/>
  <c r="AB54" i="45"/>
  <c r="AE54" i="45"/>
  <c r="AE5" i="45"/>
  <c r="AE19" i="45"/>
  <c r="AE60" i="45" s="1"/>
  <c r="AB47" i="45"/>
  <c r="AG141" i="34"/>
  <c r="AI141" i="34"/>
  <c r="AG137" i="34"/>
  <c r="AC47" i="45"/>
  <c r="AI137" i="34"/>
  <c r="AC20" i="45"/>
  <c r="AF47" i="45"/>
  <c r="AC12" i="45"/>
  <c r="AG138" i="34"/>
  <c r="AB5" i="45"/>
  <c r="AC54" i="45"/>
  <c r="AG142" i="34"/>
  <c r="AF53" i="45"/>
  <c r="AF52" i="45" s="1"/>
  <c r="AB20" i="45"/>
  <c r="AB12" i="45"/>
  <c r="AW57" i="36"/>
  <c r="AW98" i="34" s="1"/>
  <c r="AW11" i="34"/>
  <c r="AU6" i="45" s="1"/>
  <c r="W8" i="62" s="1"/>
  <c r="AW73" i="36"/>
  <c r="AW114" i="34" s="1"/>
  <c r="AW179" i="34"/>
  <c r="AW163" i="34"/>
  <c r="AX42" i="34"/>
  <c r="AX24" i="34"/>
  <c r="AW25" i="34"/>
  <c r="AU13" i="45" s="1"/>
  <c r="W14" i="62" s="1"/>
  <c r="AX72" i="36"/>
  <c r="AX113" i="34" s="1"/>
  <c r="AX10" i="34"/>
  <c r="AX56" i="36"/>
  <c r="AX97" i="34" s="1"/>
  <c r="AX57" i="36"/>
  <c r="AX98" i="34" s="1"/>
  <c r="AX162" i="34"/>
  <c r="AX178" i="34"/>
  <c r="AU21" i="45"/>
  <c r="W21" i="62" s="1"/>
  <c r="AY10" i="34"/>
  <c r="AG19" i="45"/>
  <c r="AG60" i="45" s="1"/>
  <c r="AW168" i="34"/>
  <c r="AW48" i="34"/>
  <c r="AW184" i="34"/>
  <c r="AW16" i="34"/>
  <c r="AW78" i="36"/>
  <c r="AW119" i="34" s="1"/>
  <c r="AW30" i="34"/>
  <c r="AW62" i="36"/>
  <c r="AW103" i="34" s="1"/>
  <c r="AE142" i="34"/>
  <c r="AE138" i="34"/>
  <c r="AG11" i="45"/>
  <c r="AG59" i="45" s="1"/>
  <c r="AF11" i="45"/>
  <c r="AF59" i="45" s="1"/>
  <c r="AD137" i="34"/>
  <c r="AD141" i="34"/>
  <c r="AD138" i="34"/>
  <c r="AH142" i="34"/>
  <c r="AE141" i="34"/>
  <c r="AE137" i="34"/>
  <c r="AH138" i="34"/>
  <c r="AF137" i="34"/>
  <c r="AF141" i="34"/>
  <c r="AD142" i="34"/>
  <c r="AD52" i="45"/>
  <c r="AG52" i="45"/>
  <c r="AF108" i="34"/>
  <c r="AD47" i="45" s="1"/>
  <c r="AF138" i="34"/>
  <c r="AH141" i="34"/>
  <c r="AF142" i="34"/>
  <c r="AH137" i="34"/>
  <c r="E7" i="62" l="1"/>
  <c r="BK45" i="36"/>
  <c r="BJ85" i="36"/>
  <c r="AD67" i="45"/>
  <c r="F41" i="62"/>
  <c r="AB11" i="45"/>
  <c r="AB59" i="45" s="1"/>
  <c r="D13" i="62"/>
  <c r="AB19" i="45"/>
  <c r="AB60" i="45" s="1"/>
  <c r="D20" i="62"/>
  <c r="AB4" i="45"/>
  <c r="AB58" i="45" s="1"/>
  <c r="D7" i="62"/>
  <c r="AC19" i="45"/>
  <c r="AC60" i="45" s="1"/>
  <c r="E20" i="62"/>
  <c r="AE4" i="45"/>
  <c r="AE58" i="45" s="1"/>
  <c r="G7" i="62"/>
  <c r="AE11" i="45"/>
  <c r="AE59" i="45" s="1"/>
  <c r="G13" i="62"/>
  <c r="AF67" i="45"/>
  <c r="H41" i="62"/>
  <c r="AF19" i="45"/>
  <c r="AF60" i="45" s="1"/>
  <c r="AF71" i="45" s="1"/>
  <c r="H20" i="62"/>
  <c r="AG67" i="45"/>
  <c r="I41" i="62"/>
  <c r="AC11" i="45"/>
  <c r="AC59" i="45" s="1"/>
  <c r="E13" i="62"/>
  <c r="AD71" i="45"/>
  <c r="AE52" i="45"/>
  <c r="AC52" i="45"/>
  <c r="AB52" i="45"/>
  <c r="AY56" i="36"/>
  <c r="AY97" i="34" s="1"/>
  <c r="AX73" i="36"/>
  <c r="AX114" i="34" s="1"/>
  <c r="AX11" i="34"/>
  <c r="AV6" i="45" s="1"/>
  <c r="X8" i="62" s="1"/>
  <c r="AY73" i="36"/>
  <c r="AY114" i="34" s="1"/>
  <c r="AY42" i="34"/>
  <c r="AY24" i="34"/>
  <c r="AX163" i="34"/>
  <c r="AX43" i="34"/>
  <c r="AV21" i="45" s="1"/>
  <c r="X21" i="62" s="1"/>
  <c r="AX179" i="34"/>
  <c r="AX25" i="34"/>
  <c r="AV13" i="45" s="1"/>
  <c r="X14" i="62" s="1"/>
  <c r="AY178" i="34"/>
  <c r="AY72" i="36"/>
  <c r="AY113" i="34" s="1"/>
  <c r="AY4" i="36"/>
  <c r="AY162" i="34"/>
  <c r="AG71" i="45"/>
  <c r="AW49" i="34"/>
  <c r="AU25" i="45" s="1"/>
  <c r="W23" i="62" s="1"/>
  <c r="AW79" i="36"/>
  <c r="AW120" i="34" s="1"/>
  <c r="AW31" i="34"/>
  <c r="AU17" i="45" s="1"/>
  <c r="W18" i="62" s="1"/>
  <c r="AW169" i="34"/>
  <c r="AW17" i="34"/>
  <c r="AU10" i="45" s="1"/>
  <c r="W12" i="62" s="1"/>
  <c r="AW63" i="36"/>
  <c r="AW104" i="34" s="1"/>
  <c r="AW185" i="34"/>
  <c r="AX62" i="36"/>
  <c r="AX103" i="34" s="1"/>
  <c r="AX16" i="34"/>
  <c r="AX184" i="34"/>
  <c r="AX30" i="34"/>
  <c r="AX168" i="34"/>
  <c r="AX78" i="36"/>
  <c r="AX119" i="34" s="1"/>
  <c r="AX48" i="34"/>
  <c r="BL45" i="36" l="1"/>
  <c r="BK85" i="36"/>
  <c r="AC71" i="45"/>
  <c r="AB71" i="45"/>
  <c r="AE71" i="45"/>
  <c r="AE67" i="45"/>
  <c r="G41" i="62"/>
  <c r="AB67" i="45"/>
  <c r="D41" i="62"/>
  <c r="AC67" i="45"/>
  <c r="E41" i="62"/>
  <c r="AZ162" i="34"/>
  <c r="AY57" i="36"/>
  <c r="AY98" i="34" s="1"/>
  <c r="AY25" i="34"/>
  <c r="AW13" i="45" s="1"/>
  <c r="Y14" i="62" s="1"/>
  <c r="AZ10" i="34"/>
  <c r="AY11" i="34"/>
  <c r="AW6" i="45" s="1"/>
  <c r="Y8" i="62" s="1"/>
  <c r="AZ72" i="36"/>
  <c r="AZ113" i="34" s="1"/>
  <c r="AY163" i="34"/>
  <c r="AY43" i="34"/>
  <c r="AW21" i="45" s="1"/>
  <c r="Y21" i="62" s="1"/>
  <c r="AY179" i="34"/>
  <c r="AZ42" i="34"/>
  <c r="AZ4" i="36"/>
  <c r="AZ56" i="36"/>
  <c r="AZ97" i="34" s="1"/>
  <c r="AZ24" i="34"/>
  <c r="AZ178" i="34"/>
  <c r="AY184" i="34"/>
  <c r="AY48" i="34"/>
  <c r="AY62" i="36"/>
  <c r="AY103" i="34" s="1"/>
  <c r="AY168" i="34"/>
  <c r="AY16" i="34"/>
  <c r="AY30" i="34"/>
  <c r="AY78" i="36"/>
  <c r="AY119" i="34" s="1"/>
  <c r="AX169" i="34"/>
  <c r="AX17" i="34"/>
  <c r="AV10" i="45" s="1"/>
  <c r="X12" i="62" s="1"/>
  <c r="AX63" i="36"/>
  <c r="AX104" i="34" s="1"/>
  <c r="AX49" i="34"/>
  <c r="AV25" i="45" s="1"/>
  <c r="X23" i="62" s="1"/>
  <c r="AX185" i="34"/>
  <c r="AX79" i="36"/>
  <c r="AX120" i="34" s="1"/>
  <c r="AX31" i="34"/>
  <c r="AV17" i="45" s="1"/>
  <c r="X18" i="62" s="1"/>
  <c r="AZ43" i="34"/>
  <c r="AZ57" i="36"/>
  <c r="AZ98" i="34" s="1"/>
  <c r="AZ25" i="34"/>
  <c r="AZ179" i="34"/>
  <c r="AZ11" i="34"/>
  <c r="AZ163" i="34"/>
  <c r="AZ73" i="36"/>
  <c r="AZ114" i="34" s="1"/>
  <c r="BM45" i="36" l="1"/>
  <c r="BL85" i="36"/>
  <c r="BA42" i="34"/>
  <c r="AX6" i="45"/>
  <c r="Z8" i="62" s="1"/>
  <c r="BA72" i="36"/>
  <c r="BA113" i="34" s="1"/>
  <c r="AX21" i="45"/>
  <c r="Z21" i="62" s="1"/>
  <c r="BA162" i="34"/>
  <c r="BA56" i="36"/>
  <c r="BA97" i="34" s="1"/>
  <c r="AX13" i="45"/>
  <c r="Z14" i="62" s="1"/>
  <c r="BA178" i="34"/>
  <c r="BA10" i="34"/>
  <c r="BA24" i="34"/>
  <c r="BB24" i="34"/>
  <c r="AY185" i="34"/>
  <c r="AY79" i="36"/>
  <c r="AY120" i="34" s="1"/>
  <c r="AY169" i="34"/>
  <c r="AY49" i="34"/>
  <c r="AW25" i="45" s="1"/>
  <c r="Y23" i="62" s="1"/>
  <c r="AY31" i="34"/>
  <c r="AW17" i="45" s="1"/>
  <c r="Y18" i="62" s="1"/>
  <c r="AY17" i="34"/>
  <c r="AW10" i="45" s="1"/>
  <c r="Y12" i="62" s="1"/>
  <c r="AY63" i="36"/>
  <c r="AY104" i="34" s="1"/>
  <c r="AZ78" i="36"/>
  <c r="AZ119" i="34" s="1"/>
  <c r="AZ48" i="34"/>
  <c r="AZ184" i="34"/>
  <c r="AZ168" i="34"/>
  <c r="AZ30" i="34"/>
  <c r="AZ16" i="34"/>
  <c r="AZ62" i="36"/>
  <c r="AZ103" i="34" s="1"/>
  <c r="BA179" i="34"/>
  <c r="BA25" i="34"/>
  <c r="BA73" i="36"/>
  <c r="BA114" i="34" s="1"/>
  <c r="BA163" i="34"/>
  <c r="BA11" i="34"/>
  <c r="BA43" i="34"/>
  <c r="BA57" i="36"/>
  <c r="BA98" i="34" s="1"/>
  <c r="BN45" i="36" l="1"/>
  <c r="BM85" i="36"/>
  <c r="AY21" i="45"/>
  <c r="AA21" i="62" s="1"/>
  <c r="BB56" i="36"/>
  <c r="BB97" i="34" s="1"/>
  <c r="BB72" i="36"/>
  <c r="BB113" i="34" s="1"/>
  <c r="AY6" i="45"/>
  <c r="AA8" i="62" s="1"/>
  <c r="BB162" i="34"/>
  <c r="AY13" i="45"/>
  <c r="AA14" i="62" s="1"/>
  <c r="BB178" i="34"/>
  <c r="BB42" i="34"/>
  <c r="BC42" i="34"/>
  <c r="BB10" i="34"/>
  <c r="BA16" i="34"/>
  <c r="BA184" i="34"/>
  <c r="BA30" i="34"/>
  <c r="BA168" i="34"/>
  <c r="BA62" i="36"/>
  <c r="BA103" i="34" s="1"/>
  <c r="BA48" i="34"/>
  <c r="BA78" i="36"/>
  <c r="BA119" i="34" s="1"/>
  <c r="AZ169" i="34"/>
  <c r="AZ185" i="34"/>
  <c r="AZ17" i="34"/>
  <c r="AX10" i="45" s="1"/>
  <c r="Z12" i="62" s="1"/>
  <c r="AZ63" i="36"/>
  <c r="AZ104" i="34" s="1"/>
  <c r="AZ31" i="34"/>
  <c r="AX17" i="45" s="1"/>
  <c r="Z18" i="62" s="1"/>
  <c r="AZ49" i="34"/>
  <c r="AX25" i="45" s="1"/>
  <c r="Z23" i="62" s="1"/>
  <c r="AZ79" i="36"/>
  <c r="AZ120" i="34" s="1"/>
  <c r="BB43" i="34"/>
  <c r="BB163" i="34"/>
  <c r="BB73" i="36"/>
  <c r="BB114" i="34" s="1"/>
  <c r="BB179" i="34"/>
  <c r="BB57" i="36"/>
  <c r="BB98" i="34" s="1"/>
  <c r="BB25" i="34"/>
  <c r="AZ13" i="45" s="1"/>
  <c r="AB14" i="62" s="1"/>
  <c r="BB11" i="34"/>
  <c r="BO45" i="36" l="1"/>
  <c r="BN85" i="36"/>
  <c r="BC10" i="34"/>
  <c r="AZ21" i="45"/>
  <c r="AB21" i="62" s="1"/>
  <c r="AZ6" i="45"/>
  <c r="AB8" i="62" s="1"/>
  <c r="BC162" i="34"/>
  <c r="BC24" i="34"/>
  <c r="BC178" i="34"/>
  <c r="BC56" i="36"/>
  <c r="BC97" i="34" s="1"/>
  <c r="BD72" i="36"/>
  <c r="BD113" i="34" s="1"/>
  <c r="BC72" i="36"/>
  <c r="BC113" i="34" s="1"/>
  <c r="BB78" i="36"/>
  <c r="BB119" i="34" s="1"/>
  <c r="BB16" i="34"/>
  <c r="BB30" i="34"/>
  <c r="BB184" i="34"/>
  <c r="BB62" i="36"/>
  <c r="BB103" i="34" s="1"/>
  <c r="BB48" i="34"/>
  <c r="BB168" i="34"/>
  <c r="BA17" i="34"/>
  <c r="AY10" i="45" s="1"/>
  <c r="AA12" i="62" s="1"/>
  <c r="BA169" i="34"/>
  <c r="BA79" i="36"/>
  <c r="BA120" i="34" s="1"/>
  <c r="BA49" i="34"/>
  <c r="AY25" i="45" s="1"/>
  <c r="AA23" i="62" s="1"/>
  <c r="BA63" i="36"/>
  <c r="BA104" i="34" s="1"/>
  <c r="BA31" i="34"/>
  <c r="AY17" i="45" s="1"/>
  <c r="AA18" i="62" s="1"/>
  <c r="BA185" i="34"/>
  <c r="BC25" i="34"/>
  <c r="BC73" i="36"/>
  <c r="BC114" i="34" s="1"/>
  <c r="BC43" i="34"/>
  <c r="BA21" i="45" s="1"/>
  <c r="AC21" i="62" s="1"/>
  <c r="BC163" i="34"/>
  <c r="BC11" i="34"/>
  <c r="BC179" i="34"/>
  <c r="BC57" i="36"/>
  <c r="BC98" i="34" s="1"/>
  <c r="BD178" i="34"/>
  <c r="BP45" i="36" l="1"/>
  <c r="BP85" i="36" s="1"/>
  <c r="BO85" i="36"/>
  <c r="BA6" i="45"/>
  <c r="AC8" i="62" s="1"/>
  <c r="BD56" i="36"/>
  <c r="BD97" i="34" s="1"/>
  <c r="BD162" i="34"/>
  <c r="BD43" i="34"/>
  <c r="BD10" i="34"/>
  <c r="BD24" i="34"/>
  <c r="BD42" i="34"/>
  <c r="BA13" i="45"/>
  <c r="AC14" i="62" s="1"/>
  <c r="BC168" i="34"/>
  <c r="BC16" i="34"/>
  <c r="BC30" i="34"/>
  <c r="BC184" i="34"/>
  <c r="BC48" i="34"/>
  <c r="BC78" i="36"/>
  <c r="BC119" i="34" s="1"/>
  <c r="BC62" i="36"/>
  <c r="BC103" i="34" s="1"/>
  <c r="BB169" i="34"/>
  <c r="BB63" i="36"/>
  <c r="BB104" i="34" s="1"/>
  <c r="BB185" i="34"/>
  <c r="BB17" i="34"/>
  <c r="AZ10" i="45" s="1"/>
  <c r="AB12" i="62" s="1"/>
  <c r="BB31" i="34"/>
  <c r="AZ17" i="45" s="1"/>
  <c r="AB18" i="62" s="1"/>
  <c r="BB79" i="36"/>
  <c r="BB120" i="34" s="1"/>
  <c r="BB49" i="34"/>
  <c r="AZ25" i="45" s="1"/>
  <c r="AB23" i="62" s="1"/>
  <c r="BE42" i="34"/>
  <c r="BE178" i="34" l="1"/>
  <c r="BD73" i="36"/>
  <c r="BD114" i="34" s="1"/>
  <c r="BD11" i="34"/>
  <c r="BB6" i="45" s="1"/>
  <c r="AD8" i="62" s="1"/>
  <c r="BD25" i="34"/>
  <c r="BB13" i="45" s="1"/>
  <c r="AD14" i="62" s="1"/>
  <c r="BE24" i="34"/>
  <c r="BE72" i="36"/>
  <c r="BE113" i="34" s="1"/>
  <c r="BE10" i="34"/>
  <c r="BB21" i="45"/>
  <c r="AD21" i="62" s="1"/>
  <c r="BE56" i="36"/>
  <c r="BE97" i="34" s="1"/>
  <c r="BD179" i="34"/>
  <c r="BD163" i="34"/>
  <c r="BD57" i="36"/>
  <c r="BD98" i="34" s="1"/>
  <c r="BE162" i="34"/>
  <c r="BF10" i="34"/>
  <c r="BD168" i="34"/>
  <c r="BD30" i="34"/>
  <c r="BD184" i="34"/>
  <c r="BD48" i="34"/>
  <c r="BD78" i="36"/>
  <c r="BD119" i="34" s="1"/>
  <c r="BD62" i="36"/>
  <c r="BD103" i="34" s="1"/>
  <c r="BD16" i="34"/>
  <c r="BC31" i="34"/>
  <c r="BA17" i="45" s="1"/>
  <c r="AC18" i="62" s="1"/>
  <c r="BC63" i="36"/>
  <c r="BC104" i="34" s="1"/>
  <c r="BC185" i="34"/>
  <c r="BC169" i="34"/>
  <c r="BC79" i="36"/>
  <c r="BC120" i="34" s="1"/>
  <c r="BC17" i="34"/>
  <c r="BA10" i="45" s="1"/>
  <c r="AC12" i="62" s="1"/>
  <c r="BC49" i="34"/>
  <c r="BA25" i="45" s="1"/>
  <c r="AC23" i="62" s="1"/>
  <c r="BE25" i="34"/>
  <c r="BE57" i="36"/>
  <c r="BE98" i="34" s="1"/>
  <c r="BE179" i="34"/>
  <c r="BE163" i="34"/>
  <c r="BE73" i="36"/>
  <c r="BE114" i="34" s="1"/>
  <c r="BE43" i="34"/>
  <c r="BC21" i="45" s="1"/>
  <c r="AE21" i="62" s="1"/>
  <c r="BE11" i="34"/>
  <c r="BF56" i="36" l="1"/>
  <c r="BF97" i="34" s="1"/>
  <c r="BF24" i="34"/>
  <c r="BF162" i="34"/>
  <c r="BF42" i="34"/>
  <c r="BF72" i="36"/>
  <c r="BF113" i="34" s="1"/>
  <c r="BC13" i="45"/>
  <c r="AE14" i="62" s="1"/>
  <c r="BC6" i="45"/>
  <c r="AE8" i="62" s="1"/>
  <c r="BF178" i="34"/>
  <c r="BG56" i="36"/>
  <c r="BG97" i="34" s="1"/>
  <c r="BE184" i="34"/>
  <c r="BE30" i="34"/>
  <c r="BE78" i="36"/>
  <c r="BE119" i="34" s="1"/>
  <c r="BE16" i="34"/>
  <c r="BE62" i="36"/>
  <c r="BE103" i="34" s="1"/>
  <c r="BE168" i="34"/>
  <c r="BE48" i="34"/>
  <c r="BD49" i="34"/>
  <c r="BB25" i="45" s="1"/>
  <c r="AD23" i="62" s="1"/>
  <c r="BD17" i="34"/>
  <c r="BB10" i="45" s="1"/>
  <c r="AD12" i="62" s="1"/>
  <c r="BD79" i="36"/>
  <c r="BD120" i="34" s="1"/>
  <c r="BD185" i="34"/>
  <c r="BD31" i="34"/>
  <c r="BB17" i="45" s="1"/>
  <c r="AD18" i="62" s="1"/>
  <c r="BD169" i="34"/>
  <c r="BD63" i="36"/>
  <c r="BD104" i="34" s="1"/>
  <c r="BF11" i="34"/>
  <c r="BD6" i="45" s="1"/>
  <c r="AF8" i="62" s="1"/>
  <c r="BF73" i="36"/>
  <c r="BF114" i="34" s="1"/>
  <c r="BF25" i="34"/>
  <c r="BF179" i="34"/>
  <c r="BF163" i="34"/>
  <c r="BF43" i="34"/>
  <c r="BF57" i="36"/>
  <c r="BF98" i="34" s="1"/>
  <c r="BD13" i="45" l="1"/>
  <c r="AF14" i="62" s="1"/>
  <c r="BG178" i="34"/>
  <c r="BD21" i="45"/>
  <c r="AF21" i="62" s="1"/>
  <c r="BG10" i="34"/>
  <c r="BG72" i="36"/>
  <c r="BG113" i="34" s="1"/>
  <c r="BG43" i="34"/>
  <c r="BG162" i="34"/>
  <c r="BG24" i="34"/>
  <c r="BG42" i="34"/>
  <c r="BE185" i="34"/>
  <c r="BE79" i="36"/>
  <c r="BE120" i="34" s="1"/>
  <c r="BE31" i="34"/>
  <c r="BC17" i="45" s="1"/>
  <c r="AE18" i="62" s="1"/>
  <c r="BE17" i="34"/>
  <c r="BC10" i="45" s="1"/>
  <c r="AE12" i="62" s="1"/>
  <c r="BE63" i="36"/>
  <c r="BE104" i="34" s="1"/>
  <c r="BE49" i="34"/>
  <c r="BC25" i="45" s="1"/>
  <c r="AE23" i="62" s="1"/>
  <c r="BE169" i="34"/>
  <c r="BF184" i="34"/>
  <c r="BF16" i="34"/>
  <c r="BF168" i="34"/>
  <c r="BF48" i="34"/>
  <c r="BF62" i="36"/>
  <c r="BF103" i="34" s="1"/>
  <c r="BF30" i="34"/>
  <c r="BF78" i="36"/>
  <c r="BF119" i="34" s="1"/>
  <c r="BG163" i="34" l="1"/>
  <c r="BH56" i="36"/>
  <c r="BH97" i="34" s="1"/>
  <c r="BG73" i="36"/>
  <c r="BG114" i="34" s="1"/>
  <c r="BG179" i="34"/>
  <c r="BG11" i="34"/>
  <c r="BE6" i="45" s="1"/>
  <c r="AG8" i="62" s="1"/>
  <c r="BH24" i="34"/>
  <c r="BH178" i="34"/>
  <c r="BH72" i="36"/>
  <c r="BH113" i="34" s="1"/>
  <c r="BG57" i="36"/>
  <c r="BG98" i="34" s="1"/>
  <c r="BH162" i="34"/>
  <c r="BG25" i="34"/>
  <c r="BE13" i="45" s="1"/>
  <c r="AG14" i="62" s="1"/>
  <c r="BH10" i="34"/>
  <c r="BH42" i="34"/>
  <c r="BE21" i="45"/>
  <c r="AG21" i="62" s="1"/>
  <c r="BI10" i="34"/>
  <c r="BF31" i="34"/>
  <c r="BD17" i="45" s="1"/>
  <c r="AF18" i="62" s="1"/>
  <c r="BF63" i="36"/>
  <c r="BF104" i="34" s="1"/>
  <c r="BF169" i="34"/>
  <c r="BF79" i="36"/>
  <c r="BF120" i="34" s="1"/>
  <c r="BF49" i="34"/>
  <c r="BD25" i="45" s="1"/>
  <c r="AF23" i="62" s="1"/>
  <c r="BF185" i="34"/>
  <c r="BF17" i="34"/>
  <c r="BD10" i="45" s="1"/>
  <c r="AF12" i="62" s="1"/>
  <c r="BG168" i="34"/>
  <c r="BG48" i="34"/>
  <c r="BG62" i="36"/>
  <c r="BG103" i="34" s="1"/>
  <c r="BG78" i="36"/>
  <c r="BG119" i="34" s="1"/>
  <c r="BG30" i="34"/>
  <c r="BG184" i="34"/>
  <c r="BG16" i="34"/>
  <c r="BI162" i="34"/>
  <c r="BH43" i="34"/>
  <c r="BH179" i="34"/>
  <c r="BH57" i="36"/>
  <c r="BH98" i="34" s="1"/>
  <c r="BH11" i="34"/>
  <c r="BH25" i="34"/>
  <c r="BH163" i="34"/>
  <c r="BH73" i="36"/>
  <c r="BH114" i="34" s="1"/>
  <c r="BF13" i="45" l="1"/>
  <c r="AH14" i="62" s="1"/>
  <c r="BI72" i="36"/>
  <c r="BI113" i="34" s="1"/>
  <c r="BF21" i="45"/>
  <c r="AH21" i="62" s="1"/>
  <c r="BF6" i="45"/>
  <c r="AH8" i="62" s="1"/>
  <c r="BI42" i="34"/>
  <c r="BI24" i="34"/>
  <c r="BI178" i="34"/>
  <c r="BI25" i="34"/>
  <c r="BI56" i="36"/>
  <c r="BI97" i="34" s="1"/>
  <c r="BJ162" i="34"/>
  <c r="BG17" i="34"/>
  <c r="BE10" i="45" s="1"/>
  <c r="AG12" i="62" s="1"/>
  <c r="BG79" i="36"/>
  <c r="BG120" i="34" s="1"/>
  <c r="BG49" i="34"/>
  <c r="BE25" i="45" s="1"/>
  <c r="AG23" i="62" s="1"/>
  <c r="BG185" i="34"/>
  <c r="BG169" i="34"/>
  <c r="BG31" i="34"/>
  <c r="BE17" i="45" s="1"/>
  <c r="AG18" i="62" s="1"/>
  <c r="BG63" i="36"/>
  <c r="BG104" i="34" s="1"/>
  <c r="BH184" i="34"/>
  <c r="BH30" i="34"/>
  <c r="BH62" i="36"/>
  <c r="BH103" i="34" s="1"/>
  <c r="BH78" i="36"/>
  <c r="BH119" i="34" s="1"/>
  <c r="BH168" i="34"/>
  <c r="BH48" i="34"/>
  <c r="BH16" i="34"/>
  <c r="BJ10" i="34" l="1"/>
  <c r="BI11" i="34"/>
  <c r="BG6" i="45" s="1"/>
  <c r="AI8" i="62" s="1"/>
  <c r="BI163" i="34"/>
  <c r="BG13" i="45"/>
  <c r="AI14" i="62" s="1"/>
  <c r="BI179" i="34"/>
  <c r="BI73" i="36"/>
  <c r="BI114" i="34" s="1"/>
  <c r="BI43" i="34"/>
  <c r="BG21" i="45" s="1"/>
  <c r="AI21" i="62" s="1"/>
  <c r="BI57" i="36"/>
  <c r="BI98" i="34" s="1"/>
  <c r="BJ24" i="34"/>
  <c r="BJ56" i="36"/>
  <c r="BJ97" i="34" s="1"/>
  <c r="BJ11" i="34"/>
  <c r="BJ72" i="36"/>
  <c r="BJ113" i="34" s="1"/>
  <c r="BJ42" i="34"/>
  <c r="BJ178" i="34"/>
  <c r="BK24" i="34"/>
  <c r="BH49" i="34"/>
  <c r="BF25" i="45" s="1"/>
  <c r="AH23" i="62" s="1"/>
  <c r="BH185" i="34"/>
  <c r="BH17" i="34"/>
  <c r="BF10" i="45" s="1"/>
  <c r="AH12" i="62" s="1"/>
  <c r="BH79" i="36"/>
  <c r="BH120" i="34" s="1"/>
  <c r="BH31" i="34"/>
  <c r="BF17" i="45" s="1"/>
  <c r="AH18" i="62" s="1"/>
  <c r="BH169" i="34"/>
  <c r="BH63" i="36"/>
  <c r="BH104" i="34" s="1"/>
  <c r="BI168" i="34"/>
  <c r="BI184" i="34"/>
  <c r="BI30" i="34"/>
  <c r="BI16" i="34"/>
  <c r="BI62" i="36"/>
  <c r="BI103" i="34" s="1"/>
  <c r="BI78" i="36"/>
  <c r="BI119" i="34" s="1"/>
  <c r="BI48" i="34"/>
  <c r="BH6" i="45" l="1"/>
  <c r="AJ8" i="62" s="1"/>
  <c r="BK42" i="34"/>
  <c r="BJ179" i="34"/>
  <c r="BK56" i="36"/>
  <c r="BK97" i="34" s="1"/>
  <c r="BJ163" i="34"/>
  <c r="BJ57" i="36"/>
  <c r="BJ98" i="34" s="1"/>
  <c r="BK72" i="36"/>
  <c r="BK113" i="34" s="1"/>
  <c r="BK163" i="34"/>
  <c r="BK178" i="34"/>
  <c r="BK10" i="34"/>
  <c r="BJ73" i="36"/>
  <c r="BJ114" i="34" s="1"/>
  <c r="BJ25" i="34"/>
  <c r="BH13" i="45" s="1"/>
  <c r="AJ14" i="62" s="1"/>
  <c r="BK162" i="34"/>
  <c r="BJ43" i="34"/>
  <c r="BH21" i="45" s="1"/>
  <c r="AJ21" i="62" s="1"/>
  <c r="BL56" i="36"/>
  <c r="BL97" i="34" s="1"/>
  <c r="BJ184" i="34"/>
  <c r="BJ16" i="34"/>
  <c r="BJ78" i="36"/>
  <c r="BJ119" i="34" s="1"/>
  <c r="BJ30" i="34"/>
  <c r="BJ62" i="36"/>
  <c r="BJ103" i="34" s="1"/>
  <c r="BJ168" i="34"/>
  <c r="BJ48" i="34"/>
  <c r="BI49" i="34"/>
  <c r="BG25" i="45" s="1"/>
  <c r="AI23" i="62" s="1"/>
  <c r="BI185" i="34"/>
  <c r="BI79" i="36"/>
  <c r="BI120" i="34" s="1"/>
  <c r="BI17" i="34"/>
  <c r="BG10" i="45" s="1"/>
  <c r="AI12" i="62" s="1"/>
  <c r="BI31" i="34"/>
  <c r="BG17" i="45" s="1"/>
  <c r="AI18" i="62" s="1"/>
  <c r="BI63" i="36"/>
  <c r="BI104" i="34" s="1"/>
  <c r="BI169" i="34"/>
  <c r="BK25" i="34"/>
  <c r="BI13" i="45" s="1"/>
  <c r="AK14" i="62" s="1"/>
  <c r="BK43" i="34"/>
  <c r="BK179" i="34"/>
  <c r="BK11" i="34"/>
  <c r="BK57" i="36"/>
  <c r="BK98" i="34" s="1"/>
  <c r="BI21" i="45" l="1"/>
  <c r="AK21" i="62" s="1"/>
  <c r="BK73" i="36"/>
  <c r="BK114" i="34" s="1"/>
  <c r="BL162" i="34"/>
  <c r="BL42" i="34"/>
  <c r="BL72" i="36"/>
  <c r="BL113" i="34" s="1"/>
  <c r="BL10" i="34"/>
  <c r="BI6" i="45"/>
  <c r="AK8" i="62" s="1"/>
  <c r="BL178" i="34"/>
  <c r="BL25" i="34"/>
  <c r="BM42" i="34"/>
  <c r="BL24" i="34"/>
  <c r="BK184" i="34"/>
  <c r="BK16" i="34"/>
  <c r="BK62" i="36"/>
  <c r="BK103" i="34" s="1"/>
  <c r="BK168" i="34"/>
  <c r="BK30" i="34"/>
  <c r="BK78" i="36"/>
  <c r="BK119" i="34" s="1"/>
  <c r="BK48" i="34"/>
  <c r="BJ185" i="34"/>
  <c r="BJ31" i="34"/>
  <c r="BH17" i="45" s="1"/>
  <c r="AJ18" i="62" s="1"/>
  <c r="BJ169" i="34"/>
  <c r="BJ49" i="34"/>
  <c r="BH25" i="45" s="1"/>
  <c r="AJ23" i="62" s="1"/>
  <c r="BJ79" i="36"/>
  <c r="BJ120" i="34" s="1"/>
  <c r="BJ17" i="34"/>
  <c r="BH10" i="45" s="1"/>
  <c r="AJ12" i="62" s="1"/>
  <c r="BJ63" i="36"/>
  <c r="BJ104" i="34" s="1"/>
  <c r="BL179" i="34" l="1"/>
  <c r="BM10" i="34"/>
  <c r="BL57" i="36"/>
  <c r="BL98" i="34" s="1"/>
  <c r="BL11" i="34"/>
  <c r="BJ6" i="45" s="1"/>
  <c r="AL8" i="62" s="1"/>
  <c r="BL163" i="34"/>
  <c r="BL73" i="36"/>
  <c r="BL114" i="34" s="1"/>
  <c r="BL43" i="34"/>
  <c r="BJ21" i="45" s="1"/>
  <c r="AL21" i="62" s="1"/>
  <c r="BM178" i="34"/>
  <c r="BM24" i="34"/>
  <c r="BM11" i="34"/>
  <c r="BK6" i="45" s="1"/>
  <c r="AM8" i="62" s="1"/>
  <c r="BJ13" i="45"/>
  <c r="AL14" i="62" s="1"/>
  <c r="BM56" i="36"/>
  <c r="BM97" i="34" s="1"/>
  <c r="BM72" i="36"/>
  <c r="BM113" i="34" s="1"/>
  <c r="BN56" i="36"/>
  <c r="BN97" i="34" s="1"/>
  <c r="BM162" i="34"/>
  <c r="BL184" i="34"/>
  <c r="BL62" i="36"/>
  <c r="BL103" i="34" s="1"/>
  <c r="BL48" i="34"/>
  <c r="BL30" i="34"/>
  <c r="BL78" i="36"/>
  <c r="BL119" i="34" s="1"/>
  <c r="BL168" i="34"/>
  <c r="BL16" i="34"/>
  <c r="BK31" i="34"/>
  <c r="BI17" i="45" s="1"/>
  <c r="AK18" i="62" s="1"/>
  <c r="BK49" i="34"/>
  <c r="BI25" i="45" s="1"/>
  <c r="AK23" i="62" s="1"/>
  <c r="BK185" i="34"/>
  <c r="BK169" i="34"/>
  <c r="BK17" i="34"/>
  <c r="BI10" i="45" s="1"/>
  <c r="AK12" i="62" s="1"/>
  <c r="BK79" i="36"/>
  <c r="BK120" i="34" s="1"/>
  <c r="BK63" i="36"/>
  <c r="BK104" i="34" s="1"/>
  <c r="BN162" i="34" l="1"/>
  <c r="BM163" i="34"/>
  <c r="BM43" i="34"/>
  <c r="BK21" i="45" s="1"/>
  <c r="AM21" i="62" s="1"/>
  <c r="BM73" i="36"/>
  <c r="BM114" i="34" s="1"/>
  <c r="BN42" i="34"/>
  <c r="BN24" i="34"/>
  <c r="BM57" i="36"/>
  <c r="BM98" i="34" s="1"/>
  <c r="BM179" i="34"/>
  <c r="BN57" i="36"/>
  <c r="BN98" i="34" s="1"/>
  <c r="BM25" i="34"/>
  <c r="BK13" i="45" s="1"/>
  <c r="AM14" i="62" s="1"/>
  <c r="BN72" i="36"/>
  <c r="BN113" i="34" s="1"/>
  <c r="BN178" i="34"/>
  <c r="BN10" i="34"/>
  <c r="BO72" i="36"/>
  <c r="BO113" i="34" s="1"/>
  <c r="BM184" i="34"/>
  <c r="BM30" i="34"/>
  <c r="BM78" i="36"/>
  <c r="BM119" i="34" s="1"/>
  <c r="BM62" i="36"/>
  <c r="BM103" i="34" s="1"/>
  <c r="BM48" i="34"/>
  <c r="BM168" i="34"/>
  <c r="BM16" i="34"/>
  <c r="BL17" i="34"/>
  <c r="BJ10" i="45" s="1"/>
  <c r="AL12" i="62" s="1"/>
  <c r="BL79" i="36"/>
  <c r="BL120" i="34" s="1"/>
  <c r="BL49" i="34"/>
  <c r="BJ25" i="45" s="1"/>
  <c r="AL23" i="62" s="1"/>
  <c r="BL63" i="36"/>
  <c r="BL104" i="34" s="1"/>
  <c r="BL169" i="34"/>
  <c r="BL31" i="34"/>
  <c r="BJ17" i="45" s="1"/>
  <c r="AL18" i="62" s="1"/>
  <c r="BL185" i="34"/>
  <c r="BN25" i="34"/>
  <c r="BN73" i="36"/>
  <c r="BN114" i="34" s="1"/>
  <c r="BN163" i="34" l="1"/>
  <c r="BL13" i="45"/>
  <c r="AN14" i="62" s="1"/>
  <c r="BN11" i="34"/>
  <c r="BL6" i="45" s="1"/>
  <c r="AN8" i="62" s="1"/>
  <c r="BN179" i="34"/>
  <c r="BN43" i="34"/>
  <c r="BL21" i="45" s="1"/>
  <c r="AN21" i="62" s="1"/>
  <c r="BO56" i="36"/>
  <c r="BO97" i="34" s="1"/>
  <c r="BO162" i="34"/>
  <c r="BO24" i="34"/>
  <c r="BO178" i="34"/>
  <c r="BO42" i="34"/>
  <c r="BO10" i="34"/>
  <c r="BM31" i="34"/>
  <c r="BK17" i="45" s="1"/>
  <c r="AM18" i="62" s="1"/>
  <c r="BM169" i="34"/>
  <c r="BM79" i="36"/>
  <c r="BM120" i="34" s="1"/>
  <c r="BM49" i="34"/>
  <c r="BK25" i="45" s="1"/>
  <c r="AM23" i="62" s="1"/>
  <c r="BM185" i="34"/>
  <c r="BM17" i="34"/>
  <c r="BK10" i="45" s="1"/>
  <c r="AM12" i="62" s="1"/>
  <c r="BM63" i="36"/>
  <c r="BM104" i="34" s="1"/>
  <c r="BN62" i="36"/>
  <c r="BN103" i="34" s="1"/>
  <c r="BN48" i="34"/>
  <c r="BN184" i="34"/>
  <c r="BN78" i="36"/>
  <c r="BN119" i="34" s="1"/>
  <c r="BN168" i="34"/>
  <c r="BN16" i="34"/>
  <c r="BN30" i="34"/>
  <c r="BO163" i="34"/>
  <c r="BO73" i="36"/>
  <c r="BO114" i="34" s="1"/>
  <c r="BO43" i="34"/>
  <c r="BO11" i="34"/>
  <c r="BO57" i="36"/>
  <c r="BO98" i="34" s="1"/>
  <c r="BO25" i="34"/>
  <c r="BO179" i="34"/>
  <c r="BP56" i="36"/>
  <c r="BP97" i="34" s="1"/>
  <c r="BP24" i="34"/>
  <c r="BP42" i="34"/>
  <c r="BP72" i="36"/>
  <c r="BP113" i="34" s="1"/>
  <c r="BP178" i="34"/>
  <c r="BP10" i="34"/>
  <c r="BP162" i="34"/>
  <c r="BM13" i="45" l="1"/>
  <c r="AO14" i="62" s="1"/>
  <c r="BP168" i="34"/>
  <c r="BP30" i="34"/>
  <c r="BP78" i="36"/>
  <c r="BP119" i="34" s="1"/>
  <c r="BM6" i="45"/>
  <c r="AO8" i="62" s="1"/>
  <c r="BM21" i="45"/>
  <c r="AO21" i="62" s="1"/>
  <c r="BP48" i="34"/>
  <c r="BP184" i="34"/>
  <c r="BP16" i="34"/>
  <c r="BP62" i="36"/>
  <c r="BP103" i="34" s="1"/>
  <c r="BO168" i="34"/>
  <c r="BO16" i="34"/>
  <c r="BO184" i="34"/>
  <c r="BO48" i="34"/>
  <c r="BO62" i="36"/>
  <c r="BO103" i="34" s="1"/>
  <c r="BO30" i="34"/>
  <c r="BO78" i="36"/>
  <c r="BO119" i="34" s="1"/>
  <c r="BN185" i="34"/>
  <c r="BN63" i="36"/>
  <c r="BN104" i="34" s="1"/>
  <c r="BN31" i="34"/>
  <c r="BL17" i="45" s="1"/>
  <c r="AN18" i="62" s="1"/>
  <c r="BN79" i="36"/>
  <c r="BN120" i="34" s="1"/>
  <c r="BN17" i="34"/>
  <c r="BL10" i="45" s="1"/>
  <c r="AN12" i="62" s="1"/>
  <c r="BN49" i="34"/>
  <c r="BL25" i="45" s="1"/>
  <c r="AN23" i="62" s="1"/>
  <c r="BN169" i="34"/>
  <c r="BP43" i="34"/>
  <c r="BN21" i="45" s="1"/>
  <c r="AP21" i="62" s="1"/>
  <c r="BP179" i="34"/>
  <c r="BP11" i="34"/>
  <c r="BN6" i="45" s="1"/>
  <c r="AP8" i="62" s="1"/>
  <c r="BP57" i="36"/>
  <c r="BP98" i="34" s="1"/>
  <c r="BP163" i="34"/>
  <c r="BP25" i="34"/>
  <c r="BN13" i="45" s="1"/>
  <c r="AP14" i="62" s="1"/>
  <c r="BP73" i="36"/>
  <c r="BP114" i="34" s="1"/>
  <c r="BP185" i="34"/>
  <c r="BP31" i="34"/>
  <c r="BP49" i="34"/>
  <c r="BP169" i="34"/>
  <c r="BP17" i="34"/>
  <c r="BP79" i="36"/>
  <c r="BP120" i="34" s="1"/>
  <c r="BP63" i="36"/>
  <c r="BP104" i="34" s="1"/>
  <c r="BN17" i="45" l="1"/>
  <c r="AP18" i="62" s="1"/>
  <c r="BN10" i="45"/>
  <c r="AP12" i="62" s="1"/>
  <c r="BN25" i="45"/>
  <c r="AP23" i="62" s="1"/>
  <c r="BO169" i="34"/>
  <c r="BO63" i="36"/>
  <c r="BO104" i="34" s="1"/>
  <c r="BO185" i="34"/>
  <c r="BO31" i="34"/>
  <c r="BM17" i="45" s="1"/>
  <c r="AO18" i="62" s="1"/>
  <c r="BO79" i="36"/>
  <c r="BO120" i="34" s="1"/>
  <c r="BO49" i="34"/>
  <c r="BM25" i="45" s="1"/>
  <c r="AO23" i="62" s="1"/>
  <c r="BO17" i="34"/>
  <c r="BM10" i="45" s="1"/>
  <c r="AO12" i="62" s="1"/>
  <c r="T18" i="55" l="1"/>
  <c r="BA18" i="55" l="1"/>
  <c r="AC18" i="55"/>
  <c r="Y18" i="55"/>
  <c r="AJ18" i="55"/>
  <c r="AA18" i="55"/>
  <c r="U18" i="55"/>
  <c r="AE18" i="55"/>
  <c r="AP18" i="55"/>
  <c r="AB18" i="55"/>
  <c r="AL18" i="55" l="1"/>
  <c r="AK18" i="55"/>
  <c r="AF18" i="55"/>
  <c r="AG18" i="55"/>
  <c r="AY18" i="55"/>
  <c r="AD18" i="55"/>
  <c r="AM18" i="55"/>
  <c r="AH18" i="55"/>
  <c r="W18" i="55"/>
  <c r="AV18" i="55"/>
  <c r="AN18" i="55"/>
  <c r="AT18" i="55"/>
  <c r="AU18" i="55"/>
  <c r="V18" i="55"/>
  <c r="AQ18" i="55"/>
  <c r="AI18" i="55"/>
  <c r="Z18" i="55"/>
  <c r="AO69" i="36"/>
  <c r="AX18" i="55"/>
  <c r="AR18" i="55"/>
  <c r="AZ18" i="55"/>
  <c r="AW18" i="55"/>
  <c r="X18" i="55"/>
  <c r="AS18" i="55"/>
  <c r="AO18" i="55"/>
  <c r="AJ7" i="34"/>
  <c r="AH5" i="45" s="1"/>
  <c r="AJ175" i="34"/>
  <c r="AH54" i="45" s="1"/>
  <c r="AJ159" i="34"/>
  <c r="AH53" i="45" s="1"/>
  <c r="AJ21" i="34"/>
  <c r="AH12" i="45" s="1"/>
  <c r="AJ69" i="36"/>
  <c r="AJ53" i="36"/>
  <c r="AJ39" i="34"/>
  <c r="AH20" i="45" s="1"/>
  <c r="AP175" i="34"/>
  <c r="AN54" i="45" s="1"/>
  <c r="AP39" i="34"/>
  <c r="AN20" i="45" s="1"/>
  <c r="AP159" i="34"/>
  <c r="AN53" i="45" s="1"/>
  <c r="AP53" i="36"/>
  <c r="AP7" i="34"/>
  <c r="AN5" i="45" s="1"/>
  <c r="AP69" i="36"/>
  <c r="AP21" i="34"/>
  <c r="AN12" i="45" s="1"/>
  <c r="AS39" i="34"/>
  <c r="AQ20" i="45" s="1"/>
  <c r="AS159" i="34"/>
  <c r="AQ53" i="45" s="1"/>
  <c r="AS21" i="34"/>
  <c r="AQ12" i="45" s="1"/>
  <c r="AS53" i="36"/>
  <c r="AS69" i="36"/>
  <c r="AS175" i="34"/>
  <c r="AQ54" i="45" s="1"/>
  <c r="AS7" i="34"/>
  <c r="AQ5" i="45" s="1"/>
  <c r="AN175" i="34"/>
  <c r="AL54" i="45" s="1"/>
  <c r="AN21" i="34"/>
  <c r="AL12" i="45" s="1"/>
  <c r="AN7" i="34"/>
  <c r="AL5" i="45" s="1"/>
  <c r="AN53" i="36"/>
  <c r="AN159" i="34"/>
  <c r="AL53" i="45" s="1"/>
  <c r="AN39" i="34"/>
  <c r="AL20" i="45" s="1"/>
  <c r="AN69" i="36"/>
  <c r="AQ7" i="34"/>
  <c r="AO5" i="45" s="1"/>
  <c r="AQ69" i="36"/>
  <c r="AQ175" i="34"/>
  <c r="AO54" i="45" s="1"/>
  <c r="AQ53" i="36"/>
  <c r="AQ159" i="34"/>
  <c r="AO53" i="45" s="1"/>
  <c r="AQ21" i="34"/>
  <c r="AO12" i="45" s="1"/>
  <c r="AQ39" i="34"/>
  <c r="AO20" i="45" s="1"/>
  <c r="AK21" i="34"/>
  <c r="AI12" i="45" s="1"/>
  <c r="AK175" i="34"/>
  <c r="AI54" i="45" s="1"/>
  <c r="AK53" i="36"/>
  <c r="AK39" i="34"/>
  <c r="AI20" i="45" s="1"/>
  <c r="AK7" i="34"/>
  <c r="AI5" i="45" s="1"/>
  <c r="AK69" i="36"/>
  <c r="AK159" i="34"/>
  <c r="AI53" i="45" s="1"/>
  <c r="AU175" i="34"/>
  <c r="AS54" i="45" s="1"/>
  <c r="AU69" i="36"/>
  <c r="AU21" i="34"/>
  <c r="AS12" i="45" s="1"/>
  <c r="AU159" i="34"/>
  <c r="AS53" i="45" s="1"/>
  <c r="AU39" i="34"/>
  <c r="AS20" i="45" s="1"/>
  <c r="AU7" i="34"/>
  <c r="AS5" i="45" s="1"/>
  <c r="AU53" i="36"/>
  <c r="AM175" i="34"/>
  <c r="AK54" i="45" s="1"/>
  <c r="AM21" i="34"/>
  <c r="AK12" i="45" s="1"/>
  <c r="AM69" i="36"/>
  <c r="AM7" i="34"/>
  <c r="AK5" i="45" s="1"/>
  <c r="AM39" i="34"/>
  <c r="AK20" i="45" s="1"/>
  <c r="AM159" i="34"/>
  <c r="AK53" i="45" s="1"/>
  <c r="AM53" i="36"/>
  <c r="AR175" i="34"/>
  <c r="AP54" i="45" s="1"/>
  <c r="AR69" i="36"/>
  <c r="AR21" i="34"/>
  <c r="AP12" i="45" s="1"/>
  <c r="AR39" i="34"/>
  <c r="AP20" i="45" s="1"/>
  <c r="AR7" i="34"/>
  <c r="AP5" i="45" s="1"/>
  <c r="AR159" i="34"/>
  <c r="AP53" i="45" s="1"/>
  <c r="AR53" i="36"/>
  <c r="AV69" i="36"/>
  <c r="AV175" i="34"/>
  <c r="AT54" i="45" s="1"/>
  <c r="AV39" i="34"/>
  <c r="AT20" i="45" s="1"/>
  <c r="AV21" i="34"/>
  <c r="AT12" i="45" s="1"/>
  <c r="AV7" i="34"/>
  <c r="AT5" i="45" s="1"/>
  <c r="AV159" i="34"/>
  <c r="AT53" i="45" s="1"/>
  <c r="AV53" i="36"/>
  <c r="AL69" i="36"/>
  <c r="AL175" i="34"/>
  <c r="AJ54" i="45" s="1"/>
  <c r="AL21" i="34"/>
  <c r="AJ12" i="45" s="1"/>
  <c r="AL53" i="36"/>
  <c r="AL159" i="34"/>
  <c r="AJ53" i="45" s="1"/>
  <c r="AL7" i="34"/>
  <c r="AJ5" i="45" s="1"/>
  <c r="AL39" i="34"/>
  <c r="AJ20" i="45" s="1"/>
  <c r="AT7" i="34"/>
  <c r="AR5" i="45" s="1"/>
  <c r="AT175" i="34"/>
  <c r="AR54" i="45" s="1"/>
  <c r="AT159" i="34"/>
  <c r="AR53" i="45" s="1"/>
  <c r="AT69" i="36"/>
  <c r="AT53" i="36"/>
  <c r="AT21" i="34"/>
  <c r="AR12" i="45" s="1"/>
  <c r="AT39" i="34"/>
  <c r="AR20" i="45" s="1"/>
  <c r="AR11" i="45" l="1"/>
  <c r="AR59" i="45" s="1"/>
  <c r="T13" i="62"/>
  <c r="AJ19" i="45"/>
  <c r="AJ60" i="45" s="1"/>
  <c r="L20" i="62"/>
  <c r="AJ11" i="45"/>
  <c r="AJ59" i="45" s="1"/>
  <c r="L13" i="62"/>
  <c r="AP4" i="45"/>
  <c r="AP58" i="45" s="1"/>
  <c r="R7" i="62"/>
  <c r="AK4" i="45"/>
  <c r="AK58" i="45" s="1"/>
  <c r="M7" i="62"/>
  <c r="AS11" i="45"/>
  <c r="AS59" i="45" s="1"/>
  <c r="U13" i="62"/>
  <c r="AO4" i="45"/>
  <c r="AO58" i="45" s="1"/>
  <c r="Q7" i="62"/>
  <c r="AQ4" i="45"/>
  <c r="AQ58" i="45" s="1"/>
  <c r="S7" i="62"/>
  <c r="AQ11" i="45"/>
  <c r="AQ59" i="45" s="1"/>
  <c r="S13" i="62"/>
  <c r="AN19" i="45"/>
  <c r="AN60" i="45" s="1"/>
  <c r="P20" i="62"/>
  <c r="AH4" i="45"/>
  <c r="AH58" i="45" s="1"/>
  <c r="J7" i="62"/>
  <c r="AR19" i="45"/>
  <c r="AR60" i="45" s="1"/>
  <c r="T20" i="62"/>
  <c r="AJ4" i="45"/>
  <c r="AJ58" i="45" s="1"/>
  <c r="L7" i="62"/>
  <c r="AT4" i="45"/>
  <c r="AT58" i="45" s="1"/>
  <c r="V7" i="62"/>
  <c r="AP19" i="45"/>
  <c r="AP60" i="45" s="1"/>
  <c r="R20" i="62"/>
  <c r="AS4" i="45"/>
  <c r="AS58" i="45" s="1"/>
  <c r="U7" i="62"/>
  <c r="AI4" i="45"/>
  <c r="AI58" i="45" s="1"/>
  <c r="K7" i="62"/>
  <c r="AI11" i="45"/>
  <c r="AI59" i="45" s="1"/>
  <c r="K13" i="62"/>
  <c r="AL4" i="45"/>
  <c r="AL58" i="45" s="1"/>
  <c r="N7" i="62"/>
  <c r="AN4" i="45"/>
  <c r="AN58" i="45" s="1"/>
  <c r="P7" i="62"/>
  <c r="AH11" i="45"/>
  <c r="AH59" i="45" s="1"/>
  <c r="J13" i="62"/>
  <c r="AT11" i="45"/>
  <c r="AT59" i="45" s="1"/>
  <c r="V13" i="62"/>
  <c r="AP11" i="45"/>
  <c r="AP59" i="45" s="1"/>
  <c r="R13" i="62"/>
  <c r="AK11" i="45"/>
  <c r="AK59" i="45" s="1"/>
  <c r="M13" i="62"/>
  <c r="AS19" i="45"/>
  <c r="AS60" i="45" s="1"/>
  <c r="U20" i="62"/>
  <c r="AI19" i="45"/>
  <c r="AI60" i="45" s="1"/>
  <c r="K20" i="62"/>
  <c r="AO19" i="45"/>
  <c r="AO60" i="45" s="1"/>
  <c r="Q20" i="62"/>
  <c r="AL19" i="45"/>
  <c r="AL60" i="45" s="1"/>
  <c r="N20" i="62"/>
  <c r="AL11" i="45"/>
  <c r="AL59" i="45" s="1"/>
  <c r="N13" i="62"/>
  <c r="AQ19" i="45"/>
  <c r="AQ60" i="45" s="1"/>
  <c r="S20" i="62"/>
  <c r="AH19" i="45"/>
  <c r="AH60" i="45" s="1"/>
  <c r="J20" i="62"/>
  <c r="AR4" i="45"/>
  <c r="AR58" i="45" s="1"/>
  <c r="T7" i="62"/>
  <c r="AT19" i="45"/>
  <c r="AT60" i="45" s="1"/>
  <c r="V20" i="62"/>
  <c r="AK19" i="45"/>
  <c r="AK60" i="45" s="1"/>
  <c r="M20" i="62"/>
  <c r="AO11" i="45"/>
  <c r="AO59" i="45" s="1"/>
  <c r="Q13" i="62"/>
  <c r="AN11" i="45"/>
  <c r="AN59" i="45" s="1"/>
  <c r="P13" i="62"/>
  <c r="AO39" i="34"/>
  <c r="AM20" i="45" s="1"/>
  <c r="AO175" i="34"/>
  <c r="AM54" i="45" s="1"/>
  <c r="AO7" i="34"/>
  <c r="AM5" i="45" s="1"/>
  <c r="AO21" i="34"/>
  <c r="AM12" i="45" s="1"/>
  <c r="AO159" i="34"/>
  <c r="AM53" i="45" s="1"/>
  <c r="AO53" i="36"/>
  <c r="AO141" i="34" s="1"/>
  <c r="AT52" i="45"/>
  <c r="AI52" i="45"/>
  <c r="AN52" i="45"/>
  <c r="AH52" i="45"/>
  <c r="AS52" i="45"/>
  <c r="AO52" i="45"/>
  <c r="AP52" i="45"/>
  <c r="AK52" i="45"/>
  <c r="AL94" i="34"/>
  <c r="AL141" i="34"/>
  <c r="AL137" i="34"/>
  <c r="AK110" i="34"/>
  <c r="AI47" i="45" s="1"/>
  <c r="AK138" i="34"/>
  <c r="AK142" i="34"/>
  <c r="AK94" i="34"/>
  <c r="AK141" i="34"/>
  <c r="AK137" i="34"/>
  <c r="AQ52" i="45"/>
  <c r="AP138" i="34"/>
  <c r="AP142" i="34"/>
  <c r="AP110" i="34"/>
  <c r="AN47" i="45" s="1"/>
  <c r="AJ137" i="34"/>
  <c r="AJ141" i="34"/>
  <c r="AJ94" i="34"/>
  <c r="AT142" i="34"/>
  <c r="AT138" i="34"/>
  <c r="AT110" i="34"/>
  <c r="AR47" i="45" s="1"/>
  <c r="AV110" i="34"/>
  <c r="AT47" i="45" s="1"/>
  <c r="AV138" i="34"/>
  <c r="AV142" i="34"/>
  <c r="AR52" i="45"/>
  <c r="AV141" i="34"/>
  <c r="AV94" i="34"/>
  <c r="AV137" i="34"/>
  <c r="AR141" i="34"/>
  <c r="AR137" i="34"/>
  <c r="AR94" i="34"/>
  <c r="AM141" i="34"/>
  <c r="AM137" i="34"/>
  <c r="AM94" i="34"/>
  <c r="AM142" i="34"/>
  <c r="AM138" i="34"/>
  <c r="AM110" i="34"/>
  <c r="AK47" i="45" s="1"/>
  <c r="AU141" i="34"/>
  <c r="AU137" i="34"/>
  <c r="AU94" i="34"/>
  <c r="AQ138" i="34"/>
  <c r="AQ142" i="34"/>
  <c r="AQ110" i="34"/>
  <c r="AO47" i="45" s="1"/>
  <c r="AL52" i="45"/>
  <c r="AS138" i="34"/>
  <c r="AS142" i="34"/>
  <c r="AS110" i="34"/>
  <c r="AQ47" i="45" s="1"/>
  <c r="AJ138" i="34"/>
  <c r="AJ110" i="34"/>
  <c r="AH47" i="45" s="1"/>
  <c r="AJ142" i="34"/>
  <c r="AO142" i="34"/>
  <c r="AO138" i="34"/>
  <c r="AO110" i="34"/>
  <c r="AM47" i="45" s="1"/>
  <c r="AU110" i="34"/>
  <c r="AS47" i="45" s="1"/>
  <c r="AU138" i="34"/>
  <c r="AU142" i="34"/>
  <c r="AQ137" i="34"/>
  <c r="AQ141" i="34"/>
  <c r="AQ94" i="34"/>
  <c r="AN94" i="34"/>
  <c r="AN141" i="34"/>
  <c r="AN137" i="34"/>
  <c r="AS141" i="34"/>
  <c r="AS137" i="34"/>
  <c r="AS94" i="34"/>
  <c r="AP141" i="34"/>
  <c r="AP137" i="34"/>
  <c r="AP94" i="34"/>
  <c r="AT141" i="34"/>
  <c r="AT94" i="34"/>
  <c r="AT137" i="34"/>
  <c r="AJ52" i="45"/>
  <c r="AL142" i="34"/>
  <c r="AL138" i="34"/>
  <c r="AL110" i="34"/>
  <c r="AJ47" i="45" s="1"/>
  <c r="AR110" i="34"/>
  <c r="AP47" i="45" s="1"/>
  <c r="AR138" i="34"/>
  <c r="AR142" i="34"/>
  <c r="AN142" i="34"/>
  <c r="AN138" i="34"/>
  <c r="AN110" i="34"/>
  <c r="AL47" i="45" s="1"/>
  <c r="AR71" i="45" l="1"/>
  <c r="AJ71" i="45"/>
  <c r="AS71" i="45"/>
  <c r="AI71" i="45"/>
  <c r="AH71" i="45"/>
  <c r="AN71" i="45"/>
  <c r="AT71" i="45"/>
  <c r="AQ71" i="45"/>
  <c r="AP71" i="45"/>
  <c r="AL71" i="45"/>
  <c r="AO71" i="45"/>
  <c r="AK71" i="45"/>
  <c r="AJ67" i="45"/>
  <c r="L41" i="62"/>
  <c r="AL67" i="45"/>
  <c r="N41" i="62"/>
  <c r="AQ67" i="45"/>
  <c r="S41" i="62"/>
  <c r="AO67" i="45"/>
  <c r="Q41" i="62"/>
  <c r="AI67" i="45"/>
  <c r="K41" i="62"/>
  <c r="AM11" i="45"/>
  <c r="AM59" i="45" s="1"/>
  <c r="O13" i="62"/>
  <c r="AS67" i="45"/>
  <c r="U41" i="62"/>
  <c r="AT67" i="45"/>
  <c r="V41" i="62"/>
  <c r="AM4" i="45"/>
  <c r="AM58" i="45" s="1"/>
  <c r="O7" i="62"/>
  <c r="AK67" i="45"/>
  <c r="M41" i="62"/>
  <c r="AH67" i="45"/>
  <c r="J41" i="62"/>
  <c r="AR67" i="45"/>
  <c r="T41" i="62"/>
  <c r="AP67" i="45"/>
  <c r="R41" i="62"/>
  <c r="AN67" i="45"/>
  <c r="P41" i="62"/>
  <c r="AM19" i="45"/>
  <c r="AM60" i="45" s="1"/>
  <c r="O20" i="62"/>
  <c r="AO137" i="34"/>
  <c r="AO94" i="34"/>
  <c r="AM52" i="45"/>
  <c r="AK47" i="57"/>
  <c r="AK48" i="57"/>
  <c r="AK49" i="57"/>
  <c r="AM71" i="45" l="1"/>
  <c r="AM67" i="45"/>
  <c r="O41" i="62"/>
  <c r="AD47" i="36"/>
  <c r="AE47" i="36"/>
  <c r="AI47" i="36"/>
  <c r="AF47" i="36"/>
  <c r="AL47" i="36"/>
  <c r="AK47" i="36"/>
  <c r="AG47" i="36"/>
  <c r="AJ47" i="36"/>
  <c r="AM47" i="36"/>
  <c r="AH47" i="36"/>
  <c r="BA47" i="36"/>
  <c r="BA135" i="34" s="1"/>
  <c r="BN47" i="36"/>
  <c r="BK47" i="36"/>
  <c r="AN47" i="36"/>
  <c r="BI47" i="36"/>
  <c r="AX47" i="36"/>
  <c r="BB47" i="36"/>
  <c r="AS47" i="36"/>
  <c r="AO47" i="36"/>
  <c r="AV47" i="36"/>
  <c r="AW47" i="36"/>
  <c r="AT47" i="36"/>
  <c r="BC47" i="36"/>
  <c r="AP47" i="36"/>
  <c r="BP47" i="36"/>
  <c r="BF47" i="36"/>
  <c r="BE47" i="36"/>
  <c r="BM47" i="36"/>
  <c r="BG47" i="36"/>
  <c r="BD47" i="36"/>
  <c r="AZ47" i="36"/>
  <c r="AY47" i="36"/>
  <c r="BL47" i="36"/>
  <c r="BO47" i="36"/>
  <c r="AR47" i="36"/>
  <c r="BJ47" i="36"/>
  <c r="AU47" i="36"/>
  <c r="AJ48" i="57"/>
  <c r="AJ47" i="57"/>
  <c r="BH47" i="36"/>
  <c r="AQ47" i="36"/>
  <c r="BA48" i="36" l="1"/>
  <c r="BA89" i="34" s="1"/>
  <c r="BA88" i="34"/>
  <c r="AY44" i="45" s="1"/>
  <c r="BA139" i="34"/>
  <c r="AH46" i="36"/>
  <c r="AH87" i="34" s="1"/>
  <c r="AF42" i="45" s="1"/>
  <c r="AG46" i="36"/>
  <c r="AG87" i="34" s="1"/>
  <c r="AE42" i="45" s="1"/>
  <c r="AI46" i="36"/>
  <c r="AI87" i="34" s="1"/>
  <c r="AG42" i="45" s="1"/>
  <c r="AD46" i="36"/>
  <c r="AD87" i="34" s="1"/>
  <c r="AB42" i="45" s="1"/>
  <c r="AE46" i="36"/>
  <c r="AE87" i="34" s="1"/>
  <c r="AC42" i="45" s="1"/>
  <c r="AF46" i="36"/>
  <c r="AF87" i="34" s="1"/>
  <c r="AD42" i="45" s="1"/>
  <c r="AI48" i="36"/>
  <c r="AI88" i="34"/>
  <c r="AG44" i="45" s="1"/>
  <c r="AI139" i="34"/>
  <c r="AI135" i="34"/>
  <c r="AD48" i="36"/>
  <c r="AD135" i="34"/>
  <c r="AD88" i="34"/>
  <c r="AB44" i="45" s="1"/>
  <c r="AD139" i="34"/>
  <c r="AE48" i="36"/>
  <c r="AE139" i="34"/>
  <c r="AE135" i="34"/>
  <c r="AE88" i="34"/>
  <c r="AC44" i="45" s="1"/>
  <c r="AF48" i="36"/>
  <c r="AF88" i="34"/>
  <c r="AD44" i="45" s="1"/>
  <c r="AF135" i="34"/>
  <c r="AF139" i="34"/>
  <c r="AG48" i="36"/>
  <c r="AG135" i="34"/>
  <c r="AG139" i="34"/>
  <c r="AG88" i="34"/>
  <c r="AE44" i="45" s="1"/>
  <c r="AF86" i="34"/>
  <c r="AD41" i="45" s="1"/>
  <c r="AE86" i="34"/>
  <c r="AC41" i="45" s="1"/>
  <c r="AD86" i="34"/>
  <c r="AB41" i="45" s="1"/>
  <c r="AI86" i="34"/>
  <c r="AG41" i="45" s="1"/>
  <c r="AH86" i="34"/>
  <c r="AF41" i="45" s="1"/>
  <c r="AG86" i="34"/>
  <c r="AE41" i="45" s="1"/>
  <c r="AH48" i="36"/>
  <c r="AH135" i="34"/>
  <c r="AH88" i="34"/>
  <c r="AF44" i="45" s="1"/>
  <c r="AH139" i="34"/>
  <c r="AQ88" i="34"/>
  <c r="AO44" i="45" s="1"/>
  <c r="AQ139" i="34"/>
  <c r="AQ48" i="36"/>
  <c r="AQ135" i="34"/>
  <c r="AU139" i="34"/>
  <c r="AU135" i="34"/>
  <c r="AU88" i="34"/>
  <c r="AS44" i="45" s="1"/>
  <c r="AU48" i="36"/>
  <c r="BL88" i="34"/>
  <c r="BJ44" i="45" s="1"/>
  <c r="BL48" i="36"/>
  <c r="BL139" i="34"/>
  <c r="BL135" i="34"/>
  <c r="BG139" i="34"/>
  <c r="BG88" i="34"/>
  <c r="BE44" i="45" s="1"/>
  <c r="BG48" i="36"/>
  <c r="BG135" i="34"/>
  <c r="BF135" i="34"/>
  <c r="BF88" i="34"/>
  <c r="BD44" i="45" s="1"/>
  <c r="BF139" i="34"/>
  <c r="BF48" i="36"/>
  <c r="AT48" i="36"/>
  <c r="AT139" i="34"/>
  <c r="AT88" i="34"/>
  <c r="AR44" i="45" s="1"/>
  <c r="AT135" i="34"/>
  <c r="AO88" i="34"/>
  <c r="AM44" i="45" s="1"/>
  <c r="AO48" i="36"/>
  <c r="AO139" i="34"/>
  <c r="AO135" i="34"/>
  <c r="BB88" i="34"/>
  <c r="AZ44" i="45" s="1"/>
  <c r="BB48" i="36"/>
  <c r="BB139" i="34"/>
  <c r="BB135" i="34"/>
  <c r="BK48" i="36"/>
  <c r="BK139" i="34"/>
  <c r="BK88" i="34"/>
  <c r="BI44" i="45" s="1"/>
  <c r="BK135" i="34"/>
  <c r="BH48" i="36"/>
  <c r="BH88" i="34"/>
  <c r="BF44" i="45" s="1"/>
  <c r="BH135" i="34"/>
  <c r="BH139" i="34"/>
  <c r="BJ48" i="36"/>
  <c r="BJ139" i="34"/>
  <c r="BJ135" i="34"/>
  <c r="BJ88" i="34"/>
  <c r="BH44" i="45" s="1"/>
  <c r="AY139" i="34"/>
  <c r="AY135" i="34"/>
  <c r="AY88" i="34"/>
  <c r="AW44" i="45" s="1"/>
  <c r="AY48" i="36"/>
  <c r="BM139" i="34"/>
  <c r="BM48" i="36"/>
  <c r="BM88" i="34"/>
  <c r="BK44" i="45" s="1"/>
  <c r="BM135" i="34"/>
  <c r="BP48" i="36"/>
  <c r="BP135" i="34"/>
  <c r="BP139" i="34"/>
  <c r="BP88" i="34"/>
  <c r="BN44" i="45" s="1"/>
  <c r="AL48" i="36"/>
  <c r="AL88" i="34"/>
  <c r="AJ44" i="45" s="1"/>
  <c r="AL139" i="34"/>
  <c r="AL135" i="34"/>
  <c r="AS88" i="34"/>
  <c r="AQ44" i="45" s="1"/>
  <c r="AS139" i="34"/>
  <c r="AS48" i="36"/>
  <c r="AS135" i="34"/>
  <c r="AX139" i="34"/>
  <c r="AX48" i="36"/>
  <c r="AX135" i="34"/>
  <c r="AX88" i="34"/>
  <c r="AV44" i="45" s="1"/>
  <c r="BN48" i="36"/>
  <c r="BN135" i="34"/>
  <c r="BN139" i="34"/>
  <c r="BN88" i="34"/>
  <c r="BL44" i="45" s="1"/>
  <c r="AJ86" i="34"/>
  <c r="AH41" i="45" s="1"/>
  <c r="AP86" i="34"/>
  <c r="AN41" i="45" s="1"/>
  <c r="AU86" i="34"/>
  <c r="AS41" i="45" s="1"/>
  <c r="BD86" i="34"/>
  <c r="BB41" i="45" s="1"/>
  <c r="AO86" i="34"/>
  <c r="AM41" i="45" s="1"/>
  <c r="AM86" i="34"/>
  <c r="AK41" i="45" s="1"/>
  <c r="AT86" i="34"/>
  <c r="AR41" i="45" s="1"/>
  <c r="AV86" i="34"/>
  <c r="AT41" i="45" s="1"/>
  <c r="AL86" i="34"/>
  <c r="AJ41" i="45" s="1"/>
  <c r="AS86" i="34"/>
  <c r="AQ41" i="45" s="1"/>
  <c r="AW86" i="34"/>
  <c r="AU41" i="45" s="1"/>
  <c r="AY86" i="34"/>
  <c r="AW41" i="45" s="1"/>
  <c r="BC86" i="34"/>
  <c r="BA41" i="45" s="1"/>
  <c r="AQ86" i="34"/>
  <c r="AO41" i="45" s="1"/>
  <c r="BN86" i="34"/>
  <c r="BL41" i="45" s="1"/>
  <c r="AR86" i="34"/>
  <c r="AP41" i="45" s="1"/>
  <c r="BB86" i="34"/>
  <c r="AZ41" i="45" s="1"/>
  <c r="AZ86" i="34"/>
  <c r="AX41" i="45" s="1"/>
  <c r="BF86" i="34"/>
  <c r="BD41" i="45" s="1"/>
  <c r="BK86" i="34"/>
  <c r="BI41" i="45" s="1"/>
  <c r="AN86" i="34"/>
  <c r="AL41" i="45" s="1"/>
  <c r="BE86" i="34"/>
  <c r="BC41" i="45" s="1"/>
  <c r="BL86" i="34"/>
  <c r="BJ41" i="45" s="1"/>
  <c r="BM86" i="34"/>
  <c r="BK41" i="45" s="1"/>
  <c r="BP86" i="34"/>
  <c r="BN41" i="45" s="1"/>
  <c r="BG86" i="34"/>
  <c r="BE41" i="45" s="1"/>
  <c r="BI86" i="34"/>
  <c r="BG41" i="45" s="1"/>
  <c r="BA86" i="34"/>
  <c r="AY41" i="45" s="1"/>
  <c r="BJ86" i="34"/>
  <c r="BH41" i="45" s="1"/>
  <c r="AK86" i="34"/>
  <c r="AI41" i="45" s="1"/>
  <c r="AX86" i="34"/>
  <c r="AV41" i="45" s="1"/>
  <c r="BO86" i="34"/>
  <c r="BM41" i="45" s="1"/>
  <c r="BH86" i="34"/>
  <c r="BF41" i="45" s="1"/>
  <c r="AR139" i="34"/>
  <c r="AR48" i="36"/>
  <c r="AR135" i="34"/>
  <c r="AR88" i="34"/>
  <c r="AP44" i="45" s="1"/>
  <c r="AZ139" i="34"/>
  <c r="AZ48" i="36"/>
  <c r="AZ135" i="34"/>
  <c r="AZ88" i="34"/>
  <c r="AX44" i="45" s="1"/>
  <c r="AJ139" i="34"/>
  <c r="AJ135" i="34"/>
  <c r="AJ48" i="36"/>
  <c r="AJ88" i="34"/>
  <c r="AH44" i="45" s="1"/>
  <c r="AP48" i="36"/>
  <c r="AP139" i="34"/>
  <c r="AP135" i="34"/>
  <c r="AP88" i="34"/>
  <c r="AN44" i="45" s="1"/>
  <c r="AW135" i="34"/>
  <c r="AW48" i="36"/>
  <c r="AW88" i="34"/>
  <c r="AU44" i="45" s="1"/>
  <c r="AW139" i="34"/>
  <c r="AK88" i="34"/>
  <c r="AI44" i="45" s="1"/>
  <c r="AK135" i="34"/>
  <c r="AK48" i="36"/>
  <c r="AK139" i="34"/>
  <c r="BI48" i="36"/>
  <c r="BI139" i="34"/>
  <c r="BI88" i="34"/>
  <c r="BG44" i="45" s="1"/>
  <c r="BI135" i="34"/>
  <c r="AP46" i="36"/>
  <c r="AP87" i="34" s="1"/>
  <c r="AN42" i="45" s="1"/>
  <c r="AK46" i="36"/>
  <c r="AK87" i="34" s="1"/>
  <c r="AI42" i="45" s="1"/>
  <c r="AU46" i="36"/>
  <c r="AU87" i="34" s="1"/>
  <c r="AS42" i="45" s="1"/>
  <c r="AT46" i="36"/>
  <c r="AT87" i="34" s="1"/>
  <c r="AR42" i="45" s="1"/>
  <c r="AR46" i="36"/>
  <c r="AR87" i="34" s="1"/>
  <c r="AP42" i="45" s="1"/>
  <c r="AM46" i="36"/>
  <c r="AM87" i="34" s="1"/>
  <c r="AK42" i="45" s="1"/>
  <c r="AJ46" i="36"/>
  <c r="AJ87" i="34" s="1"/>
  <c r="AH42" i="45" s="1"/>
  <c r="AS46" i="36"/>
  <c r="AS87" i="34" s="1"/>
  <c r="AQ42" i="45" s="1"/>
  <c r="AW46" i="36"/>
  <c r="AW87" i="34" s="1"/>
  <c r="AU42" i="45" s="1"/>
  <c r="AY46" i="36"/>
  <c r="AY87" i="34" s="1"/>
  <c r="AW42" i="45" s="1"/>
  <c r="AZ46" i="36"/>
  <c r="AZ87" i="34" s="1"/>
  <c r="AX42" i="45" s="1"/>
  <c r="AO46" i="36"/>
  <c r="AO87" i="34" s="1"/>
  <c r="AM42" i="45" s="1"/>
  <c r="AQ46" i="36"/>
  <c r="AQ87" i="34" s="1"/>
  <c r="AO42" i="45" s="1"/>
  <c r="AN46" i="36"/>
  <c r="AN87" i="34" s="1"/>
  <c r="AL42" i="45" s="1"/>
  <c r="BB46" i="36"/>
  <c r="BB87" i="34" s="1"/>
  <c r="AZ42" i="45" s="1"/>
  <c r="BJ46" i="36"/>
  <c r="BJ87" i="34" s="1"/>
  <c r="BH42" i="45" s="1"/>
  <c r="BC46" i="36"/>
  <c r="BC87" i="34" s="1"/>
  <c r="BA42" i="45" s="1"/>
  <c r="BH46" i="36"/>
  <c r="BH87" i="34" s="1"/>
  <c r="BF42" i="45" s="1"/>
  <c r="BM46" i="36"/>
  <c r="BM87" i="34" s="1"/>
  <c r="BK42" i="45" s="1"/>
  <c r="AL46" i="36"/>
  <c r="AL87" i="34" s="1"/>
  <c r="AJ42" i="45" s="1"/>
  <c r="BE46" i="36"/>
  <c r="BE87" i="34" s="1"/>
  <c r="BC42" i="45" s="1"/>
  <c r="AX46" i="36"/>
  <c r="AX87" i="34" s="1"/>
  <c r="AV42" i="45" s="1"/>
  <c r="BA46" i="36"/>
  <c r="BA87" i="34" s="1"/>
  <c r="AY42" i="45" s="1"/>
  <c r="BK46" i="36"/>
  <c r="BK87" i="34" s="1"/>
  <c r="BI42" i="45" s="1"/>
  <c r="AV46" i="36"/>
  <c r="AV87" i="34" s="1"/>
  <c r="AT42" i="45" s="1"/>
  <c r="BN46" i="36"/>
  <c r="BN87" i="34" s="1"/>
  <c r="BL42" i="45" s="1"/>
  <c r="BI46" i="36"/>
  <c r="BI87" i="34" s="1"/>
  <c r="BG42" i="45" s="1"/>
  <c r="BF46" i="36"/>
  <c r="BF87" i="34" s="1"/>
  <c r="BD42" i="45" s="1"/>
  <c r="BP46" i="36"/>
  <c r="BP87" i="34" s="1"/>
  <c r="BN42" i="45" s="1"/>
  <c r="BD46" i="36"/>
  <c r="BD87" i="34" s="1"/>
  <c r="BB42" i="45" s="1"/>
  <c r="BG46" i="36"/>
  <c r="BG87" i="34" s="1"/>
  <c r="BE42" i="45" s="1"/>
  <c r="BL46" i="36"/>
  <c r="BL87" i="34" s="1"/>
  <c r="BJ42" i="45" s="1"/>
  <c r="BO46" i="36"/>
  <c r="BO87" i="34" s="1"/>
  <c r="BM42" i="45" s="1"/>
  <c r="BO88" i="34"/>
  <c r="BM44" i="45" s="1"/>
  <c r="BO135" i="34"/>
  <c r="BO139" i="34"/>
  <c r="BO48" i="36"/>
  <c r="BD135" i="34"/>
  <c r="BD88" i="34"/>
  <c r="BB44" i="45" s="1"/>
  <c r="BD139" i="34"/>
  <c r="BD48" i="36"/>
  <c r="BE48" i="36"/>
  <c r="BE88" i="34"/>
  <c r="BC44" i="45" s="1"/>
  <c r="BE139" i="34"/>
  <c r="BE135" i="34"/>
  <c r="BC48" i="36"/>
  <c r="BC135" i="34"/>
  <c r="BC139" i="34"/>
  <c r="BC88" i="34"/>
  <c r="BA44" i="45" s="1"/>
  <c r="AV88" i="34"/>
  <c r="AT44" i="45" s="1"/>
  <c r="AV48" i="36"/>
  <c r="AV139" i="34"/>
  <c r="AV135" i="34"/>
  <c r="AM135" i="34"/>
  <c r="AM139" i="34"/>
  <c r="AM48" i="36"/>
  <c r="AM88" i="34"/>
  <c r="AK44" i="45" s="1"/>
  <c r="AN88" i="34"/>
  <c r="AL44" i="45" s="1"/>
  <c r="AN48" i="36"/>
  <c r="AN139" i="34"/>
  <c r="AN135" i="34"/>
  <c r="BJ64" i="45" l="1"/>
  <c r="AL38" i="62"/>
  <c r="BD64" i="45"/>
  <c r="AF38" i="62"/>
  <c r="BI64" i="45"/>
  <c r="AK38" i="62"/>
  <c r="AJ64" i="45"/>
  <c r="L38" i="62"/>
  <c r="BH64" i="45"/>
  <c r="AJ38" i="62"/>
  <c r="AM64" i="45"/>
  <c r="O38" i="62"/>
  <c r="AQ64" i="45"/>
  <c r="S38" i="62"/>
  <c r="AR64" i="45"/>
  <c r="T38" i="62"/>
  <c r="BF63" i="45"/>
  <c r="AH37" i="62"/>
  <c r="BH63" i="45"/>
  <c r="AJ37" i="62"/>
  <c r="BN63" i="45"/>
  <c r="AP37" i="62"/>
  <c r="AL63" i="45"/>
  <c r="N37" i="62"/>
  <c r="AZ63" i="45"/>
  <c r="AB37" i="62"/>
  <c r="BA63" i="45"/>
  <c r="AC37" i="62"/>
  <c r="AJ63" i="45"/>
  <c r="L37" i="62"/>
  <c r="AM63" i="45"/>
  <c r="O37" i="62"/>
  <c r="AH63" i="45"/>
  <c r="J37" i="62"/>
  <c r="AB63" i="45"/>
  <c r="D37" i="62"/>
  <c r="AC64" i="45"/>
  <c r="E38" i="62"/>
  <c r="AF64" i="45"/>
  <c r="H38" i="62"/>
  <c r="BE64" i="45"/>
  <c r="AG38" i="62"/>
  <c r="BG64" i="45"/>
  <c r="AI38" i="62"/>
  <c r="AY64" i="45"/>
  <c r="AA38" i="62"/>
  <c r="BK64" i="45"/>
  <c r="AM38" i="62"/>
  <c r="AZ64" i="45"/>
  <c r="AB38" i="62"/>
  <c r="AX64" i="45"/>
  <c r="Z38" i="62"/>
  <c r="AH64" i="45"/>
  <c r="J38" i="62"/>
  <c r="AS64" i="45"/>
  <c r="U38" i="62"/>
  <c r="BM63" i="45"/>
  <c r="AO37" i="62"/>
  <c r="AY63" i="45"/>
  <c r="AA37" i="62"/>
  <c r="BK63" i="45"/>
  <c r="AM37" i="62"/>
  <c r="BI63" i="45"/>
  <c r="AK37" i="62"/>
  <c r="AP63" i="45"/>
  <c r="R37" i="62"/>
  <c r="AW63" i="45"/>
  <c r="Y37" i="62"/>
  <c r="AT63" i="45"/>
  <c r="V37" i="62"/>
  <c r="BB63" i="45"/>
  <c r="AD37" i="62"/>
  <c r="AE63" i="45"/>
  <c r="G37" i="62"/>
  <c r="AC63" i="45"/>
  <c r="E37" i="62"/>
  <c r="AB64" i="45"/>
  <c r="D38" i="62"/>
  <c r="BB64" i="45"/>
  <c r="AD38" i="62"/>
  <c r="BL64" i="45"/>
  <c r="AN38" i="62"/>
  <c r="AV64" i="45"/>
  <c r="X38" i="62"/>
  <c r="BF64" i="45"/>
  <c r="AH38" i="62"/>
  <c r="AL64" i="45"/>
  <c r="N38" i="62"/>
  <c r="AW64" i="45"/>
  <c r="Y38" i="62"/>
  <c r="AK64" i="45"/>
  <c r="M38" i="62"/>
  <c r="AI64" i="45"/>
  <c r="K38" i="62"/>
  <c r="AV63" i="45"/>
  <c r="X37" i="62"/>
  <c r="BG63" i="45"/>
  <c r="AI37" i="62"/>
  <c r="BJ63" i="45"/>
  <c r="AL37" i="62"/>
  <c r="BD63" i="45"/>
  <c r="AF37" i="62"/>
  <c r="BL63" i="45"/>
  <c r="AN37" i="62"/>
  <c r="AU63" i="45"/>
  <c r="W37" i="62"/>
  <c r="AR63" i="45"/>
  <c r="T37" i="62"/>
  <c r="AS63" i="45"/>
  <c r="U37" i="62"/>
  <c r="AF63" i="45"/>
  <c r="H37" i="62"/>
  <c r="AD63" i="45"/>
  <c r="F37" i="62"/>
  <c r="AG64" i="45"/>
  <c r="I38" i="62"/>
  <c r="BM64" i="45"/>
  <c r="AO38" i="62"/>
  <c r="BN64" i="45"/>
  <c r="AP38" i="62"/>
  <c r="AT64" i="45"/>
  <c r="V38" i="62"/>
  <c r="BC64" i="45"/>
  <c r="AE38" i="62"/>
  <c r="BA64" i="45"/>
  <c r="AC38" i="62"/>
  <c r="AO64" i="45"/>
  <c r="Q38" i="62"/>
  <c r="AU64" i="45"/>
  <c r="W38" i="62"/>
  <c r="AP64" i="45"/>
  <c r="R38" i="62"/>
  <c r="AN64" i="45"/>
  <c r="P38" i="62"/>
  <c r="AI63" i="45"/>
  <c r="K37" i="62"/>
  <c r="BE63" i="45"/>
  <c r="AG37" i="62"/>
  <c r="BC63" i="45"/>
  <c r="AE37" i="62"/>
  <c r="AX63" i="45"/>
  <c r="Z37" i="62"/>
  <c r="AO63" i="45"/>
  <c r="Q37" i="62"/>
  <c r="AQ63" i="45"/>
  <c r="S37" i="62"/>
  <c r="AK63" i="45"/>
  <c r="M37" i="62"/>
  <c r="AN63" i="45"/>
  <c r="P37" i="62"/>
  <c r="AG63" i="45"/>
  <c r="I37" i="62"/>
  <c r="AD64" i="45"/>
  <c r="F38" i="62"/>
  <c r="AE64" i="45"/>
  <c r="G38" i="62"/>
  <c r="BA136" i="34"/>
  <c r="BA140" i="34"/>
  <c r="AG140" i="34"/>
  <c r="AG89" i="34"/>
  <c r="AE45" i="45" s="1"/>
  <c r="AG136" i="34"/>
  <c r="AE50" i="45" s="1"/>
  <c r="AF140" i="34"/>
  <c r="AF89" i="34"/>
  <c r="AD45" i="45" s="1"/>
  <c r="AF136" i="34"/>
  <c r="AD50" i="45" s="1"/>
  <c r="AE136" i="34"/>
  <c r="AC50" i="45" s="1"/>
  <c r="AE89" i="34"/>
  <c r="AC45" i="45" s="1"/>
  <c r="AE140" i="34"/>
  <c r="AD136" i="34"/>
  <c r="AB50" i="45" s="1"/>
  <c r="AD89" i="34"/>
  <c r="AB45" i="45" s="1"/>
  <c r="AD140" i="34"/>
  <c r="AI136" i="34"/>
  <c r="AG50" i="45" s="1"/>
  <c r="AI140" i="34"/>
  <c r="AI89" i="34"/>
  <c r="AG45" i="45" s="1"/>
  <c r="AH89" i="34"/>
  <c r="AF45" i="45" s="1"/>
  <c r="AH136" i="34"/>
  <c r="AF50" i="45" s="1"/>
  <c r="AH140" i="34"/>
  <c r="AT140" i="34"/>
  <c r="AT89" i="34"/>
  <c r="AR45" i="45" s="1"/>
  <c r="AT136" i="34"/>
  <c r="AR50" i="45" s="1"/>
  <c r="BC136" i="34"/>
  <c r="BC140" i="34"/>
  <c r="BC89" i="34"/>
  <c r="BE140" i="34"/>
  <c r="BE136" i="34"/>
  <c r="BE89" i="34"/>
  <c r="BI136" i="34"/>
  <c r="BI140" i="34"/>
  <c r="BI89" i="34"/>
  <c r="AP136" i="34"/>
  <c r="AN50" i="45" s="1"/>
  <c r="AP140" i="34"/>
  <c r="AP89" i="34"/>
  <c r="AN45" i="45" s="1"/>
  <c r="BN140" i="34"/>
  <c r="BN136" i="34"/>
  <c r="BN89" i="34"/>
  <c r="AL136" i="34"/>
  <c r="AJ50" i="45" s="1"/>
  <c r="AL140" i="34"/>
  <c r="AL89" i="34"/>
  <c r="AJ45" i="45" s="1"/>
  <c r="BP136" i="34"/>
  <c r="BP89" i="34"/>
  <c r="BP140" i="34"/>
  <c r="BJ136" i="34"/>
  <c r="BJ89" i="34"/>
  <c r="BJ140" i="34"/>
  <c r="BH136" i="34"/>
  <c r="BH89" i="34"/>
  <c r="BH140" i="34"/>
  <c r="BB140" i="34"/>
  <c r="BB136" i="34"/>
  <c r="BB89" i="34"/>
  <c r="AO136" i="34"/>
  <c r="AM50" i="45" s="1"/>
  <c r="AO140" i="34"/>
  <c r="AO89" i="34"/>
  <c r="AM45" i="45" s="1"/>
  <c r="BL136" i="34"/>
  <c r="BL140" i="34"/>
  <c r="BL89" i="34"/>
  <c r="BO136" i="34"/>
  <c r="BO140" i="34"/>
  <c r="BO89" i="34"/>
  <c r="AY140" i="34"/>
  <c r="AY136" i="34"/>
  <c r="AY89" i="34"/>
  <c r="BK136" i="34"/>
  <c r="BK140" i="34"/>
  <c r="BK89" i="34"/>
  <c r="AM140" i="34"/>
  <c r="AM136" i="34"/>
  <c r="AK50" i="45" s="1"/>
  <c r="AM89" i="34"/>
  <c r="AK45" i="45" s="1"/>
  <c r="AK136" i="34"/>
  <c r="AI50" i="45" s="1"/>
  <c r="AK140" i="34"/>
  <c r="AK89" i="34"/>
  <c r="AI45" i="45" s="1"/>
  <c r="AJ140" i="34"/>
  <c r="AJ136" i="34"/>
  <c r="AH50" i="45" s="1"/>
  <c r="AJ89" i="34"/>
  <c r="AH45" i="45" s="1"/>
  <c r="AS136" i="34"/>
  <c r="AQ50" i="45" s="1"/>
  <c r="AS140" i="34"/>
  <c r="AS89" i="34"/>
  <c r="AQ45" i="45" s="1"/>
  <c r="BF136" i="34"/>
  <c r="BF140" i="34"/>
  <c r="BF89" i="34"/>
  <c r="AU136" i="34"/>
  <c r="AS50" i="45" s="1"/>
  <c r="AU140" i="34"/>
  <c r="AU89" i="34"/>
  <c r="AS45" i="45" s="1"/>
  <c r="BD136" i="34"/>
  <c r="BD140" i="34"/>
  <c r="BD89" i="34"/>
  <c r="AN140" i="34"/>
  <c r="AN136" i="34"/>
  <c r="AL50" i="45" s="1"/>
  <c r="AN89" i="34"/>
  <c r="AL45" i="45" s="1"/>
  <c r="AV136" i="34"/>
  <c r="AT50" i="45" s="1"/>
  <c r="AV140" i="34"/>
  <c r="AV89" i="34"/>
  <c r="AT45" i="45" s="1"/>
  <c r="AW136" i="34"/>
  <c r="AW140" i="34"/>
  <c r="AW89" i="34"/>
  <c r="AZ140" i="34"/>
  <c r="AZ136" i="34"/>
  <c r="AZ89" i="34"/>
  <c r="AR136" i="34"/>
  <c r="AP50" i="45" s="1"/>
  <c r="AR140" i="34"/>
  <c r="AR89" i="34"/>
  <c r="AP45" i="45" s="1"/>
  <c r="AX140" i="34"/>
  <c r="AX136" i="34"/>
  <c r="AX89" i="34"/>
  <c r="BM136" i="34"/>
  <c r="BM140" i="34"/>
  <c r="BM89" i="34"/>
  <c r="BG136" i="34"/>
  <c r="BG140" i="34"/>
  <c r="BG89" i="34"/>
  <c r="AQ140" i="34"/>
  <c r="AQ136" i="34"/>
  <c r="AO50" i="45" s="1"/>
  <c r="AQ89" i="34"/>
  <c r="AO45" i="45" s="1"/>
  <c r="AK45" i="57"/>
  <c r="AJ45" i="57"/>
  <c r="AV90" i="34" l="1"/>
  <c r="AT46" i="45" s="1"/>
  <c r="AT43" i="45" s="1"/>
  <c r="AF90" i="34"/>
  <c r="AD46" i="45" s="1"/>
  <c r="AD43" i="45" s="1"/>
  <c r="AF143" i="34"/>
  <c r="AD51" i="45" s="1"/>
  <c r="AD49" i="45" s="1"/>
  <c r="AI143" i="34"/>
  <c r="AG51" i="45" s="1"/>
  <c r="AG49" i="45" s="1"/>
  <c r="AI90" i="34"/>
  <c r="AG46" i="45" s="1"/>
  <c r="AG43" i="45" s="1"/>
  <c r="AH90" i="34"/>
  <c r="AF46" i="45" s="1"/>
  <c r="AF43" i="45" s="1"/>
  <c r="AH143" i="34"/>
  <c r="AF51" i="45" s="1"/>
  <c r="AF49" i="45" s="1"/>
  <c r="AD143" i="34"/>
  <c r="AD90" i="34"/>
  <c r="AB46" i="45" s="1"/>
  <c r="AE90" i="34"/>
  <c r="AC46" i="45" s="1"/>
  <c r="AC43" i="45" s="1"/>
  <c r="AE143" i="34"/>
  <c r="AC51" i="45" s="1"/>
  <c r="AC49" i="45" s="1"/>
  <c r="AG90" i="34"/>
  <c r="AE46" i="45" s="1"/>
  <c r="AE43" i="45" s="1"/>
  <c r="AG143" i="34"/>
  <c r="AE51" i="45" s="1"/>
  <c r="AE49" i="45" s="1"/>
  <c r="AP143" i="34"/>
  <c r="AN51" i="45" s="1"/>
  <c r="AN49" i="45" s="1"/>
  <c r="AP90" i="34"/>
  <c r="AN46" i="45" s="1"/>
  <c r="AN43" i="45" s="1"/>
  <c r="AR143" i="34"/>
  <c r="AP51" i="45" s="1"/>
  <c r="AP49" i="45" s="1"/>
  <c r="AR90" i="34"/>
  <c r="AP46" i="45" s="1"/>
  <c r="AP43" i="45" s="1"/>
  <c r="AU143" i="34"/>
  <c r="AS51" i="45" s="1"/>
  <c r="AS49" i="45" s="1"/>
  <c r="AU90" i="34"/>
  <c r="AS46" i="45" s="1"/>
  <c r="AS43" i="45" s="1"/>
  <c r="AM143" i="34"/>
  <c r="AK51" i="45" s="1"/>
  <c r="AK49" i="45" s="1"/>
  <c r="AM90" i="34"/>
  <c r="AK46" i="45" s="1"/>
  <c r="AK43" i="45" s="1"/>
  <c r="AQ90" i="34"/>
  <c r="AO46" i="45" s="1"/>
  <c r="AO43" i="45" s="1"/>
  <c r="AQ143" i="34"/>
  <c r="AO51" i="45" s="1"/>
  <c r="AO49" i="45" s="1"/>
  <c r="AN143" i="34"/>
  <c r="AL51" i="45" s="1"/>
  <c r="AL49" i="45" s="1"/>
  <c r="AN90" i="34"/>
  <c r="AL46" i="45" s="1"/>
  <c r="AL43" i="45" s="1"/>
  <c r="AK143" i="34"/>
  <c r="AI51" i="45" s="1"/>
  <c r="AI49" i="45" s="1"/>
  <c r="AK90" i="34"/>
  <c r="AI46" i="45" s="1"/>
  <c r="AI43" i="45" s="1"/>
  <c r="AO90" i="34"/>
  <c r="AM46" i="45" s="1"/>
  <c r="AM43" i="45" s="1"/>
  <c r="AO143" i="34"/>
  <c r="AM51" i="45" s="1"/>
  <c r="AM49" i="45" s="1"/>
  <c r="AT90" i="34"/>
  <c r="AR46" i="45" s="1"/>
  <c r="AR43" i="45" s="1"/>
  <c r="AT143" i="34"/>
  <c r="AR51" i="45" s="1"/>
  <c r="AR49" i="45" s="1"/>
  <c r="AJ143" i="34"/>
  <c r="AH51" i="45" s="1"/>
  <c r="AH49" i="45" s="1"/>
  <c r="AJ90" i="34"/>
  <c r="AH46" i="45" s="1"/>
  <c r="AH43" i="45" s="1"/>
  <c r="AS143" i="34"/>
  <c r="AQ51" i="45" s="1"/>
  <c r="AQ49" i="45" s="1"/>
  <c r="AS90" i="34"/>
  <c r="AQ46" i="45" s="1"/>
  <c r="AQ43" i="45" s="1"/>
  <c r="AL90" i="34"/>
  <c r="AJ46" i="45" s="1"/>
  <c r="AJ43" i="45" s="1"/>
  <c r="AL143" i="34"/>
  <c r="AJ51" i="45" s="1"/>
  <c r="AJ49" i="45" s="1"/>
  <c r="AH66" i="45" l="1"/>
  <c r="J40" i="62"/>
  <c r="AL66" i="45"/>
  <c r="N40" i="62"/>
  <c r="AP66" i="45"/>
  <c r="R40" i="62"/>
  <c r="AE65" i="45"/>
  <c r="G39" i="62"/>
  <c r="AG66" i="45"/>
  <c r="I40" i="62"/>
  <c r="AQ65" i="45"/>
  <c r="S39" i="62"/>
  <c r="AI65" i="45"/>
  <c r="K39" i="62"/>
  <c r="AC66" i="45"/>
  <c r="E40" i="62"/>
  <c r="AD66" i="45"/>
  <c r="F40" i="62"/>
  <c r="AR65" i="45"/>
  <c r="T39" i="62"/>
  <c r="AI66" i="45"/>
  <c r="K40" i="62"/>
  <c r="AO65" i="45"/>
  <c r="Q39" i="62"/>
  <c r="AS66" i="45"/>
  <c r="U40" i="62"/>
  <c r="AN66" i="45"/>
  <c r="P40" i="62"/>
  <c r="AC65" i="45"/>
  <c r="E39" i="62"/>
  <c r="AF65" i="45"/>
  <c r="H39" i="62"/>
  <c r="AD65" i="45"/>
  <c r="F39" i="62"/>
  <c r="AJ65" i="45"/>
  <c r="L39" i="62"/>
  <c r="AM65" i="45"/>
  <c r="O39" i="62"/>
  <c r="AK66" i="45"/>
  <c r="M40" i="62"/>
  <c r="AR66" i="45"/>
  <c r="T40" i="62"/>
  <c r="AO66" i="45"/>
  <c r="Q40" i="62"/>
  <c r="AS65" i="45"/>
  <c r="U39" i="62"/>
  <c r="AN65" i="45"/>
  <c r="P39" i="62"/>
  <c r="AF66" i="45"/>
  <c r="H40" i="62"/>
  <c r="AQ66" i="45"/>
  <c r="S40" i="62"/>
  <c r="AJ66" i="45"/>
  <c r="L40" i="62"/>
  <c r="AH65" i="45"/>
  <c r="J39" i="62"/>
  <c r="AM66" i="45"/>
  <c r="O40" i="62"/>
  <c r="AL65" i="45"/>
  <c r="N39" i="62"/>
  <c r="AK65" i="45"/>
  <c r="M39" i="62"/>
  <c r="AP65" i="45"/>
  <c r="R39" i="62"/>
  <c r="AE66" i="45"/>
  <c r="G40" i="62"/>
  <c r="AG65" i="45"/>
  <c r="I39" i="62"/>
  <c r="AT65" i="45"/>
  <c r="V39" i="62"/>
  <c r="AV143" i="34"/>
  <c r="AT51" i="45" s="1"/>
  <c r="AT49" i="45" s="1"/>
  <c r="BM53" i="36"/>
  <c r="BB7" i="34"/>
  <c r="AZ5" i="45" s="1"/>
  <c r="BE159" i="34"/>
  <c r="BC53" i="45" s="1"/>
  <c r="AY39" i="34"/>
  <c r="AW20" i="45" s="1"/>
  <c r="BH175" i="34"/>
  <c r="BF54" i="45" s="1"/>
  <c r="AW53" i="36"/>
  <c r="AW94" i="34" s="1"/>
  <c r="AU45" i="45" s="1"/>
  <c r="BJ159" i="34"/>
  <c r="BH53" i="45" s="1"/>
  <c r="BG53" i="36"/>
  <c r="BA53" i="36"/>
  <c r="BI53" i="36"/>
  <c r="BL53" i="36"/>
  <c r="BL94" i="34" s="1"/>
  <c r="BJ45" i="45" s="1"/>
  <c r="AZ4" i="45" l="1"/>
  <c r="AZ58" i="45" s="1"/>
  <c r="AB7" i="62"/>
  <c r="AW19" i="45"/>
  <c r="AW60" i="45" s="1"/>
  <c r="Y20" i="62"/>
  <c r="AT66" i="45"/>
  <c r="V40" i="62"/>
  <c r="AW143" i="34"/>
  <c r="AW90" i="34"/>
  <c r="AU46" i="45" s="1"/>
  <c r="BE69" i="36"/>
  <c r="BE138" i="34" s="1"/>
  <c r="BI94" i="34"/>
  <c r="BG45" i="45" s="1"/>
  <c r="BI141" i="34"/>
  <c r="BJ53" i="36"/>
  <c r="BJ94" i="34" s="1"/>
  <c r="BH45" i="45" s="1"/>
  <c r="AY53" i="36"/>
  <c r="AY141" i="34" s="1"/>
  <c r="BA141" i="34"/>
  <c r="BA137" i="34"/>
  <c r="BA94" i="34"/>
  <c r="AY45" i="45" s="1"/>
  <c r="BG141" i="34"/>
  <c r="BG94" i="34"/>
  <c r="BE45" i="45" s="1"/>
  <c r="BG137" i="34"/>
  <c r="BI21" i="34"/>
  <c r="BG12" i="45" s="1"/>
  <c r="BI175" i="34"/>
  <c r="BG54" i="45" s="1"/>
  <c r="BI39" i="34"/>
  <c r="BG20" i="45" s="1"/>
  <c r="BI4" i="36"/>
  <c r="BI7" i="34"/>
  <c r="BG5" i="45" s="1"/>
  <c r="BI159" i="34"/>
  <c r="BG53" i="45" s="1"/>
  <c r="BI69" i="36"/>
  <c r="BC4" i="36"/>
  <c r="BC69" i="36"/>
  <c r="BC21" i="34"/>
  <c r="BA12" i="45" s="1"/>
  <c r="BC175" i="34"/>
  <c r="BA54" i="45" s="1"/>
  <c r="BC39" i="34"/>
  <c r="BA20" i="45" s="1"/>
  <c r="BC7" i="34"/>
  <c r="BA5" i="45" s="1"/>
  <c r="BC53" i="36"/>
  <c r="BP4" i="36"/>
  <c r="BP21" i="34"/>
  <c r="BN12" i="45" s="1"/>
  <c r="BP69" i="36"/>
  <c r="BP7" i="34"/>
  <c r="BN5" i="45" s="1"/>
  <c r="BP159" i="34"/>
  <c r="BN53" i="45" s="1"/>
  <c r="BP175" i="34"/>
  <c r="BN54" i="45" s="1"/>
  <c r="BP39" i="34"/>
  <c r="BN20" i="45" s="1"/>
  <c r="BO39" i="34"/>
  <c r="BM20" i="45" s="1"/>
  <c r="BO4" i="36"/>
  <c r="BO69" i="36"/>
  <c r="BO7" i="34"/>
  <c r="BM5" i="45" s="1"/>
  <c r="BO21" i="34"/>
  <c r="BM12" i="45" s="1"/>
  <c r="BO159" i="34"/>
  <c r="BM53" i="45" s="1"/>
  <c r="BO175" i="34"/>
  <c r="BM54" i="45" s="1"/>
  <c r="BK4" i="36"/>
  <c r="BK175" i="34"/>
  <c r="BI54" i="45" s="1"/>
  <c r="BK7" i="34"/>
  <c r="BI5" i="45" s="1"/>
  <c r="BK159" i="34"/>
  <c r="BI53" i="45" s="1"/>
  <c r="BK21" i="34"/>
  <c r="BI12" i="45" s="1"/>
  <c r="BK39" i="34"/>
  <c r="BI20" i="45" s="1"/>
  <c r="BK69" i="36"/>
  <c r="BN4" i="36"/>
  <c r="BN7" i="34"/>
  <c r="BL5" i="45" s="1"/>
  <c r="BN39" i="34"/>
  <c r="BL20" i="45" s="1"/>
  <c r="BN21" i="34"/>
  <c r="BL12" i="45" s="1"/>
  <c r="BN175" i="34"/>
  <c r="BL54" i="45" s="1"/>
  <c r="BN69" i="36"/>
  <c r="BN159" i="34"/>
  <c r="BL53" i="45" s="1"/>
  <c r="BL141" i="34"/>
  <c r="BL137" i="34"/>
  <c r="BL4" i="36"/>
  <c r="BL7" i="34"/>
  <c r="BJ5" i="45" s="1"/>
  <c r="BL175" i="34"/>
  <c r="BJ54" i="45" s="1"/>
  <c r="BL69" i="36"/>
  <c r="BL21" i="34"/>
  <c r="BJ12" i="45" s="1"/>
  <c r="BL39" i="34"/>
  <c r="BJ20" i="45" s="1"/>
  <c r="BL159" i="34"/>
  <c r="BJ53" i="45" s="1"/>
  <c r="BD7" i="34"/>
  <c r="BB5" i="45" s="1"/>
  <c r="BD4" i="36"/>
  <c r="BD175" i="34"/>
  <c r="BB54" i="45" s="1"/>
  <c r="BD21" i="34"/>
  <c r="BB12" i="45" s="1"/>
  <c r="BD69" i="36"/>
  <c r="BD39" i="34"/>
  <c r="BB20" i="45" s="1"/>
  <c r="BD159" i="34"/>
  <c r="BB53" i="45" s="1"/>
  <c r="BK53" i="36"/>
  <c r="BI137" i="34"/>
  <c r="BN53" i="36"/>
  <c r="BM137" i="34"/>
  <c r="BM141" i="34"/>
  <c r="BM94" i="34"/>
  <c r="BK45" i="45" s="1"/>
  <c r="BA4" i="36"/>
  <c r="BA69" i="36"/>
  <c r="BA21" i="34"/>
  <c r="AY12" i="45" s="1"/>
  <c r="BA7" i="34"/>
  <c r="AY5" i="45" s="1"/>
  <c r="BA175" i="34"/>
  <c r="AY54" i="45" s="1"/>
  <c r="BA159" i="34"/>
  <c r="AY53" i="45" s="1"/>
  <c r="BA39" i="34"/>
  <c r="AY20" i="45" s="1"/>
  <c r="BG175" i="34"/>
  <c r="BE54" i="45" s="1"/>
  <c r="BG4" i="36"/>
  <c r="BG69" i="36"/>
  <c r="BG7" i="34"/>
  <c r="BE5" i="45" s="1"/>
  <c r="BG21" i="34"/>
  <c r="BE12" i="45" s="1"/>
  <c r="BG159" i="34"/>
  <c r="BE53" i="45" s="1"/>
  <c r="BG39" i="34"/>
  <c r="BE20" i="45" s="1"/>
  <c r="AW137" i="34"/>
  <c r="AW141" i="34"/>
  <c r="AX175" i="34"/>
  <c r="AV54" i="45" s="1"/>
  <c r="AX39" i="34"/>
  <c r="AV20" i="45" s="1"/>
  <c r="AX7" i="34"/>
  <c r="AV5" i="45" s="1"/>
  <c r="AX69" i="36"/>
  <c r="AX21" i="34"/>
  <c r="AV12" i="45" s="1"/>
  <c r="AX53" i="36"/>
  <c r="AZ21" i="34"/>
  <c r="AX12" i="45" s="1"/>
  <c r="AZ175" i="34"/>
  <c r="AX54" i="45" s="1"/>
  <c r="AZ69" i="36"/>
  <c r="AZ159" i="34"/>
  <c r="AX53" i="45" s="1"/>
  <c r="AZ53" i="36"/>
  <c r="AZ7" i="34"/>
  <c r="AX5" i="45" s="1"/>
  <c r="AZ39" i="34"/>
  <c r="AX20" i="45" s="1"/>
  <c r="BJ4" i="36"/>
  <c r="BJ39" i="34"/>
  <c r="BH20" i="45" s="1"/>
  <c r="BJ21" i="34"/>
  <c r="BH12" i="45" s="1"/>
  <c r="BJ7" i="34"/>
  <c r="BH5" i="45" s="1"/>
  <c r="BJ175" i="34"/>
  <c r="BH54" i="45" s="1"/>
  <c r="BH52" i="45" s="1"/>
  <c r="BJ69" i="36"/>
  <c r="BD53" i="36"/>
  <c r="AW21" i="34"/>
  <c r="AU12" i="45" s="1"/>
  <c r="AW175" i="34"/>
  <c r="AU54" i="45" s="1"/>
  <c r="AW7" i="34"/>
  <c r="AU5" i="45" s="1"/>
  <c r="AW159" i="34"/>
  <c r="AU53" i="45" s="1"/>
  <c r="AW39" i="34"/>
  <c r="AU20" i="45" s="1"/>
  <c r="AW69" i="36"/>
  <c r="BP53" i="36"/>
  <c r="BO53" i="36"/>
  <c r="BC159" i="34"/>
  <c r="BA53" i="45" s="1"/>
  <c r="BF4" i="36"/>
  <c r="BF21" i="34"/>
  <c r="BD12" i="45" s="1"/>
  <c r="BF7" i="34"/>
  <c r="BD5" i="45" s="1"/>
  <c r="BF175" i="34"/>
  <c r="BD54" i="45" s="1"/>
  <c r="BF159" i="34"/>
  <c r="BD53" i="45" s="1"/>
  <c r="BF39" i="34"/>
  <c r="BD20" i="45" s="1"/>
  <c r="BF69" i="36"/>
  <c r="BF53" i="36"/>
  <c r="AX159" i="34"/>
  <c r="AV53" i="45" s="1"/>
  <c r="BB53" i="36"/>
  <c r="BM21" i="34"/>
  <c r="BK12" i="45" s="1"/>
  <c r="BM69" i="36"/>
  <c r="BH21" i="34"/>
  <c r="BF12" i="45" s="1"/>
  <c r="BB159" i="34"/>
  <c r="AZ53" i="45" s="1"/>
  <c r="BM159" i="34"/>
  <c r="BK53" i="45" s="1"/>
  <c r="BH159" i="34"/>
  <c r="BF53" i="45" s="1"/>
  <c r="BF52" i="45" s="1"/>
  <c r="BH53" i="36"/>
  <c r="AY69" i="36"/>
  <c r="AY159" i="34"/>
  <c r="AW53" i="45" s="1"/>
  <c r="AY21" i="34"/>
  <c r="AW12" i="45" s="1"/>
  <c r="AY175" i="34"/>
  <c r="AW54" i="45" s="1"/>
  <c r="BE175" i="34"/>
  <c r="BC54" i="45" s="1"/>
  <c r="BC52" i="45" s="1"/>
  <c r="BE21" i="34"/>
  <c r="BC12" i="45" s="1"/>
  <c r="BE39" i="34"/>
  <c r="BC20" i="45" s="1"/>
  <c r="BE4" i="36"/>
  <c r="BH69" i="36"/>
  <c r="BH4" i="36"/>
  <c r="BH7" i="34"/>
  <c r="BF5" i="45" s="1"/>
  <c r="BH39" i="34"/>
  <c r="BF20" i="45" s="1"/>
  <c r="AY7" i="34"/>
  <c r="AW5" i="45" s="1"/>
  <c r="BB4" i="36"/>
  <c r="BB69" i="36"/>
  <c r="BB175" i="34"/>
  <c r="AZ54" i="45" s="1"/>
  <c r="BB21" i="34"/>
  <c r="AZ12" i="45" s="1"/>
  <c r="BB39" i="34"/>
  <c r="AZ20" i="45" s="1"/>
  <c r="BE7" i="34"/>
  <c r="BC5" i="45" s="1"/>
  <c r="BE53" i="36"/>
  <c r="BM7" i="34"/>
  <c r="BK5" i="45" s="1"/>
  <c r="BM39" i="34"/>
  <c r="BK20" i="45" s="1"/>
  <c r="BM175" i="34"/>
  <c r="BK54" i="45" s="1"/>
  <c r="BM4" i="36"/>
  <c r="AY137" i="34" l="1"/>
  <c r="BC19" i="45"/>
  <c r="BC60" i="45" s="1"/>
  <c r="AE20" i="62"/>
  <c r="AW11" i="45"/>
  <c r="AW59" i="45" s="1"/>
  <c r="Y13" i="62"/>
  <c r="BK19" i="45"/>
  <c r="BK60" i="45" s="1"/>
  <c r="AM20" i="62"/>
  <c r="AZ19" i="45"/>
  <c r="AZ60" i="45" s="1"/>
  <c r="AB20" i="62"/>
  <c r="BC11" i="45"/>
  <c r="BC59" i="45" s="1"/>
  <c r="AE13" i="62"/>
  <c r="BK11" i="45"/>
  <c r="BK59" i="45" s="1"/>
  <c r="AM13" i="62"/>
  <c r="BD4" i="45"/>
  <c r="BD58" i="45" s="1"/>
  <c r="AF7" i="62"/>
  <c r="BH11" i="45"/>
  <c r="BH59" i="45" s="1"/>
  <c r="AJ13" i="62"/>
  <c r="AX4" i="45"/>
  <c r="AX58" i="45" s="1"/>
  <c r="Z7" i="62"/>
  <c r="BE11" i="45"/>
  <c r="BE59" i="45" s="1"/>
  <c r="AG13" i="62"/>
  <c r="AY4" i="45"/>
  <c r="AY58" i="45" s="1"/>
  <c r="AA7" i="62"/>
  <c r="BB19" i="45"/>
  <c r="BB60" i="45" s="1"/>
  <c r="AD20" i="62"/>
  <c r="BJ11" i="45"/>
  <c r="BJ59" i="45" s="1"/>
  <c r="AL13" i="62"/>
  <c r="BL4" i="45"/>
  <c r="BL58" i="45" s="1"/>
  <c r="AN7" i="62"/>
  <c r="BI11" i="45"/>
  <c r="BI59" i="45" s="1"/>
  <c r="AK13" i="62"/>
  <c r="BM4" i="45"/>
  <c r="BM58" i="45" s="1"/>
  <c r="AO7" i="62"/>
  <c r="BN19" i="45"/>
  <c r="BN60" i="45" s="1"/>
  <c r="AP20" i="62"/>
  <c r="BA4" i="45"/>
  <c r="BA58" i="45" s="1"/>
  <c r="AC7" i="62"/>
  <c r="BG4" i="45"/>
  <c r="BG58" i="45" s="1"/>
  <c r="AI7" i="62"/>
  <c r="BG11" i="45"/>
  <c r="BG59" i="45" s="1"/>
  <c r="AI13" i="62"/>
  <c r="BF4" i="45"/>
  <c r="BF58" i="45" s="1"/>
  <c r="AH7" i="62"/>
  <c r="BK4" i="45"/>
  <c r="BK58" i="45" s="1"/>
  <c r="AM7" i="62"/>
  <c r="AZ11" i="45"/>
  <c r="AZ59" i="45" s="1"/>
  <c r="AB13" i="62"/>
  <c r="AW4" i="45"/>
  <c r="AW58" i="45" s="1"/>
  <c r="Y7" i="62"/>
  <c r="BC67" i="45"/>
  <c r="AE41" i="62"/>
  <c r="BD19" i="45"/>
  <c r="BD60" i="45" s="1"/>
  <c r="AF20" i="62"/>
  <c r="BD11" i="45"/>
  <c r="BD59" i="45" s="1"/>
  <c r="AF13" i="62"/>
  <c r="AU4" i="45"/>
  <c r="AU58" i="45" s="1"/>
  <c r="W7" i="62"/>
  <c r="BH19" i="45"/>
  <c r="BH60" i="45" s="1"/>
  <c r="AJ20" i="62"/>
  <c r="AX11" i="45"/>
  <c r="AX59" i="45" s="1"/>
  <c r="Z13" i="62"/>
  <c r="AV4" i="45"/>
  <c r="AV58" i="45" s="1"/>
  <c r="X7" i="62"/>
  <c r="BE4" i="45"/>
  <c r="BE58" i="45" s="1"/>
  <c r="AG7" i="62"/>
  <c r="AY19" i="45"/>
  <c r="AY60" i="45" s="1"/>
  <c r="AA20" i="62"/>
  <c r="AY11" i="45"/>
  <c r="AY59" i="45" s="1"/>
  <c r="AA13" i="62"/>
  <c r="BB4" i="45"/>
  <c r="BB58" i="45" s="1"/>
  <c r="AD7" i="62"/>
  <c r="BN11" i="45"/>
  <c r="BN59" i="45" s="1"/>
  <c r="AP13" i="62"/>
  <c r="BA19" i="45"/>
  <c r="BA60" i="45" s="1"/>
  <c r="AC20" i="62"/>
  <c r="BF19" i="45"/>
  <c r="BF60" i="45" s="1"/>
  <c r="AH20" i="62"/>
  <c r="BF11" i="45"/>
  <c r="BF59" i="45" s="1"/>
  <c r="AH13" i="62"/>
  <c r="BH67" i="45"/>
  <c r="AJ41" i="62"/>
  <c r="AV19" i="45"/>
  <c r="AV60" i="45" s="1"/>
  <c r="X20" i="62"/>
  <c r="BE19" i="45"/>
  <c r="BE60" i="45" s="1"/>
  <c r="AG20" i="62"/>
  <c r="BB11" i="45"/>
  <c r="BB59" i="45" s="1"/>
  <c r="AD13" i="62"/>
  <c r="BL11" i="45"/>
  <c r="BL59" i="45" s="1"/>
  <c r="AN13" i="62"/>
  <c r="BI4" i="45"/>
  <c r="BI58" i="45" s="1"/>
  <c r="AK7" i="62"/>
  <c r="BG19" i="45"/>
  <c r="BG60" i="45" s="1"/>
  <c r="AI20" i="62"/>
  <c r="BC4" i="45"/>
  <c r="BC58" i="45" s="1"/>
  <c r="AE7" i="62"/>
  <c r="BF67" i="45"/>
  <c r="AH41" i="62"/>
  <c r="AU19" i="45"/>
  <c r="AU60" i="45" s="1"/>
  <c r="W20" i="62"/>
  <c r="AU11" i="45"/>
  <c r="AU59" i="45" s="1"/>
  <c r="W13" i="62"/>
  <c r="BH4" i="45"/>
  <c r="BH58" i="45" s="1"/>
  <c r="AJ7" i="62"/>
  <c r="AX19" i="45"/>
  <c r="AX60" i="45" s="1"/>
  <c r="Z20" i="62"/>
  <c r="AV11" i="45"/>
  <c r="AV59" i="45" s="1"/>
  <c r="X13" i="62"/>
  <c r="BJ19" i="45"/>
  <c r="BJ60" i="45" s="1"/>
  <c r="AL20" i="62"/>
  <c r="BJ4" i="45"/>
  <c r="BJ58" i="45" s="1"/>
  <c r="AL7" i="62"/>
  <c r="BL19" i="45"/>
  <c r="BL60" i="45" s="1"/>
  <c r="AN20" i="62"/>
  <c r="BI19" i="45"/>
  <c r="BI60" i="45" s="1"/>
  <c r="AK20" i="62"/>
  <c r="BM11" i="45"/>
  <c r="BM59" i="45" s="1"/>
  <c r="AO13" i="62"/>
  <c r="BM19" i="45"/>
  <c r="BM60" i="45" s="1"/>
  <c r="AO20" i="62"/>
  <c r="BN4" i="45"/>
  <c r="BN58" i="45" s="1"/>
  <c r="AP7" i="62"/>
  <c r="BA11" i="45"/>
  <c r="BA59" i="45" s="1"/>
  <c r="AC13" i="62"/>
  <c r="BG52" i="45"/>
  <c r="BE110" i="34"/>
  <c r="BC47" i="45" s="1"/>
  <c r="BE142" i="34"/>
  <c r="AY94" i="34"/>
  <c r="AW45" i="45" s="1"/>
  <c r="AX90" i="34"/>
  <c r="AV46" i="45" s="1"/>
  <c r="AX143" i="34"/>
  <c r="BE52" i="45"/>
  <c r="BB52" i="45"/>
  <c r="BJ137" i="34"/>
  <c r="AV52" i="45"/>
  <c r="BJ141" i="34"/>
  <c r="BI52" i="45"/>
  <c r="AU52" i="45"/>
  <c r="AY52" i="45"/>
  <c r="BJ52" i="45"/>
  <c r="BN52" i="45"/>
  <c r="BD52" i="45"/>
  <c r="AW52" i="45"/>
  <c r="BM52" i="45"/>
  <c r="BA52" i="45"/>
  <c r="AX52" i="45"/>
  <c r="BB142" i="34"/>
  <c r="BB138" i="34"/>
  <c r="BB110" i="34"/>
  <c r="AZ47" i="45" s="1"/>
  <c r="BK52" i="45"/>
  <c r="BF137" i="34"/>
  <c r="BF94" i="34"/>
  <c r="BD45" i="45" s="1"/>
  <c r="BF141" i="34"/>
  <c r="AW142" i="34"/>
  <c r="AU51" i="45" s="1"/>
  <c r="AW138" i="34"/>
  <c r="AU50" i="45" s="1"/>
  <c r="AW110" i="34"/>
  <c r="AU47" i="45" s="1"/>
  <c r="AU43" i="45" s="1"/>
  <c r="BJ110" i="34"/>
  <c r="BH47" i="45" s="1"/>
  <c r="BJ138" i="34"/>
  <c r="BJ142" i="34"/>
  <c r="BA138" i="34"/>
  <c r="AY50" i="45" s="1"/>
  <c r="BA142" i="34"/>
  <c r="BA110" i="34"/>
  <c r="AY47" i="45" s="1"/>
  <c r="BD138" i="34"/>
  <c r="BD142" i="34"/>
  <c r="BD110" i="34"/>
  <c r="BB47" i="45" s="1"/>
  <c r="BL52" i="45"/>
  <c r="BK142" i="34"/>
  <c r="BK138" i="34"/>
  <c r="BK110" i="34"/>
  <c r="BI47" i="45" s="1"/>
  <c r="BC141" i="34"/>
  <c r="BC137" i="34"/>
  <c r="BC94" i="34"/>
  <c r="BA45" i="45" s="1"/>
  <c r="BI138" i="34"/>
  <c r="BG50" i="45" s="1"/>
  <c r="BI142" i="34"/>
  <c r="BI110" i="34"/>
  <c r="BG47" i="45" s="1"/>
  <c r="BH138" i="34"/>
  <c r="BH142" i="34"/>
  <c r="BH110" i="34"/>
  <c r="BF47" i="45" s="1"/>
  <c r="BM142" i="34"/>
  <c r="BM138" i="34"/>
  <c r="BK50" i="45" s="1"/>
  <c r="BM110" i="34"/>
  <c r="BK47" i="45" s="1"/>
  <c r="AY142" i="34"/>
  <c r="AY110" i="34"/>
  <c r="AW47" i="45" s="1"/>
  <c r="AY138" i="34"/>
  <c r="AW50" i="45" s="1"/>
  <c r="AZ52" i="45"/>
  <c r="BB137" i="34"/>
  <c r="BB141" i="34"/>
  <c r="BB94" i="34"/>
  <c r="AZ45" i="45" s="1"/>
  <c r="BF142" i="34"/>
  <c r="BF110" i="34"/>
  <c r="BD47" i="45" s="1"/>
  <c r="BF138" i="34"/>
  <c r="AZ94" i="34"/>
  <c r="AX45" i="45" s="1"/>
  <c r="AZ137" i="34"/>
  <c r="AZ141" i="34"/>
  <c r="AX137" i="34"/>
  <c r="AX94" i="34"/>
  <c r="AV45" i="45" s="1"/>
  <c r="AX141" i="34"/>
  <c r="BK141" i="34"/>
  <c r="BK94" i="34"/>
  <c r="BI45" i="45" s="1"/>
  <c r="BK137" i="34"/>
  <c r="BN138" i="34"/>
  <c r="BN142" i="34"/>
  <c r="BN110" i="34"/>
  <c r="BL47" i="45" s="1"/>
  <c r="BO142" i="34"/>
  <c r="BO110" i="34"/>
  <c r="BM47" i="45" s="1"/>
  <c r="BO138" i="34"/>
  <c r="BP142" i="34"/>
  <c r="BP110" i="34"/>
  <c r="BN47" i="45" s="1"/>
  <c r="BP138" i="34"/>
  <c r="BO141" i="34"/>
  <c r="BO94" i="34"/>
  <c r="BM45" i="45" s="1"/>
  <c r="BO137" i="34"/>
  <c r="BL110" i="34"/>
  <c r="BJ47" i="45" s="1"/>
  <c r="BL138" i="34"/>
  <c r="BJ50" i="45" s="1"/>
  <c r="BL142" i="34"/>
  <c r="BC110" i="34"/>
  <c r="BA47" i="45" s="1"/>
  <c r="BC138" i="34"/>
  <c r="BC142" i="34"/>
  <c r="BE137" i="34"/>
  <c r="BC50" i="45" s="1"/>
  <c r="BE94" i="34"/>
  <c r="BC45" i="45" s="1"/>
  <c r="BE141" i="34"/>
  <c r="BH141" i="34"/>
  <c r="BH137" i="34"/>
  <c r="BH94" i="34"/>
  <c r="BF45" i="45" s="1"/>
  <c r="BP141" i="34"/>
  <c r="BP94" i="34"/>
  <c r="BN45" i="45" s="1"/>
  <c r="BP137" i="34"/>
  <c r="BD137" i="34"/>
  <c r="BD141" i="34"/>
  <c r="BD94" i="34"/>
  <c r="BB45" i="45" s="1"/>
  <c r="AZ142" i="34"/>
  <c r="AZ138" i="34"/>
  <c r="AZ110" i="34"/>
  <c r="AX47" i="45" s="1"/>
  <c r="AX142" i="34"/>
  <c r="AX138" i="34"/>
  <c r="AX110" i="34"/>
  <c r="AV47" i="45" s="1"/>
  <c r="BG142" i="34"/>
  <c r="BG110" i="34"/>
  <c r="BE47" i="45" s="1"/>
  <c r="BG138" i="34"/>
  <c r="BE50" i="45" s="1"/>
  <c r="BN141" i="34"/>
  <c r="BN137" i="34"/>
  <c r="BN94" i="34"/>
  <c r="BL45" i="45" s="1"/>
  <c r="BC71" i="45" l="1"/>
  <c r="AW71" i="45"/>
  <c r="BN71" i="45"/>
  <c r="BK71" i="45"/>
  <c r="BH71" i="45"/>
  <c r="BE71" i="45"/>
  <c r="BM71" i="45"/>
  <c r="BL71" i="45"/>
  <c r="BJ71" i="45"/>
  <c r="BI71" i="45"/>
  <c r="AZ71" i="45"/>
  <c r="BF71" i="45"/>
  <c r="BG71" i="45"/>
  <c r="BD71" i="45"/>
  <c r="AU71" i="45"/>
  <c r="BA71" i="45"/>
  <c r="BB71" i="45"/>
  <c r="AV71" i="45"/>
  <c r="AY71" i="45"/>
  <c r="AX71" i="45"/>
  <c r="BL67" i="45"/>
  <c r="AN41" i="62"/>
  <c r="BK67" i="45"/>
  <c r="AM41" i="62"/>
  <c r="AX67" i="45"/>
  <c r="Z41" i="62"/>
  <c r="BD67" i="45"/>
  <c r="AF41" i="62"/>
  <c r="AU67" i="45"/>
  <c r="W41" i="62"/>
  <c r="AZ67" i="45"/>
  <c r="AB41" i="62"/>
  <c r="BA67" i="45"/>
  <c r="AC41" i="62"/>
  <c r="BN67" i="45"/>
  <c r="AP41" i="62"/>
  <c r="BI67" i="45"/>
  <c r="AK41" i="62"/>
  <c r="BB67" i="45"/>
  <c r="AD41" i="62"/>
  <c r="BG67" i="45"/>
  <c r="AI41" i="62"/>
  <c r="BM67" i="45"/>
  <c r="AO41" i="62"/>
  <c r="BJ67" i="45"/>
  <c r="AL41" i="62"/>
  <c r="BE67" i="45"/>
  <c r="AG41" i="62"/>
  <c r="AW67" i="45"/>
  <c r="Y41" i="62"/>
  <c r="AY67" i="45"/>
  <c r="AA41" i="62"/>
  <c r="AV67" i="45"/>
  <c r="X41" i="62"/>
  <c r="AU65" i="45"/>
  <c r="W39" i="62"/>
  <c r="BH50" i="45"/>
  <c r="AY90" i="34"/>
  <c r="AW46" i="45" s="1"/>
  <c r="AW43" i="45" s="1"/>
  <c r="AY143" i="34"/>
  <c r="AW51" i="45" s="1"/>
  <c r="AW49" i="45" s="1"/>
  <c r="BF50" i="45"/>
  <c r="BI50" i="45"/>
  <c r="BL50" i="45"/>
  <c r="BN50" i="45"/>
  <c r="BM50" i="45"/>
  <c r="BB50" i="45"/>
  <c r="AZ50" i="45"/>
  <c r="AU49" i="45"/>
  <c r="AV43" i="45"/>
  <c r="AV50" i="45"/>
  <c r="BA50" i="45"/>
  <c r="AV51" i="45"/>
  <c r="AX50" i="45"/>
  <c r="BD50" i="45"/>
  <c r="AV65" i="45" l="1"/>
  <c r="X39" i="62"/>
  <c r="AW66" i="45"/>
  <c r="Y40" i="62"/>
  <c r="AU66" i="45"/>
  <c r="W40" i="62"/>
  <c r="AW65" i="45"/>
  <c r="Y39" i="62"/>
  <c r="AZ90" i="34"/>
  <c r="AX46" i="45" s="1"/>
  <c r="AX43" i="45" s="1"/>
  <c r="AZ143" i="34"/>
  <c r="AX51" i="45" s="1"/>
  <c r="AX49" i="45" s="1"/>
  <c r="AV49" i="45"/>
  <c r="AV66" i="45" l="1"/>
  <c r="X40" i="62"/>
  <c r="AX66" i="45"/>
  <c r="Z40" i="62"/>
  <c r="AX65" i="45"/>
  <c r="Z39" i="62"/>
  <c r="BA143" i="34"/>
  <c r="AY51" i="45" s="1"/>
  <c r="AY49" i="45" s="1"/>
  <c r="BA90" i="34"/>
  <c r="AY46" i="45" s="1"/>
  <c r="AY43" i="45" s="1"/>
  <c r="AY66" i="45" l="1"/>
  <c r="AA40" i="62"/>
  <c r="AY65" i="45"/>
  <c r="AA39" i="62"/>
  <c r="BB143" i="34"/>
  <c r="AZ51" i="45" s="1"/>
  <c r="AZ49" i="45" s="1"/>
  <c r="BB90" i="34"/>
  <c r="AZ46" i="45" s="1"/>
  <c r="AZ43" i="45" s="1"/>
  <c r="AZ65" i="45" l="1"/>
  <c r="AB39" i="62"/>
  <c r="AZ66" i="45"/>
  <c r="AB40" i="62"/>
  <c r="BC143" i="34"/>
  <c r="BA51" i="45" s="1"/>
  <c r="BA49" i="45" s="1"/>
  <c r="BC90" i="34"/>
  <c r="BA46" i="45" s="1"/>
  <c r="BA43" i="45" s="1"/>
  <c r="BA65" i="45" l="1"/>
  <c r="AC39" i="62"/>
  <c r="BA66" i="45"/>
  <c r="AC40" i="62"/>
  <c r="BD90" i="34"/>
  <c r="BB46" i="45" s="1"/>
  <c r="BB43" i="45" s="1"/>
  <c r="BD143" i="34"/>
  <c r="BB51" i="45" s="1"/>
  <c r="BB49" i="45" s="1"/>
  <c r="BB66" i="45" l="1"/>
  <c r="AD40" i="62"/>
  <c r="BB65" i="45"/>
  <c r="AD39" i="62"/>
  <c r="BE90" i="34"/>
  <c r="BC46" i="45" s="1"/>
  <c r="BC43" i="45" s="1"/>
  <c r="BE143" i="34"/>
  <c r="BC51" i="45" s="1"/>
  <c r="BC49" i="45" s="1"/>
  <c r="BC66" i="45" l="1"/>
  <c r="AE40" i="62"/>
  <c r="BC65" i="45"/>
  <c r="AE39" i="62"/>
  <c r="BF143" i="34"/>
  <c r="BD51" i="45" s="1"/>
  <c r="BD49" i="45" s="1"/>
  <c r="BF90" i="34"/>
  <c r="BD46" i="45" s="1"/>
  <c r="BD43" i="45" s="1"/>
  <c r="BD65" i="45" l="1"/>
  <c r="AF39" i="62"/>
  <c r="BD66" i="45"/>
  <c r="AF40" i="62"/>
  <c r="BG143" i="34"/>
  <c r="BE51" i="45" s="1"/>
  <c r="BE49" i="45" s="1"/>
  <c r="BG90" i="34"/>
  <c r="BE46" i="45" s="1"/>
  <c r="BE43" i="45" s="1"/>
  <c r="BE65" i="45" l="1"/>
  <c r="AG39" i="62"/>
  <c r="BE66" i="45"/>
  <c r="AG40" i="62"/>
  <c r="BH90" i="34"/>
  <c r="BF46" i="45" s="1"/>
  <c r="BF43" i="45" s="1"/>
  <c r="BH143" i="34"/>
  <c r="BF51" i="45" s="1"/>
  <c r="BF49" i="45" s="1"/>
  <c r="BF66" i="45" l="1"/>
  <c r="AH40" i="62"/>
  <c r="BF65" i="45"/>
  <c r="AH39" i="62"/>
  <c r="BI143" i="34"/>
  <c r="BG51" i="45" s="1"/>
  <c r="BG49" i="45" s="1"/>
  <c r="BI90" i="34"/>
  <c r="BG46" i="45" s="1"/>
  <c r="BG43" i="45" s="1"/>
  <c r="BG66" i="45" l="1"/>
  <c r="AI40" i="62"/>
  <c r="BG65" i="45"/>
  <c r="AI39" i="62"/>
  <c r="BJ143" i="34"/>
  <c r="BH51" i="45" s="1"/>
  <c r="BH49" i="45" s="1"/>
  <c r="BJ90" i="34"/>
  <c r="BH46" i="45" s="1"/>
  <c r="BH43" i="45" s="1"/>
  <c r="BH65" i="45" l="1"/>
  <c r="AJ39" i="62"/>
  <c r="BH66" i="45"/>
  <c r="AJ40" i="62"/>
  <c r="BK143" i="34"/>
  <c r="BI51" i="45" s="1"/>
  <c r="BI49" i="45" s="1"/>
  <c r="BK90" i="34"/>
  <c r="BI46" i="45" s="1"/>
  <c r="BI43" i="45" s="1"/>
  <c r="BI66" i="45" l="1"/>
  <c r="AK40" i="62"/>
  <c r="BI65" i="45"/>
  <c r="AK39" i="62"/>
  <c r="BL90" i="34"/>
  <c r="BJ46" i="45" s="1"/>
  <c r="BJ43" i="45" s="1"/>
  <c r="BL143" i="34"/>
  <c r="BJ51" i="45" s="1"/>
  <c r="BJ49" i="45" s="1"/>
  <c r="BJ66" i="45" l="1"/>
  <c r="AL40" i="62"/>
  <c r="BJ65" i="45"/>
  <c r="AL39" i="62"/>
  <c r="BM90" i="34"/>
  <c r="BK46" i="45" s="1"/>
  <c r="BK43" i="45" s="1"/>
  <c r="BM143" i="34"/>
  <c r="BK51" i="45" s="1"/>
  <c r="BK49" i="45" s="1"/>
  <c r="BK66" i="45" l="1"/>
  <c r="AM40" i="62"/>
  <c r="BK65" i="45"/>
  <c r="AM39" i="62"/>
  <c r="BN143" i="34"/>
  <c r="BL51" i="45" s="1"/>
  <c r="BL49" i="45" s="1"/>
  <c r="BN90" i="34"/>
  <c r="BL46" i="45" s="1"/>
  <c r="BL43" i="45" s="1"/>
  <c r="BL65" i="45" l="1"/>
  <c r="AN39" i="62"/>
  <c r="BL66" i="45"/>
  <c r="AN40" i="62"/>
  <c r="BO143" i="34"/>
  <c r="BM51" i="45" s="1"/>
  <c r="BM49" i="45" s="1"/>
  <c r="BO90" i="34"/>
  <c r="BM46" i="45" s="1"/>
  <c r="BM43" i="45" s="1"/>
  <c r="BP90" i="34"/>
  <c r="BN46" i="45" s="1"/>
  <c r="BN43" i="45" s="1"/>
  <c r="BP143" i="34"/>
  <c r="BN51" i="45" s="1"/>
  <c r="BN49" i="45" s="1"/>
  <c r="BN65" i="45" l="1"/>
  <c r="AP39" i="62"/>
  <c r="BM65" i="45"/>
  <c r="AO39" i="62"/>
  <c r="BN66" i="45"/>
  <c r="AP40" i="62"/>
  <c r="BM66" i="45"/>
  <c r="AO40" i="62"/>
  <c r="AD123" i="34" l="1"/>
  <c r="AB48" i="45" s="1"/>
  <c r="AD144" i="34" l="1"/>
  <c r="AB43" i="45" l="1"/>
  <c r="AB51" i="45"/>
  <c r="AB49" i="45" s="1"/>
  <c r="AB66" i="45" l="1"/>
  <c r="D40" i="62"/>
  <c r="D39" i="62"/>
  <c r="AB65" i="45"/>
  <c r="BL82" i="34" l="1"/>
  <c r="BJ38" i="45" s="1"/>
  <c r="AL34" i="62" s="1"/>
  <c r="BL66" i="34"/>
  <c r="BJ31" i="45" s="1"/>
  <c r="AL28" i="62" s="1"/>
  <c r="AI56" i="34"/>
  <c r="AI72" i="34"/>
  <c r="AG60" i="34"/>
  <c r="AG76" i="34"/>
  <c r="AG64" i="34"/>
  <c r="AG80" i="34"/>
  <c r="AI61" i="34"/>
  <c r="AI77" i="34"/>
  <c r="AG55" i="34"/>
  <c r="AG71" i="34"/>
  <c r="AH79" i="34"/>
  <c r="AH63" i="34"/>
  <c r="AI59" i="34"/>
  <c r="AI75" i="34"/>
  <c r="AG85" i="34"/>
  <c r="AE40" i="45" s="1"/>
  <c r="G36" i="62" s="1"/>
  <c r="AG69" i="34"/>
  <c r="AE33" i="45" s="1"/>
  <c r="G30" i="62" s="1"/>
  <c r="AI74" i="34"/>
  <c r="AI58" i="34"/>
  <c r="BM82" i="34"/>
  <c r="BK38" i="45" s="1"/>
  <c r="AM34" i="62" s="1"/>
  <c r="BM66" i="34"/>
  <c r="BK31" i="45" s="1"/>
  <c r="AM28" i="62" s="1"/>
  <c r="AW82" i="34"/>
  <c r="AU38" i="45" s="1"/>
  <c r="W34" i="62" s="1"/>
  <c r="AW66" i="34"/>
  <c r="AU31" i="45" s="1"/>
  <c r="W28" i="62" s="1"/>
  <c r="BN82" i="34"/>
  <c r="BL38" i="45" s="1"/>
  <c r="AN34" i="62" s="1"/>
  <c r="BN66" i="34"/>
  <c r="BL31" i="45" s="1"/>
  <c r="AN28" i="62" s="1"/>
  <c r="AK82" i="34"/>
  <c r="AI38" i="45" s="1"/>
  <c r="K34" i="62" s="1"/>
  <c r="AK66" i="34"/>
  <c r="AI31" i="45" s="1"/>
  <c r="K28" i="62" s="1"/>
  <c r="AD79" i="34"/>
  <c r="AD63" i="34"/>
  <c r="AG56" i="34"/>
  <c r="AG72" i="34"/>
  <c r="AE67" i="34"/>
  <c r="AE83" i="34"/>
  <c r="AH64" i="34"/>
  <c r="AH80" i="34"/>
  <c r="AH61" i="34"/>
  <c r="AH77" i="34"/>
  <c r="AH67" i="34"/>
  <c r="AH83" i="34"/>
  <c r="AD61" i="34"/>
  <c r="AD77" i="34"/>
  <c r="AE58" i="34"/>
  <c r="AE74" i="34"/>
  <c r="AP66" i="34"/>
  <c r="AN31" i="45" s="1"/>
  <c r="P28" i="62" s="1"/>
  <c r="AP82" i="34"/>
  <c r="AN38" i="45" s="1"/>
  <c r="P34" i="62" s="1"/>
  <c r="AZ82" i="34"/>
  <c r="AX38" i="45" s="1"/>
  <c r="Z34" i="62" s="1"/>
  <c r="AZ66" i="34"/>
  <c r="AX31" i="45" s="1"/>
  <c r="Z28" i="62" s="1"/>
  <c r="AR82" i="34"/>
  <c r="AP38" i="45" s="1"/>
  <c r="R34" i="62" s="1"/>
  <c r="AR66" i="34"/>
  <c r="AP31" i="45" s="1"/>
  <c r="R28" i="62" s="1"/>
  <c r="BC82" i="34"/>
  <c r="BA38" i="45" s="1"/>
  <c r="AC34" i="62" s="1"/>
  <c r="BC66" i="34"/>
  <c r="BA31" i="45" s="1"/>
  <c r="AC28" i="62" s="1"/>
  <c r="AI78" i="34"/>
  <c r="AI62" i="34"/>
  <c r="AD56" i="34"/>
  <c r="AD72" i="34"/>
  <c r="AD80" i="34"/>
  <c r="AD64" i="34"/>
  <c r="AD54" i="34"/>
  <c r="AD70" i="34"/>
  <c r="AI79" i="34"/>
  <c r="AI63" i="34"/>
  <c r="AD59" i="34"/>
  <c r="AD75" i="34"/>
  <c r="AD68" i="34"/>
  <c r="AD84" i="34"/>
  <c r="AG75" i="34"/>
  <c r="AG59" i="34"/>
  <c r="AH81" i="34"/>
  <c r="AH65" i="34"/>
  <c r="AE85" i="34"/>
  <c r="AC40" i="45" s="1"/>
  <c r="E36" i="62" s="1"/>
  <c r="AE69" i="34"/>
  <c r="AC33" i="45" s="1"/>
  <c r="E30" i="62" s="1"/>
  <c r="BA66" i="34"/>
  <c r="AY31" i="45" s="1"/>
  <c r="AA28" i="62" s="1"/>
  <c r="BA82" i="34"/>
  <c r="AY38" i="45" s="1"/>
  <c r="AA34" i="62" s="1"/>
  <c r="AU66" i="34"/>
  <c r="AS31" i="45" s="1"/>
  <c r="U28" i="62" s="1"/>
  <c r="AU82" i="34"/>
  <c r="AS38" i="45" s="1"/>
  <c r="U34" i="62" s="1"/>
  <c r="BJ82" i="34"/>
  <c r="BH38" i="45" s="1"/>
  <c r="AJ34" i="62" s="1"/>
  <c r="BJ66" i="34"/>
  <c r="BH31" i="45" s="1"/>
  <c r="AJ28" i="62" s="1"/>
  <c r="AI54" i="34"/>
  <c r="AI70" i="34"/>
  <c r="AD58" i="34"/>
  <c r="AD74" i="34"/>
  <c r="AE76" i="34"/>
  <c r="AE60" i="34"/>
  <c r="AI55" i="34"/>
  <c r="AI71" i="34"/>
  <c r="AI83" i="34"/>
  <c r="AI67" i="34"/>
  <c r="AG57" i="34"/>
  <c r="AG73" i="34"/>
  <c r="AE72" i="34"/>
  <c r="AE56" i="34"/>
  <c r="AI81" i="34"/>
  <c r="AI65" i="34"/>
  <c r="AD78" i="34"/>
  <c r="AD62" i="34"/>
  <c r="AE59" i="34"/>
  <c r="AE75" i="34"/>
  <c r="AE62" i="34"/>
  <c r="AE78" i="34"/>
  <c r="AD69" i="34"/>
  <c r="AB33" i="45" s="1"/>
  <c r="D30" i="62" s="1"/>
  <c r="AD85" i="34"/>
  <c r="AB40" i="45" s="1"/>
  <c r="D36" i="62" s="1"/>
  <c r="AV82" i="34"/>
  <c r="AT38" i="45" s="1"/>
  <c r="V34" i="62" s="1"/>
  <c r="AV66" i="34"/>
  <c r="AT31" i="45" s="1"/>
  <c r="V28" i="62" s="1"/>
  <c r="BG82" i="34"/>
  <c r="BE38" i="45" s="1"/>
  <c r="AG34" i="62" s="1"/>
  <c r="BG66" i="34"/>
  <c r="BE31" i="45" s="1"/>
  <c r="AG28" i="62" s="1"/>
  <c r="AN66" i="34"/>
  <c r="AL31" i="45" s="1"/>
  <c r="N28" i="62" s="1"/>
  <c r="AN82" i="34"/>
  <c r="AL38" i="45" s="1"/>
  <c r="N34" i="62" s="1"/>
  <c r="BB66" i="34"/>
  <c r="AZ31" i="45" s="1"/>
  <c r="AB28" i="62" s="1"/>
  <c r="BB82" i="34"/>
  <c r="AZ38" i="45" s="1"/>
  <c r="AB34" i="62" s="1"/>
  <c r="AI82" i="34"/>
  <c r="AG38" i="45" s="1"/>
  <c r="I34" i="62" s="1"/>
  <c r="AI66" i="34"/>
  <c r="AG31" i="45" s="1"/>
  <c r="I28" i="62" s="1"/>
  <c r="AH60" i="34"/>
  <c r="AH76" i="34"/>
  <c r="AG70" i="34"/>
  <c r="AG54" i="34"/>
  <c r="AI57" i="34"/>
  <c r="AI73" i="34"/>
  <c r="AD60" i="34"/>
  <c r="AD76" i="34"/>
  <c r="AE55" i="34"/>
  <c r="AE71" i="34"/>
  <c r="AH56" i="34"/>
  <c r="AH72" i="34"/>
  <c r="AI69" i="34"/>
  <c r="AG33" i="45" s="1"/>
  <c r="I30" i="62" s="1"/>
  <c r="AI85" i="34"/>
  <c r="AG40" i="45" s="1"/>
  <c r="I36" i="62" s="1"/>
  <c r="AH58" i="34"/>
  <c r="AH74" i="34"/>
  <c r="AI68" i="34"/>
  <c r="AI84" i="34"/>
  <c r="AG65" i="34"/>
  <c r="AG81" i="34"/>
  <c r="BE82" i="34"/>
  <c r="BC38" i="45" s="1"/>
  <c r="AE34" i="62" s="1"/>
  <c r="BE66" i="34"/>
  <c r="BC31" i="45" s="1"/>
  <c r="AE28" i="62" s="1"/>
  <c r="BP82" i="34"/>
  <c r="BN38" i="45" s="1"/>
  <c r="AP34" i="62" s="1"/>
  <c r="BP66" i="34"/>
  <c r="BN31" i="45" s="1"/>
  <c r="AP28" i="62" s="1"/>
  <c r="AG82" i="34"/>
  <c r="AE38" i="45" s="1"/>
  <c r="G34" i="62" s="1"/>
  <c r="AG66" i="34"/>
  <c r="AE31" i="45" s="1"/>
  <c r="G28" i="62" s="1"/>
  <c r="AG58" i="34"/>
  <c r="AG74" i="34"/>
  <c r="AE61" i="34"/>
  <c r="AE77" i="34"/>
  <c r="AI60" i="34"/>
  <c r="AI76" i="34"/>
  <c r="AD83" i="34"/>
  <c r="AD67" i="34"/>
  <c r="AI64" i="34"/>
  <c r="AI80" i="34"/>
  <c r="AG67" i="34"/>
  <c r="AG83" i="34"/>
  <c r="AH55" i="34"/>
  <c r="AH71" i="34"/>
  <c r="AE81" i="34"/>
  <c r="AE65" i="34"/>
  <c r="AE63" i="34"/>
  <c r="AE79" i="34"/>
  <c r="AJ82" i="34"/>
  <c r="AH38" i="45" s="1"/>
  <c r="J34" i="62" s="1"/>
  <c r="AJ66" i="34"/>
  <c r="AH31" i="45" s="1"/>
  <c r="J28" i="62" s="1"/>
  <c r="BD66" i="34"/>
  <c r="BB31" i="45" s="1"/>
  <c r="AD28" i="62" s="1"/>
  <c r="BD82" i="34"/>
  <c r="BB38" i="45" s="1"/>
  <c r="AD34" i="62" s="1"/>
  <c r="BK82" i="34"/>
  <c r="BI38" i="45" s="1"/>
  <c r="AK34" i="62" s="1"/>
  <c r="BK66" i="34"/>
  <c r="BI31" i="45" s="1"/>
  <c r="AK28" i="62" s="1"/>
  <c r="AG78" i="34"/>
  <c r="AG62" i="34"/>
  <c r="AD66" i="34"/>
  <c r="AB31" i="45" s="1"/>
  <c r="D28" i="62" s="1"/>
  <c r="AD82" i="34"/>
  <c r="AB38" i="45" s="1"/>
  <c r="D34" i="62" s="1"/>
  <c r="AE70" i="34"/>
  <c r="AE54" i="34"/>
  <c r="AH73" i="34"/>
  <c r="AH57" i="34"/>
  <c r="AG61" i="34"/>
  <c r="AG77" i="34"/>
  <c r="AG68" i="34"/>
  <c r="AG84" i="34"/>
  <c r="AH78" i="34"/>
  <c r="AH62" i="34"/>
  <c r="AE84" i="34"/>
  <c r="AE68" i="34"/>
  <c r="AD81" i="34"/>
  <c r="AD65" i="34"/>
  <c r="AO82" i="34"/>
  <c r="AM38" i="45" s="1"/>
  <c r="O34" i="62" s="1"/>
  <c r="AO66" i="34"/>
  <c r="AM31" i="45" s="1"/>
  <c r="O28" i="62" s="1"/>
  <c r="BI82" i="34"/>
  <c r="BG38" i="45" s="1"/>
  <c r="AI34" i="62" s="1"/>
  <c r="BI66" i="34"/>
  <c r="BG31" i="45" s="1"/>
  <c r="AI28" i="62" s="1"/>
  <c r="BF82" i="34"/>
  <c r="BD38" i="45" s="1"/>
  <c r="AF34" i="62" s="1"/>
  <c r="BF66" i="34"/>
  <c r="BD31" i="45" s="1"/>
  <c r="AF28" i="62" s="1"/>
  <c r="AM82" i="34"/>
  <c r="AK38" i="45" s="1"/>
  <c r="M34" i="62" s="1"/>
  <c r="AM66" i="34"/>
  <c r="AK31" i="45" s="1"/>
  <c r="M28" i="62" s="1"/>
  <c r="AQ82" i="34"/>
  <c r="AO38" i="45" s="1"/>
  <c r="Q34" i="62" s="1"/>
  <c r="AQ66" i="34"/>
  <c r="AO31" i="45" s="1"/>
  <c r="Q28" i="62" s="1"/>
  <c r="AE66" i="34"/>
  <c r="AC31" i="45" s="1"/>
  <c r="E28" i="62" s="1"/>
  <c r="AE82" i="34"/>
  <c r="AC38" i="45" s="1"/>
  <c r="E34" i="62" s="1"/>
  <c r="AH85" i="34"/>
  <c r="AF40" i="45" s="1"/>
  <c r="H36" i="62" s="1"/>
  <c r="AH69" i="34"/>
  <c r="AF33" i="45" s="1"/>
  <c r="H30" i="62" s="1"/>
  <c r="AD71" i="34"/>
  <c r="AD55" i="34"/>
  <c r="AE57" i="34"/>
  <c r="AE73" i="34"/>
  <c r="AE80" i="34"/>
  <c r="AE64" i="34"/>
  <c r="AH54" i="34"/>
  <c r="AH70" i="34"/>
  <c r="AD73" i="34"/>
  <c r="AD57" i="34"/>
  <c r="AH68" i="34"/>
  <c r="AH84" i="34"/>
  <c r="AH75" i="34"/>
  <c r="AH59" i="34"/>
  <c r="AG79" i="34"/>
  <c r="AG63" i="34"/>
  <c r="AH82" i="34"/>
  <c r="AF38" i="45" s="1"/>
  <c r="H34" i="62" s="1"/>
  <c r="AH66" i="34"/>
  <c r="AF31" i="45" s="1"/>
  <c r="H28" i="62" s="1"/>
  <c r="BH82" i="34"/>
  <c r="BF38" i="45" s="1"/>
  <c r="AH34" i="62" s="1"/>
  <c r="BH66" i="34"/>
  <c r="BF31" i="45" s="1"/>
  <c r="AH28" i="62" s="1"/>
  <c r="BO82" i="34"/>
  <c r="BM38" i="45" s="1"/>
  <c r="AO34" i="62" s="1"/>
  <c r="BO66" i="34"/>
  <c r="BM31" i="45" s="1"/>
  <c r="AO28" i="62" s="1"/>
  <c r="AY66" i="34"/>
  <c r="AW31" i="45" s="1"/>
  <c r="Y28" i="62" s="1"/>
  <c r="AY82" i="34"/>
  <c r="AW38" i="45" s="1"/>
  <c r="Y34" i="62" s="1"/>
  <c r="AT66" i="34"/>
  <c r="AR31" i="45" s="1"/>
  <c r="T28" i="62" s="1"/>
  <c r="AT82" i="34"/>
  <c r="AR38" i="45" s="1"/>
  <c r="T34" i="62" s="1"/>
  <c r="AX66" i="34"/>
  <c r="AV31" i="45" s="1"/>
  <c r="X28" i="62" s="1"/>
  <c r="AX82" i="34"/>
  <c r="AV38" i="45" s="1"/>
  <c r="X34" i="62" s="1"/>
  <c r="AF65" i="34"/>
  <c r="AF81" i="34"/>
  <c r="AF82" i="34"/>
  <c r="AD38" i="45" s="1"/>
  <c r="F34" i="62" s="1"/>
  <c r="AF66" i="34"/>
  <c r="AD31" i="45" s="1"/>
  <c r="F28" i="62" s="1"/>
  <c r="AF69" i="34"/>
  <c r="AD33" i="45" s="1"/>
  <c r="F30" i="62" s="1"/>
  <c r="AF85" i="34"/>
  <c r="AD40" i="45" s="1"/>
  <c r="F36" i="62" s="1"/>
  <c r="AF71" i="34"/>
  <c r="AF55" i="34"/>
  <c r="AF84" i="34"/>
  <c r="AF68" i="34"/>
  <c r="AF57" i="34"/>
  <c r="AF73" i="34"/>
  <c r="AF77" i="34"/>
  <c r="AF61" i="34"/>
  <c r="AF67" i="34"/>
  <c r="AF83" i="34"/>
  <c r="AF63" i="34"/>
  <c r="AF79" i="34"/>
  <c r="AF59" i="34"/>
  <c r="AF75" i="34"/>
  <c r="AF78" i="34"/>
  <c r="AF62" i="34"/>
  <c r="AF74" i="34"/>
  <c r="AF58" i="34"/>
  <c r="AF70" i="34"/>
  <c r="AF54" i="34"/>
  <c r="AF76" i="34"/>
  <c r="AF60" i="34"/>
  <c r="AF64" i="34"/>
  <c r="AF80" i="34"/>
  <c r="AF72" i="34"/>
  <c r="AF56" i="34"/>
  <c r="AB39" i="45" l="1"/>
  <c r="D35" i="62" s="1"/>
  <c r="AE30" i="45"/>
  <c r="G27" i="62" s="1"/>
  <c r="AB32" i="45"/>
  <c r="D29" i="62" s="1"/>
  <c r="AE35" i="45"/>
  <c r="G31" i="62" s="1"/>
  <c r="AE37" i="45"/>
  <c r="G33" i="62" s="1"/>
  <c r="AF28" i="45"/>
  <c r="AE28" i="45"/>
  <c r="AF35" i="45"/>
  <c r="H31" i="62" s="1"/>
  <c r="AC28" i="45"/>
  <c r="AC37" i="45"/>
  <c r="E33" i="62" s="1"/>
  <c r="AE36" i="45"/>
  <c r="G32" i="62" s="1"/>
  <c r="AF36" i="45"/>
  <c r="H32" i="62" s="1"/>
  <c r="BE85" i="34"/>
  <c r="BC40" i="45" s="1"/>
  <c r="AE36" i="62" s="1"/>
  <c r="BE69" i="34"/>
  <c r="BC33" i="45" s="1"/>
  <c r="AE30" i="62" s="1"/>
  <c r="AW73" i="34"/>
  <c r="AW57" i="34"/>
  <c r="AO83" i="34"/>
  <c r="AO67" i="34"/>
  <c r="BH70" i="34"/>
  <c r="BH54" i="34"/>
  <c r="AU78" i="34"/>
  <c r="AU62" i="34"/>
  <c r="BM83" i="34"/>
  <c r="BM67" i="34"/>
  <c r="BP76" i="34"/>
  <c r="BP60" i="34"/>
  <c r="BL76" i="34"/>
  <c r="BL60" i="34"/>
  <c r="AU76" i="34"/>
  <c r="AU60" i="34"/>
  <c r="BP78" i="34"/>
  <c r="BP62" i="34"/>
  <c r="BB73" i="34"/>
  <c r="BB57" i="34"/>
  <c r="BB56" i="34"/>
  <c r="BB72" i="34"/>
  <c r="AZ70" i="34"/>
  <c r="AZ54" i="34"/>
  <c r="AN80" i="34"/>
  <c r="AN64" i="34"/>
  <c r="AW80" i="34"/>
  <c r="AW64" i="34"/>
  <c r="BO83" i="34"/>
  <c r="BO67" i="34"/>
  <c r="AU83" i="34"/>
  <c r="AU67" i="34"/>
  <c r="BH73" i="34"/>
  <c r="BH57" i="34"/>
  <c r="BE80" i="34"/>
  <c r="BE64" i="34"/>
  <c r="AW72" i="34"/>
  <c r="AW56" i="34"/>
  <c r="BP73" i="34"/>
  <c r="BP57" i="34"/>
  <c r="BE81" i="34"/>
  <c r="BE65" i="34"/>
  <c r="AJ85" i="34"/>
  <c r="AH40" i="45" s="1"/>
  <c r="J36" i="62" s="1"/>
  <c r="AJ69" i="34"/>
  <c r="AH33" i="45" s="1"/>
  <c r="J30" i="62" s="1"/>
  <c r="AX79" i="34"/>
  <c r="AX63" i="34"/>
  <c r="BN85" i="34"/>
  <c r="BL40" i="45" s="1"/>
  <c r="AN36" i="62" s="1"/>
  <c r="BN69" i="34"/>
  <c r="BL33" i="45" s="1"/>
  <c r="AN30" i="62" s="1"/>
  <c r="BB79" i="34"/>
  <c r="BB63" i="34"/>
  <c r="AT85" i="34"/>
  <c r="AR40" i="45" s="1"/>
  <c r="T36" i="62" s="1"/>
  <c r="AT69" i="34"/>
  <c r="AR33" i="45" s="1"/>
  <c r="T30" i="62" s="1"/>
  <c r="AY69" i="34"/>
  <c r="AW33" i="45" s="1"/>
  <c r="Y30" i="62" s="1"/>
  <c r="AY85" i="34"/>
  <c r="AW40" i="45" s="1"/>
  <c r="Y36" i="62" s="1"/>
  <c r="AS79" i="34"/>
  <c r="AS63" i="34"/>
  <c r="AL81" i="34"/>
  <c r="AL65" i="34"/>
  <c r="AQ74" i="34"/>
  <c r="AQ58" i="34"/>
  <c r="AT78" i="34"/>
  <c r="AT62" i="34"/>
  <c r="BM73" i="34"/>
  <c r="BM57" i="34"/>
  <c r="AW81" i="34"/>
  <c r="AW65" i="34"/>
  <c r="BL71" i="34"/>
  <c r="BL55" i="34"/>
  <c r="BJ74" i="34"/>
  <c r="BJ58" i="34"/>
  <c r="BM75" i="34"/>
  <c r="BM59" i="34"/>
  <c r="AS78" i="34"/>
  <c r="AS62" i="34"/>
  <c r="BH75" i="34"/>
  <c r="BH59" i="34"/>
  <c r="BI83" i="34"/>
  <c r="BI67" i="34"/>
  <c r="AT80" i="34"/>
  <c r="AT64" i="34"/>
  <c r="BD76" i="34"/>
  <c r="BD60" i="34"/>
  <c r="BM84" i="34"/>
  <c r="BM68" i="34"/>
  <c r="AS80" i="34"/>
  <c r="AS64" i="34"/>
  <c r="AX81" i="34"/>
  <c r="AX65" i="34"/>
  <c r="BE78" i="34"/>
  <c r="BE62" i="34"/>
  <c r="AK78" i="34"/>
  <c r="AK62" i="34"/>
  <c r="AZ75" i="34"/>
  <c r="AZ59" i="34"/>
  <c r="BB76" i="34"/>
  <c r="BB60" i="34"/>
  <c r="AN71" i="34"/>
  <c r="AN55" i="34"/>
  <c r="BA54" i="34"/>
  <c r="BA70" i="34"/>
  <c r="AN74" i="34"/>
  <c r="AN58" i="34"/>
  <c r="AN84" i="34"/>
  <c r="AN68" i="34"/>
  <c r="AO84" i="34"/>
  <c r="AO68" i="34"/>
  <c r="BH71" i="34"/>
  <c r="BH55" i="34"/>
  <c r="BN72" i="34"/>
  <c r="BN56" i="34"/>
  <c r="AS70" i="34"/>
  <c r="AS54" i="34"/>
  <c r="BH69" i="34"/>
  <c r="BF33" i="45" s="1"/>
  <c r="AH30" i="62" s="1"/>
  <c r="BH85" i="34"/>
  <c r="BF40" i="45" s="1"/>
  <c r="AH36" i="62" s="1"/>
  <c r="AL78" i="34"/>
  <c r="AL62" i="34"/>
  <c r="BA76" i="34"/>
  <c r="BA60" i="34"/>
  <c r="AG39" i="45"/>
  <c r="I35" i="62" s="1"/>
  <c r="AG28" i="45"/>
  <c r="AB28" i="45"/>
  <c r="AC29" i="45"/>
  <c r="E26" i="62" s="1"/>
  <c r="AF32" i="45"/>
  <c r="H29" i="62" s="1"/>
  <c r="AG36" i="45"/>
  <c r="I32" i="62" s="1"/>
  <c r="BK85" i="34"/>
  <c r="BI40" i="45" s="1"/>
  <c r="AK36" i="62" s="1"/>
  <c r="BK69" i="34"/>
  <c r="BI33" i="45" s="1"/>
  <c r="AK30" i="62" s="1"/>
  <c r="AZ80" i="34"/>
  <c r="AZ64" i="34"/>
  <c r="AY55" i="34"/>
  <c r="AY71" i="34"/>
  <c r="AO71" i="34"/>
  <c r="AO55" i="34"/>
  <c r="BI57" i="34"/>
  <c r="BI73" i="34"/>
  <c r="BN71" i="34"/>
  <c r="BN55" i="34"/>
  <c r="AN70" i="34"/>
  <c r="AN54" i="34"/>
  <c r="BG60" i="34"/>
  <c r="BG76" i="34"/>
  <c r="BC73" i="34"/>
  <c r="BC57" i="34"/>
  <c r="AS84" i="34"/>
  <c r="AS68" i="34"/>
  <c r="BM70" i="34"/>
  <c r="BM54" i="34"/>
  <c r="AQ72" i="34"/>
  <c r="AQ56" i="34"/>
  <c r="AR72" i="34"/>
  <c r="AR56" i="34"/>
  <c r="AP83" i="34"/>
  <c r="AP67" i="34"/>
  <c r="AX72" i="34"/>
  <c r="AX56" i="34"/>
  <c r="AT70" i="34"/>
  <c r="AT54" i="34"/>
  <c r="BO81" i="34"/>
  <c r="BO65" i="34"/>
  <c r="AY73" i="34"/>
  <c r="AY57" i="34"/>
  <c r="BJ83" i="34"/>
  <c r="BJ67" i="34"/>
  <c r="BF71" i="34"/>
  <c r="BF55" i="34"/>
  <c r="AJ72" i="34"/>
  <c r="AJ56" i="34"/>
  <c r="AT81" i="34"/>
  <c r="AT65" i="34"/>
  <c r="AN85" i="34"/>
  <c r="AL40" i="45" s="1"/>
  <c r="N36" i="62" s="1"/>
  <c r="AN69" i="34"/>
  <c r="AL33" i="45" s="1"/>
  <c r="N30" i="62" s="1"/>
  <c r="AQ81" i="34"/>
  <c r="AQ65" i="34"/>
  <c r="BF85" i="34"/>
  <c r="BD40" i="45" s="1"/>
  <c r="AF36" i="62" s="1"/>
  <c r="BF69" i="34"/>
  <c r="BD33" i="45" s="1"/>
  <c r="AF30" i="62" s="1"/>
  <c r="AP81" i="34"/>
  <c r="AP65" i="34"/>
  <c r="AW69" i="34"/>
  <c r="AU33" i="45" s="1"/>
  <c r="W30" i="62" s="1"/>
  <c r="AW85" i="34"/>
  <c r="AU40" i="45" s="1"/>
  <c r="W36" i="62" s="1"/>
  <c r="AZ85" i="34"/>
  <c r="AX40" i="45" s="1"/>
  <c r="Z36" i="62" s="1"/>
  <c r="AZ69" i="34"/>
  <c r="AX33" i="45" s="1"/>
  <c r="Z30" i="62" s="1"/>
  <c r="AO79" i="34"/>
  <c r="AO63" i="34"/>
  <c r="AQ79" i="34"/>
  <c r="AQ63" i="34"/>
  <c r="BO59" i="34"/>
  <c r="BO75" i="34"/>
  <c r="AP73" i="34"/>
  <c r="AP57" i="34"/>
  <c r="BG74" i="34"/>
  <c r="BG58" i="34"/>
  <c r="BC80" i="34"/>
  <c r="BC64" i="34"/>
  <c r="AO80" i="34"/>
  <c r="AO64" i="34"/>
  <c r="AN75" i="34"/>
  <c r="AN59" i="34"/>
  <c r="AV74" i="34"/>
  <c r="AV58" i="34"/>
  <c r="AX74" i="34"/>
  <c r="AX58" i="34"/>
  <c r="BD73" i="34"/>
  <c r="BD57" i="34"/>
  <c r="AJ54" i="34"/>
  <c r="AJ70" i="34"/>
  <c r="AX76" i="34"/>
  <c r="AX60" i="34"/>
  <c r="AL80" i="34"/>
  <c r="AL64" i="34"/>
  <c r="BC58" i="34"/>
  <c r="BC74" i="34"/>
  <c r="AY79" i="34"/>
  <c r="AY63" i="34"/>
  <c r="BK75" i="34"/>
  <c r="BK59" i="34"/>
  <c r="BP75" i="34"/>
  <c r="BP59" i="34"/>
  <c r="AJ80" i="34"/>
  <c r="AJ64" i="34"/>
  <c r="AK80" i="34"/>
  <c r="AK64" i="34"/>
  <c r="BM71" i="34"/>
  <c r="BM55" i="34"/>
  <c r="AW62" i="34"/>
  <c r="AW78" i="34"/>
  <c r="AY78" i="34"/>
  <c r="AY62" i="34"/>
  <c r="AO62" i="34"/>
  <c r="AO78" i="34"/>
  <c r="BA75" i="34"/>
  <c r="BA59" i="34"/>
  <c r="AW83" i="34"/>
  <c r="AW67" i="34"/>
  <c r="BL85" i="34"/>
  <c r="BJ40" i="45" s="1"/>
  <c r="AL36" i="62" s="1"/>
  <c r="BL69" i="34"/>
  <c r="BJ33" i="45" s="1"/>
  <c r="AL30" i="62" s="1"/>
  <c r="BB80" i="34"/>
  <c r="BB64" i="34"/>
  <c r="AV75" i="34"/>
  <c r="AV59" i="34"/>
  <c r="AV79" i="34"/>
  <c r="AV63" i="34"/>
  <c r="BH56" i="34"/>
  <c r="BH72" i="34"/>
  <c r="BC72" i="34"/>
  <c r="BC56" i="34"/>
  <c r="AK76" i="34"/>
  <c r="AK60" i="34"/>
  <c r="AX78" i="34"/>
  <c r="AX62" i="34"/>
  <c r="BF76" i="34"/>
  <c r="BF60" i="34"/>
  <c r="BN83" i="34"/>
  <c r="BN67" i="34"/>
  <c r="BM60" i="34"/>
  <c r="BM76" i="34"/>
  <c r="AO76" i="34"/>
  <c r="AO60" i="34"/>
  <c r="AY75" i="34"/>
  <c r="AY59" i="34"/>
  <c r="AK71" i="34"/>
  <c r="AK55" i="34"/>
  <c r="BI72" i="34"/>
  <c r="BI56" i="34"/>
  <c r="AW76" i="34"/>
  <c r="AW60" i="34"/>
  <c r="AR83" i="34"/>
  <c r="AR67" i="34"/>
  <c r="AK70" i="34"/>
  <c r="AK54" i="34"/>
  <c r="AT83" i="34"/>
  <c r="AT67" i="34"/>
  <c r="BG80" i="34"/>
  <c r="BG64" i="34"/>
  <c r="BJ73" i="34"/>
  <c r="BJ57" i="34"/>
  <c r="AO73" i="34"/>
  <c r="AO57" i="34"/>
  <c r="BP54" i="34"/>
  <c r="BP70" i="34"/>
  <c r="BG54" i="34"/>
  <c r="BG70" i="34"/>
  <c r="BI81" i="34"/>
  <c r="BI65" i="34"/>
  <c r="BI85" i="34"/>
  <c r="BG40" i="45" s="1"/>
  <c r="AI36" i="62" s="1"/>
  <c r="BI69" i="34"/>
  <c r="BG33" i="45" s="1"/>
  <c r="AI30" i="62" s="1"/>
  <c r="BF81" i="34"/>
  <c r="BF65" i="34"/>
  <c r="AK85" i="34"/>
  <c r="AI40" i="45" s="1"/>
  <c r="K36" i="62" s="1"/>
  <c r="AK69" i="34"/>
  <c r="AI33" i="45" s="1"/>
  <c r="K30" i="62" s="1"/>
  <c r="BH79" i="34"/>
  <c r="BH63" i="34"/>
  <c r="BH81" i="34"/>
  <c r="BH65" i="34"/>
  <c r="AX85" i="34"/>
  <c r="AV40" i="45" s="1"/>
  <c r="X36" i="62" s="1"/>
  <c r="AX69" i="34"/>
  <c r="AV33" i="45" s="1"/>
  <c r="X30" i="62" s="1"/>
  <c r="BE79" i="34"/>
  <c r="BC37" i="45" s="1"/>
  <c r="AE33" i="62" s="1"/>
  <c r="BE63" i="34"/>
  <c r="BK81" i="34"/>
  <c r="BK65" i="34"/>
  <c r="BL74" i="34"/>
  <c r="BL58" i="34"/>
  <c r="AR68" i="34"/>
  <c r="AR84" i="34"/>
  <c r="BI54" i="34"/>
  <c r="BI70" i="34"/>
  <c r="AU55" i="34"/>
  <c r="AU71" i="34"/>
  <c r="BC59" i="34"/>
  <c r="BC75" i="34"/>
  <c r="BJ81" i="34"/>
  <c r="BJ65" i="34"/>
  <c r="AK59" i="34"/>
  <c r="AK75" i="34"/>
  <c r="BO74" i="34"/>
  <c r="BO58" i="34"/>
  <c r="BF59" i="34"/>
  <c r="BF75" i="34"/>
  <c r="AX83" i="34"/>
  <c r="AX67" i="34"/>
  <c r="AN81" i="34"/>
  <c r="AN65" i="34"/>
  <c r="AK84" i="34"/>
  <c r="AK68" i="34"/>
  <c r="AU74" i="34"/>
  <c r="AU58" i="34"/>
  <c r="AU84" i="34"/>
  <c r="AU68" i="34"/>
  <c r="AY74" i="34"/>
  <c r="AY58" i="34"/>
  <c r="AT84" i="34"/>
  <c r="AT68" i="34"/>
  <c r="BM72" i="34"/>
  <c r="BM56" i="34"/>
  <c r="BC70" i="34"/>
  <c r="BC54" i="34"/>
  <c r="AM70" i="34"/>
  <c r="AM54" i="34"/>
  <c r="BK83" i="34"/>
  <c r="BK67" i="34"/>
  <c r="AS75" i="34"/>
  <c r="AS59" i="34"/>
  <c r="BH84" i="34"/>
  <c r="BH68" i="34"/>
  <c r="AN78" i="34"/>
  <c r="AN62" i="34"/>
  <c r="BB55" i="34"/>
  <c r="BB71" i="34"/>
  <c r="BB83" i="34"/>
  <c r="BB67" i="34"/>
  <c r="AN72" i="34"/>
  <c r="AN56" i="34"/>
  <c r="BI68" i="34"/>
  <c r="BI84" i="34"/>
  <c r="BO76" i="34"/>
  <c r="BO60" i="34"/>
  <c r="AD39" i="45"/>
  <c r="F35" i="62" s="1"/>
  <c r="AC35" i="45"/>
  <c r="AC30" i="45"/>
  <c r="E27" i="62" s="1"/>
  <c r="AE29" i="45"/>
  <c r="G26" i="62" s="1"/>
  <c r="AF29" i="45"/>
  <c r="H26" i="62" s="1"/>
  <c r="BI79" i="34"/>
  <c r="BI63" i="34"/>
  <c r="BK73" i="34"/>
  <c r="BK57" i="34"/>
  <c r="BJ72" i="34"/>
  <c r="BJ56" i="34"/>
  <c r="AP72" i="34"/>
  <c r="AP56" i="34"/>
  <c r="AU57" i="34"/>
  <c r="AU73" i="34"/>
  <c r="AM72" i="34"/>
  <c r="AM56" i="34"/>
  <c r="AX71" i="34"/>
  <c r="AX55" i="34"/>
  <c r="AJ76" i="34"/>
  <c r="AJ60" i="34"/>
  <c r="BI74" i="34"/>
  <c r="BI58" i="34"/>
  <c r="BG59" i="34"/>
  <c r="BG75" i="34"/>
  <c r="BC76" i="34"/>
  <c r="BC60" i="34"/>
  <c r="BF70" i="34"/>
  <c r="BF54" i="34"/>
  <c r="AJ77" i="34"/>
  <c r="AJ61" i="34"/>
  <c r="AZ72" i="34"/>
  <c r="AZ56" i="34"/>
  <c r="BI80" i="34"/>
  <c r="BI64" i="34"/>
  <c r="AL83" i="34"/>
  <c r="AL67" i="34"/>
  <c r="AU75" i="34"/>
  <c r="AU59" i="34"/>
  <c r="AP80" i="34"/>
  <c r="AP64" i="34"/>
  <c r="AW55" i="34"/>
  <c r="AW71" i="34"/>
  <c r="BH80" i="34"/>
  <c r="BH64" i="34"/>
  <c r="AP76" i="34"/>
  <c r="AP60" i="34"/>
  <c r="BN81" i="34"/>
  <c r="BN65" i="34"/>
  <c r="AJ81" i="34"/>
  <c r="AJ65" i="34"/>
  <c r="AU79" i="34"/>
  <c r="AU63" i="34"/>
  <c r="BO85" i="34"/>
  <c r="BM40" i="45" s="1"/>
  <c r="AO36" i="62" s="1"/>
  <c r="BO69" i="34"/>
  <c r="BM33" i="45" s="1"/>
  <c r="AO30" i="62" s="1"/>
  <c r="BC79" i="34"/>
  <c r="BC63" i="34"/>
  <c r="AM85" i="34"/>
  <c r="AK40" i="45" s="1"/>
  <c r="M36" i="62" s="1"/>
  <c r="AM69" i="34"/>
  <c r="AK33" i="45" s="1"/>
  <c r="M30" i="62" s="1"/>
  <c r="BJ69" i="34"/>
  <c r="BH33" i="45" s="1"/>
  <c r="AJ30" i="62" s="1"/>
  <c r="BJ85" i="34"/>
  <c r="BH40" i="45" s="1"/>
  <c r="AJ36" i="62" s="1"/>
  <c r="AP79" i="34"/>
  <c r="AP63" i="34"/>
  <c r="AS85" i="34"/>
  <c r="AQ40" i="45" s="1"/>
  <c r="S36" i="62" s="1"/>
  <c r="AS69" i="34"/>
  <c r="AQ33" i="45" s="1"/>
  <c r="S30" i="62" s="1"/>
  <c r="AR75" i="34"/>
  <c r="AR59" i="34"/>
  <c r="AP70" i="34"/>
  <c r="AP54" i="34"/>
  <c r="BG69" i="34"/>
  <c r="BE33" i="45" s="1"/>
  <c r="AG30" i="62" s="1"/>
  <c r="BG85" i="34"/>
  <c r="BE40" i="45" s="1"/>
  <c r="AG36" i="62" s="1"/>
  <c r="BL80" i="34"/>
  <c r="BL64" i="34"/>
  <c r="AQ71" i="34"/>
  <c r="AQ55" i="34"/>
  <c r="BA74" i="34"/>
  <c r="BA58" i="34"/>
  <c r="AZ78" i="34"/>
  <c r="AZ62" i="34"/>
  <c r="BC84" i="34"/>
  <c r="BC68" i="34"/>
  <c r="BD55" i="34"/>
  <c r="BD71" i="34"/>
  <c r="AZ71" i="34"/>
  <c r="AZ55" i="34"/>
  <c r="AS73" i="34"/>
  <c r="AS57" i="34"/>
  <c r="AT74" i="34"/>
  <c r="AT58" i="34"/>
  <c r="BL73" i="34"/>
  <c r="BL57" i="34"/>
  <c r="BA56" i="34"/>
  <c r="BA72" i="34"/>
  <c r="AP68" i="34"/>
  <c r="AP84" i="34"/>
  <c r="AQ78" i="34"/>
  <c r="AQ62" i="34"/>
  <c r="AT59" i="34"/>
  <c r="AT75" i="34"/>
  <c r="AX80" i="34"/>
  <c r="AX64" i="34"/>
  <c r="BG78" i="34"/>
  <c r="BG62" i="34"/>
  <c r="AX70" i="34"/>
  <c r="AX54" i="34"/>
  <c r="AR58" i="34"/>
  <c r="AR74" i="34"/>
  <c r="AR62" i="34"/>
  <c r="AR78" i="34"/>
  <c r="BL84" i="34"/>
  <c r="BL68" i="34"/>
  <c r="BJ70" i="34"/>
  <c r="BJ54" i="34"/>
  <c r="BK54" i="34"/>
  <c r="BK70" i="34"/>
  <c r="AO74" i="34"/>
  <c r="AO58" i="34"/>
  <c r="BN80" i="34"/>
  <c r="BN64" i="34"/>
  <c r="G25" i="62"/>
  <c r="AB36" i="45"/>
  <c r="D32" i="62" s="1"/>
  <c r="AG30" i="45"/>
  <c r="I27" i="62" s="1"/>
  <c r="AC39" i="45"/>
  <c r="E35" i="62" s="1"/>
  <c r="AB30" i="45"/>
  <c r="D27" i="62" s="1"/>
  <c r="AF30" i="45"/>
  <c r="H27" i="62" s="1"/>
  <c r="AD32" i="45"/>
  <c r="F29" i="62" s="1"/>
  <c r="AE39" i="45"/>
  <c r="G35" i="62" s="1"/>
  <c r="AO81" i="34"/>
  <c r="AO65" i="34"/>
  <c r="BN73" i="34"/>
  <c r="BN57" i="34"/>
  <c r="AN73" i="34"/>
  <c r="AN57" i="34"/>
  <c r="AO54" i="34"/>
  <c r="AO70" i="34"/>
  <c r="AJ71" i="34"/>
  <c r="AJ55" i="34"/>
  <c r="AS72" i="34"/>
  <c r="AS56" i="34"/>
  <c r="BA83" i="34"/>
  <c r="BA67" i="34"/>
  <c r="AM71" i="34"/>
  <c r="AM55" i="34"/>
  <c r="BI78" i="34"/>
  <c r="BI62" i="34"/>
  <c r="BE72" i="34"/>
  <c r="BE56" i="34"/>
  <c r="AM80" i="34"/>
  <c r="AM64" i="34"/>
  <c r="BD83" i="34"/>
  <c r="BD67" i="34"/>
  <c r="BE71" i="34"/>
  <c r="BE55" i="34"/>
  <c r="AY76" i="34"/>
  <c r="AY60" i="34"/>
  <c r="BP83" i="34"/>
  <c r="BP67" i="34"/>
  <c r="BK71" i="34"/>
  <c r="BK55" i="34"/>
  <c r="AK72" i="34"/>
  <c r="AK56" i="34"/>
  <c r="AQ70" i="34"/>
  <c r="AQ54" i="34"/>
  <c r="BC83" i="34"/>
  <c r="BC67" i="34"/>
  <c r="BM80" i="34"/>
  <c r="BM64" i="34"/>
  <c r="AS76" i="34"/>
  <c r="AS60" i="34"/>
  <c r="AO85" i="34"/>
  <c r="AM40" i="45" s="1"/>
  <c r="O36" i="62" s="1"/>
  <c r="AO69" i="34"/>
  <c r="AM33" i="45" s="1"/>
  <c r="O30" i="62" s="1"/>
  <c r="BP81" i="34"/>
  <c r="BP65" i="34"/>
  <c r="AM63" i="34"/>
  <c r="AM79" i="34"/>
  <c r="BP79" i="34"/>
  <c r="BP63" i="34"/>
  <c r="BN79" i="34"/>
  <c r="BN63" i="34"/>
  <c r="AL85" i="34"/>
  <c r="AJ40" i="45" s="1"/>
  <c r="L36" i="62" s="1"/>
  <c r="AL69" i="34"/>
  <c r="AJ33" i="45" s="1"/>
  <c r="L30" i="62" s="1"/>
  <c r="AJ79" i="34"/>
  <c r="AJ63" i="34"/>
  <c r="AL79" i="34"/>
  <c r="AL63" i="34"/>
  <c r="BC85" i="34"/>
  <c r="BA40" i="45" s="1"/>
  <c r="AC36" i="62" s="1"/>
  <c r="BC69" i="34"/>
  <c r="BA33" i="45" s="1"/>
  <c r="AC30" i="62" s="1"/>
  <c r="BG84" i="34"/>
  <c r="BG68" i="34"/>
  <c r="AS71" i="34"/>
  <c r="AS55" i="34"/>
  <c r="BN70" i="34"/>
  <c r="BN54" i="34"/>
  <c r="AW59" i="34"/>
  <c r="AW75" i="34"/>
  <c r="BD84" i="34"/>
  <c r="BD68" i="34"/>
  <c r="BB58" i="34"/>
  <c r="BB74" i="34"/>
  <c r="AV78" i="34"/>
  <c r="AV62" i="34"/>
  <c r="BO78" i="34"/>
  <c r="BO62" i="34"/>
  <c r="AL72" i="34"/>
  <c r="AL56" i="34"/>
  <c r="BF83" i="34"/>
  <c r="BF67" i="34"/>
  <c r="BI71" i="34"/>
  <c r="BI55" i="34"/>
  <c r="AU81" i="34"/>
  <c r="AU65" i="34"/>
  <c r="AL68" i="34"/>
  <c r="AL84" i="34"/>
  <c r="AX84" i="34"/>
  <c r="AX68" i="34"/>
  <c r="BE58" i="34"/>
  <c r="BE74" i="34"/>
  <c r="AP75" i="34"/>
  <c r="AP59" i="34"/>
  <c r="BK62" i="34"/>
  <c r="BK78" i="34"/>
  <c r="BH83" i="34"/>
  <c r="BH67" i="34"/>
  <c r="BG55" i="34"/>
  <c r="BG71" i="34"/>
  <c r="BM81" i="34"/>
  <c r="BM65" i="34"/>
  <c r="AY80" i="34"/>
  <c r="AY64" i="34"/>
  <c r="AY84" i="34"/>
  <c r="AY68" i="34"/>
  <c r="BC78" i="34"/>
  <c r="BC62" i="34"/>
  <c r="BA78" i="34"/>
  <c r="BA62" i="34"/>
  <c r="AO72" i="34"/>
  <c r="AO56" i="34"/>
  <c r="AM60" i="34"/>
  <c r="AM76" i="34"/>
  <c r="BE76" i="34"/>
  <c r="BE60" i="34"/>
  <c r="AZ58" i="34"/>
  <c r="AZ74" i="34"/>
  <c r="BM78" i="34"/>
  <c r="BM62" i="34"/>
  <c r="AB29" i="45"/>
  <c r="D26" i="62" s="1"/>
  <c r="AG37" i="45"/>
  <c r="I33" i="62" s="1"/>
  <c r="AC32" i="45"/>
  <c r="E29" i="62" s="1"/>
  <c r="AB37" i="45"/>
  <c r="D33" i="62" s="1"/>
  <c r="AF37" i="45"/>
  <c r="H33" i="62" s="1"/>
  <c r="BK79" i="34"/>
  <c r="BK63" i="34"/>
  <c r="AY72" i="34"/>
  <c r="AY56" i="34"/>
  <c r="AZ76" i="34"/>
  <c r="AZ60" i="34"/>
  <c r="BH74" i="34"/>
  <c r="BH58" i="34"/>
  <c r="AZ83" i="34"/>
  <c r="AZ67" i="34"/>
  <c r="BI76" i="34"/>
  <c r="BI60" i="34"/>
  <c r="BJ60" i="34"/>
  <c r="BJ76" i="34"/>
  <c r="AM83" i="34"/>
  <c r="AM67" i="34"/>
  <c r="BP84" i="34"/>
  <c r="BP68" i="34"/>
  <c r="BF73" i="34"/>
  <c r="BF57" i="34"/>
  <c r="AR80" i="34"/>
  <c r="AR64" i="34"/>
  <c r="AK83" i="34"/>
  <c r="AK67" i="34"/>
  <c r="AL73" i="34"/>
  <c r="AL57" i="34"/>
  <c r="AJ73" i="34"/>
  <c r="AJ57" i="34"/>
  <c r="AN83" i="34"/>
  <c r="AL39" i="45" s="1"/>
  <c r="N35" i="62" s="1"/>
  <c r="AN67" i="34"/>
  <c r="BL83" i="34"/>
  <c r="BL67" i="34"/>
  <c r="AQ57" i="34"/>
  <c r="AQ73" i="34"/>
  <c r="AR70" i="34"/>
  <c r="AR54" i="34"/>
  <c r="BE83" i="34"/>
  <c r="BE67" i="34"/>
  <c r="BK80" i="34"/>
  <c r="BK64" i="34"/>
  <c r="AV76" i="34"/>
  <c r="AV60" i="34"/>
  <c r="BA85" i="34"/>
  <c r="AY40" i="45" s="1"/>
  <c r="AA36" i="62" s="1"/>
  <c r="BA69" i="34"/>
  <c r="AY33" i="45" s="1"/>
  <c r="AA30" i="62" s="1"/>
  <c r="BA79" i="34"/>
  <c r="BA63" i="34"/>
  <c r="BA81" i="34"/>
  <c r="BA65" i="34"/>
  <c r="BL79" i="34"/>
  <c r="BL63" i="34"/>
  <c r="AR81" i="34"/>
  <c r="AR65" i="34"/>
  <c r="AU85" i="34"/>
  <c r="AS40" i="45" s="1"/>
  <c r="U36" i="62" s="1"/>
  <c r="AU69" i="34"/>
  <c r="AS33" i="45" s="1"/>
  <c r="U30" i="62" s="1"/>
  <c r="BM85" i="34"/>
  <c r="BK40" i="45" s="1"/>
  <c r="AM36" i="62" s="1"/>
  <c r="BM69" i="34"/>
  <c r="BK33" i="45" s="1"/>
  <c r="AM30" i="62" s="1"/>
  <c r="AY81" i="34"/>
  <c r="AY65" i="34"/>
  <c r="AS81" i="34"/>
  <c r="AS65" i="34"/>
  <c r="BB78" i="34"/>
  <c r="BB62" i="34"/>
  <c r="AV81" i="34"/>
  <c r="AV65" i="34"/>
  <c r="BG72" i="34"/>
  <c r="BG56" i="34"/>
  <c r="BE75" i="34"/>
  <c r="BE59" i="34"/>
  <c r="BD74" i="34"/>
  <c r="BD58" i="34"/>
  <c r="AK74" i="34"/>
  <c r="AK58" i="34"/>
  <c r="BI75" i="34"/>
  <c r="BI59" i="34"/>
  <c r="BL75" i="34"/>
  <c r="BL59" i="34"/>
  <c r="AP55" i="34"/>
  <c r="AP71" i="34"/>
  <c r="BB70" i="34"/>
  <c r="BB54" i="34"/>
  <c r="AM73" i="34"/>
  <c r="AM57" i="34"/>
  <c r="BG81" i="34"/>
  <c r="BG65" i="34"/>
  <c r="BF74" i="34"/>
  <c r="BF58" i="34"/>
  <c r="BF84" i="34"/>
  <c r="BF68" i="34"/>
  <c r="AM74" i="34"/>
  <c r="AM58" i="34"/>
  <c r="AO75" i="34"/>
  <c r="AO59" i="34"/>
  <c r="AR57" i="34"/>
  <c r="AR73" i="34"/>
  <c r="BL81" i="34"/>
  <c r="BL65" i="34"/>
  <c r="AV71" i="34"/>
  <c r="AV55" i="34"/>
  <c r="BN75" i="34"/>
  <c r="BN59" i="34"/>
  <c r="BB75" i="34"/>
  <c r="BB59" i="34"/>
  <c r="BF78" i="34"/>
  <c r="BF62" i="34"/>
  <c r="BO54" i="34"/>
  <c r="BO70" i="34"/>
  <c r="BG73" i="34"/>
  <c r="BG57" i="34"/>
  <c r="BA84" i="34"/>
  <c r="BA68" i="34"/>
  <c r="BK56" i="34"/>
  <c r="BK72" i="34"/>
  <c r="BN76" i="34"/>
  <c r="BN60" i="34"/>
  <c r="AL82" i="34"/>
  <c r="AJ38" i="45" s="1"/>
  <c r="L34" i="62" s="1"/>
  <c r="AL66" i="34"/>
  <c r="AJ31" i="45" s="1"/>
  <c r="L28" i="62" s="1"/>
  <c r="AM81" i="34"/>
  <c r="AM65" i="34"/>
  <c r="BA80" i="34"/>
  <c r="BA64" i="34"/>
  <c r="AV70" i="34"/>
  <c r="AV54" i="34"/>
  <c r="AL60" i="34"/>
  <c r="AL76" i="34"/>
  <c r="AK73" i="34"/>
  <c r="AK57" i="34"/>
  <c r="BO73" i="34"/>
  <c r="BO57" i="34"/>
  <c r="AS83" i="34"/>
  <c r="AS67" i="34"/>
  <c r="BJ80" i="34"/>
  <c r="BJ64" i="34"/>
  <c r="BM74" i="34"/>
  <c r="BM58" i="34"/>
  <c r="AW84" i="34"/>
  <c r="AW68" i="34"/>
  <c r="BE70" i="34"/>
  <c r="BE54" i="34"/>
  <c r="AV72" i="34"/>
  <c r="AV56" i="34"/>
  <c r="AY70" i="34"/>
  <c r="AY54" i="34"/>
  <c r="AY83" i="34"/>
  <c r="AY67" i="34"/>
  <c r="BK84" i="34"/>
  <c r="BK68" i="34"/>
  <c r="AW54" i="34"/>
  <c r="AW70" i="34"/>
  <c r="AW74" i="34"/>
  <c r="AW58" i="34"/>
  <c r="BD80" i="34"/>
  <c r="BD64" i="34"/>
  <c r="AV80" i="34"/>
  <c r="AV64" i="34"/>
  <c r="AV73" i="34"/>
  <c r="AV57" i="34"/>
  <c r="AQ80" i="34"/>
  <c r="AQ64" i="34"/>
  <c r="BG63" i="34"/>
  <c r="BG79" i="34"/>
  <c r="BM79" i="34"/>
  <c r="BM63" i="34"/>
  <c r="AK81" i="34"/>
  <c r="AK65" i="34"/>
  <c r="AR79" i="34"/>
  <c r="AR63" i="34"/>
  <c r="AK79" i="34"/>
  <c r="AK63" i="34"/>
  <c r="BB85" i="34"/>
  <c r="AZ40" i="45" s="1"/>
  <c r="AB36" i="62" s="1"/>
  <c r="BB69" i="34"/>
  <c r="AZ33" i="45" s="1"/>
  <c r="AB30" i="62" s="1"/>
  <c r="AV85" i="34"/>
  <c r="AT40" i="45" s="1"/>
  <c r="V36" i="62" s="1"/>
  <c r="AV69" i="34"/>
  <c r="AT33" i="45" s="1"/>
  <c r="V30" i="62" s="1"/>
  <c r="AT79" i="34"/>
  <c r="AR37" i="45" s="1"/>
  <c r="T33" i="62" s="1"/>
  <c r="AT63" i="34"/>
  <c r="BP85" i="34"/>
  <c r="BN40" i="45" s="1"/>
  <c r="AP36" i="62" s="1"/>
  <c r="BP69" i="34"/>
  <c r="BN33" i="45" s="1"/>
  <c r="AP30" i="62" s="1"/>
  <c r="BJ84" i="34"/>
  <c r="BJ68" i="34"/>
  <c r="BD72" i="34"/>
  <c r="BD56" i="34"/>
  <c r="AL71" i="34"/>
  <c r="AL55" i="34"/>
  <c r="BB81" i="34"/>
  <c r="BB65" i="34"/>
  <c r="BF72" i="34"/>
  <c r="BF56" i="34"/>
  <c r="BN74" i="34"/>
  <c r="BN58" i="34"/>
  <c r="BN78" i="34"/>
  <c r="BN62" i="34"/>
  <c r="BJ75" i="34"/>
  <c r="BJ59" i="34"/>
  <c r="BN68" i="34"/>
  <c r="BN84" i="34"/>
  <c r="BK76" i="34"/>
  <c r="BK60" i="34"/>
  <c r="BP74" i="34"/>
  <c r="BP58" i="34"/>
  <c r="BO72" i="34"/>
  <c r="BO56" i="34"/>
  <c r="AN60" i="34"/>
  <c r="AN76" i="34"/>
  <c r="AL58" i="34"/>
  <c r="AL74" i="34"/>
  <c r="AQ59" i="34"/>
  <c r="AQ75" i="34"/>
  <c r="BB84" i="34"/>
  <c r="BB68" i="34"/>
  <c r="AZ32" i="45" s="1"/>
  <c r="AB29" i="62" s="1"/>
  <c r="AL70" i="34"/>
  <c r="AL54" i="34"/>
  <c r="BP71" i="34"/>
  <c r="BP55" i="34"/>
  <c r="AJ59" i="34"/>
  <c r="AJ75" i="34"/>
  <c r="AM78" i="34"/>
  <c r="AM62" i="34"/>
  <c r="AS74" i="34"/>
  <c r="AS58" i="34"/>
  <c r="AQ84" i="34"/>
  <c r="AQ68" i="34"/>
  <c r="BP72" i="34"/>
  <c r="BP56" i="34"/>
  <c r="AX73" i="34"/>
  <c r="AX57" i="34"/>
  <c r="AZ73" i="34"/>
  <c r="AZ57" i="34"/>
  <c r="AZ81" i="34"/>
  <c r="AZ65" i="34"/>
  <c r="AQ85" i="34"/>
  <c r="AO40" i="45" s="1"/>
  <c r="Q36" i="62" s="1"/>
  <c r="AQ69" i="34"/>
  <c r="AO33" i="45" s="1"/>
  <c r="Q30" i="62" s="1"/>
  <c r="AU70" i="34"/>
  <c r="AU54" i="34"/>
  <c r="AF27" i="45"/>
  <c r="AF61" i="45" s="1"/>
  <c r="H25" i="62"/>
  <c r="AE32" i="45"/>
  <c r="G29" i="62" s="1"/>
  <c r="AS82" i="34"/>
  <c r="AQ38" i="45" s="1"/>
  <c r="S34" i="62" s="1"/>
  <c r="AS66" i="34"/>
  <c r="AQ31" i="45" s="1"/>
  <c r="S28" i="62" s="1"/>
  <c r="AJ68" i="34"/>
  <c r="AJ84" i="34"/>
  <c r="BL72" i="34"/>
  <c r="BL56" i="34"/>
  <c r="AU72" i="34"/>
  <c r="AU56" i="34"/>
  <c r="BH78" i="34"/>
  <c r="BH62" i="34"/>
  <c r="BH76" i="34"/>
  <c r="BH60" i="34"/>
  <c r="BG67" i="34"/>
  <c r="BG83" i="34"/>
  <c r="AT57" i="34"/>
  <c r="AT73" i="34"/>
  <c r="AR76" i="34"/>
  <c r="AR60" i="34"/>
  <c r="AJ78" i="34"/>
  <c r="AJ62" i="34"/>
  <c r="AT71" i="34"/>
  <c r="AT55" i="34"/>
  <c r="BA73" i="34"/>
  <c r="BA57" i="34"/>
  <c r="BA71" i="34"/>
  <c r="BA55" i="34"/>
  <c r="BF80" i="34"/>
  <c r="BF64" i="34"/>
  <c r="AQ67" i="34"/>
  <c r="AQ83" i="34"/>
  <c r="BE57" i="34"/>
  <c r="BE73" i="34"/>
  <c r="AU80" i="34"/>
  <c r="AU64" i="34"/>
  <c r="BC71" i="34"/>
  <c r="BC55" i="34"/>
  <c r="AT72" i="34"/>
  <c r="AT56" i="34"/>
  <c r="BO71" i="34"/>
  <c r="BO55" i="34"/>
  <c r="AQ76" i="34"/>
  <c r="AQ60" i="34"/>
  <c r="BJ79" i="34"/>
  <c r="BJ63" i="34"/>
  <c r="AZ79" i="34"/>
  <c r="AZ63" i="34"/>
  <c r="BF79" i="34"/>
  <c r="BF63" i="34"/>
  <c r="BD85" i="34"/>
  <c r="BB40" i="45" s="1"/>
  <c r="AD36" i="62" s="1"/>
  <c r="BD69" i="34"/>
  <c r="BB33" i="45" s="1"/>
  <c r="AD30" i="62" s="1"/>
  <c r="AN79" i="34"/>
  <c r="AN63" i="34"/>
  <c r="BO79" i="34"/>
  <c r="BO63" i="34"/>
  <c r="AR85" i="34"/>
  <c r="AP40" i="45" s="1"/>
  <c r="R36" i="62" s="1"/>
  <c r="AR69" i="34"/>
  <c r="AP33" i="45" s="1"/>
  <c r="R30" i="62" s="1"/>
  <c r="AW79" i="34"/>
  <c r="AW63" i="34"/>
  <c r="BD79" i="34"/>
  <c r="BD63" i="34"/>
  <c r="BK74" i="34"/>
  <c r="BK58" i="34"/>
  <c r="AV84" i="34"/>
  <c r="AV68" i="34"/>
  <c r="BD54" i="34"/>
  <c r="BD70" i="34"/>
  <c r="AJ74" i="34"/>
  <c r="AJ58" i="34"/>
  <c r="BO84" i="34"/>
  <c r="BM39" i="45" s="1"/>
  <c r="AO35" i="62" s="1"/>
  <c r="BO68" i="34"/>
  <c r="AV83" i="34"/>
  <c r="AV67" i="34"/>
  <c r="AT32" i="45" s="1"/>
  <c r="V29" i="62" s="1"/>
  <c r="AM59" i="34"/>
  <c r="AM75" i="34"/>
  <c r="AX75" i="34"/>
  <c r="AX59" i="34"/>
  <c r="AM68" i="34"/>
  <c r="AM84" i="34"/>
  <c r="AR71" i="34"/>
  <c r="AR55" i="34"/>
  <c r="BJ71" i="34"/>
  <c r="BJ55" i="34"/>
  <c r="BD81" i="34"/>
  <c r="BD65" i="34"/>
  <c r="BD62" i="34"/>
  <c r="BD78" i="34"/>
  <c r="AZ84" i="34"/>
  <c r="AZ68" i="34"/>
  <c r="AP74" i="34"/>
  <c r="AP58" i="34"/>
  <c r="BJ78" i="34"/>
  <c r="BJ62" i="34"/>
  <c r="AP62" i="34"/>
  <c r="AP78" i="34"/>
  <c r="AJ83" i="34"/>
  <c r="AJ67" i="34"/>
  <c r="AP85" i="34"/>
  <c r="AN40" i="45" s="1"/>
  <c r="P36" i="62" s="1"/>
  <c r="AP69" i="34"/>
  <c r="AN33" i="45" s="1"/>
  <c r="P30" i="62" s="1"/>
  <c r="BP80" i="34"/>
  <c r="BP64" i="34"/>
  <c r="BO80" i="34"/>
  <c r="BO64" i="34"/>
  <c r="BE84" i="34"/>
  <c r="BE68" i="34"/>
  <c r="BD75" i="34"/>
  <c r="BD59" i="34"/>
  <c r="BL78" i="34"/>
  <c r="BL62" i="34"/>
  <c r="BL54" i="34"/>
  <c r="BL70" i="34"/>
  <c r="AT76" i="34"/>
  <c r="AT60" i="34"/>
  <c r="AL75" i="34"/>
  <c r="AL59" i="34"/>
  <c r="BC81" i="34"/>
  <c r="BC65" i="34"/>
  <c r="AG32" i="45"/>
  <c r="I29" i="62" s="1"/>
  <c r="AG35" i="45"/>
  <c r="AB35" i="45"/>
  <c r="AC36" i="45"/>
  <c r="E32" i="62" s="1"/>
  <c r="AF39" i="45"/>
  <c r="H35" i="62" s="1"/>
  <c r="AG29" i="45"/>
  <c r="I26" i="62" s="1"/>
  <c r="AD28" i="45"/>
  <c r="F25" i="62" s="1"/>
  <c r="AD35" i="45"/>
  <c r="F31" i="62" s="1"/>
  <c r="AD29" i="45"/>
  <c r="F26" i="62" s="1"/>
  <c r="AD36" i="45"/>
  <c r="F32" i="62" s="1"/>
  <c r="AD37" i="45"/>
  <c r="F33" i="62" s="1"/>
  <c r="AD30" i="45"/>
  <c r="F27" i="62" s="1"/>
  <c r="AO32" i="45" l="1"/>
  <c r="Q29" i="62" s="1"/>
  <c r="BK39" i="45"/>
  <c r="AM35" i="62" s="1"/>
  <c r="AY39" i="45"/>
  <c r="AA35" i="62" s="1"/>
  <c r="BN39" i="45"/>
  <c r="AP35" i="62" s="1"/>
  <c r="AI32" i="45"/>
  <c r="K29" i="62" s="1"/>
  <c r="BE39" i="45"/>
  <c r="AG35" i="62" s="1"/>
  <c r="BC32" i="45"/>
  <c r="AE29" i="62" s="1"/>
  <c r="AX32" i="45"/>
  <c r="Z29" i="62" s="1"/>
  <c r="AL30" i="45"/>
  <c r="N27" i="62" s="1"/>
  <c r="BD30" i="45"/>
  <c r="AF27" i="62" s="1"/>
  <c r="AU28" i="45"/>
  <c r="W25" i="62" s="1"/>
  <c r="AJ30" i="45"/>
  <c r="L27" i="62" s="1"/>
  <c r="AU30" i="45"/>
  <c r="W27" i="62" s="1"/>
  <c r="BF32" i="45"/>
  <c r="AH29" i="62" s="1"/>
  <c r="AV32" i="45"/>
  <c r="X29" i="62" s="1"/>
  <c r="BH30" i="45"/>
  <c r="AJ27" i="62" s="1"/>
  <c r="AW35" i="45"/>
  <c r="AH30" i="45"/>
  <c r="J27" i="62" s="1"/>
  <c r="BL30" i="45"/>
  <c r="AN27" i="62" s="1"/>
  <c r="AU35" i="45"/>
  <c r="W31" i="62" s="1"/>
  <c r="BJ32" i="45"/>
  <c r="AL29" i="62" s="1"/>
  <c r="BD37" i="45"/>
  <c r="AF33" i="62" s="1"/>
  <c r="AP30" i="45"/>
  <c r="R27" i="62" s="1"/>
  <c r="AU37" i="45"/>
  <c r="W33" i="62" s="1"/>
  <c r="AI37" i="45"/>
  <c r="K33" i="62" s="1"/>
  <c r="AZ35" i="45"/>
  <c r="AB31" i="62" s="1"/>
  <c r="AS39" i="45"/>
  <c r="U35" i="62" s="1"/>
  <c r="AM39" i="45"/>
  <c r="O35" i="62" s="1"/>
  <c r="AJ37" i="45"/>
  <c r="L33" i="62" s="1"/>
  <c r="AM32" i="45"/>
  <c r="O29" i="62" s="1"/>
  <c r="AH36" i="45"/>
  <c r="J32" i="62" s="1"/>
  <c r="AL37" i="45"/>
  <c r="N33" i="62" s="1"/>
  <c r="AR30" i="45"/>
  <c r="T27" i="62" s="1"/>
  <c r="AW28" i="45"/>
  <c r="Y25" i="62" s="1"/>
  <c r="AI30" i="45"/>
  <c r="K27" i="62" s="1"/>
  <c r="AU32" i="45"/>
  <c r="W29" i="62" s="1"/>
  <c r="AL32" i="45"/>
  <c r="N29" i="62" s="1"/>
  <c r="AS32" i="45"/>
  <c r="U29" i="62" s="1"/>
  <c r="AN30" i="45"/>
  <c r="P27" i="62" s="1"/>
  <c r="AJ35" i="45"/>
  <c r="L31" i="62" s="1"/>
  <c r="BB28" i="45"/>
  <c r="AD25" i="62" s="1"/>
  <c r="BC39" i="45"/>
  <c r="AE35" i="62" s="1"/>
  <c r="AH39" i="45"/>
  <c r="J35" i="62" s="1"/>
  <c r="AX39" i="45"/>
  <c r="Z35" i="62" s="1"/>
  <c r="BH37" i="45"/>
  <c r="AJ33" i="62" s="1"/>
  <c r="BK30" i="45"/>
  <c r="AM27" i="62" s="1"/>
  <c r="AZ28" i="45"/>
  <c r="AB25" i="62" s="1"/>
  <c r="AH37" i="45"/>
  <c r="J33" i="62" s="1"/>
  <c r="BL37" i="45"/>
  <c r="AN33" i="62" s="1"/>
  <c r="BJ35" i="45"/>
  <c r="AL31" i="62" s="1"/>
  <c r="AX30" i="45"/>
  <c r="Z27" i="62" s="1"/>
  <c r="BE37" i="45"/>
  <c r="AG33" i="62" s="1"/>
  <c r="AJ28" i="45"/>
  <c r="L25" i="62" s="1"/>
  <c r="BN32" i="45"/>
  <c r="AP29" i="62" s="1"/>
  <c r="BJ28" i="45"/>
  <c r="AL25" i="62" s="1"/>
  <c r="AH29" i="45"/>
  <c r="J26" i="62" s="1"/>
  <c r="AE34" i="45"/>
  <c r="AE62" i="45" s="1"/>
  <c r="AT39" i="45"/>
  <c r="V35" i="62" s="1"/>
  <c r="BB35" i="45"/>
  <c r="AD31" i="62" s="1"/>
  <c r="AO39" i="45"/>
  <c r="Q35" i="62" s="1"/>
  <c r="AP37" i="45"/>
  <c r="R33" i="62" s="1"/>
  <c r="BK37" i="45"/>
  <c r="AM33" i="62" s="1"/>
  <c r="BB32" i="45"/>
  <c r="AD29" i="62" s="1"/>
  <c r="BL28" i="45"/>
  <c r="AN25" i="62" s="1"/>
  <c r="BC30" i="45"/>
  <c r="AE27" i="62" s="1"/>
  <c r="AX37" i="45"/>
  <c r="Z33" i="62" s="1"/>
  <c r="AW32" i="45"/>
  <c r="Y29" i="62" s="1"/>
  <c r="AW39" i="45"/>
  <c r="Y35" i="62" s="1"/>
  <c r="AT28" i="45"/>
  <c r="V25" i="62" s="1"/>
  <c r="BB37" i="45"/>
  <c r="AD33" i="62" s="1"/>
  <c r="BC28" i="45"/>
  <c r="AP28" i="45"/>
  <c r="AK32" i="45"/>
  <c r="M29" i="62" s="1"/>
  <c r="BD39" i="45"/>
  <c r="AF35" i="62" s="1"/>
  <c r="AK30" i="45"/>
  <c r="M27" i="62" s="1"/>
  <c r="AO35" i="45"/>
  <c r="AM28" i="45"/>
  <c r="AE27" i="45"/>
  <c r="AE61" i="45" s="1"/>
  <c r="BH35" i="45"/>
  <c r="AV35" i="45"/>
  <c r="BA39" i="45"/>
  <c r="AC35" i="62" s="1"/>
  <c r="AN35" i="45"/>
  <c r="BA37" i="45"/>
  <c r="AC33" i="62" s="1"/>
  <c r="AS37" i="45"/>
  <c r="U33" i="62" s="1"/>
  <c r="AJ39" i="45"/>
  <c r="L35" i="62" s="1"/>
  <c r="BD35" i="45"/>
  <c r="AZ39" i="45"/>
  <c r="AB35" i="62" s="1"/>
  <c r="AK35" i="45"/>
  <c r="BG28" i="45"/>
  <c r="BE28" i="45"/>
  <c r="AI35" i="45"/>
  <c r="BL39" i="45"/>
  <c r="AN35" i="62" s="1"/>
  <c r="AT37" i="45"/>
  <c r="V33" i="62" s="1"/>
  <c r="AW30" i="45"/>
  <c r="Y27" i="62" s="1"/>
  <c r="AH35" i="45"/>
  <c r="AO30" i="45"/>
  <c r="Q27" i="62" s="1"/>
  <c r="AR28" i="45"/>
  <c r="AN32" i="45"/>
  <c r="P29" i="62" s="1"/>
  <c r="AQ32" i="45"/>
  <c r="S29" i="62" s="1"/>
  <c r="D25" i="62"/>
  <c r="AB27" i="45"/>
  <c r="AB61" i="45" s="1"/>
  <c r="BG39" i="45"/>
  <c r="AI35" i="62" s="1"/>
  <c r="AZ37" i="45"/>
  <c r="AB33" i="62" s="1"/>
  <c r="AV37" i="45"/>
  <c r="X33" i="62" s="1"/>
  <c r="BF35" i="45"/>
  <c r="D31" i="62"/>
  <c r="AB34" i="45"/>
  <c r="AB62" i="45" s="1"/>
  <c r="BM30" i="45"/>
  <c r="AO27" i="62" s="1"/>
  <c r="Y31" i="62"/>
  <c r="BC35" i="45"/>
  <c r="AT35" i="45"/>
  <c r="AP35" i="45"/>
  <c r="AK39" i="45"/>
  <c r="M35" i="62" s="1"/>
  <c r="BE32" i="45"/>
  <c r="AG29" i="62" s="1"/>
  <c r="BN30" i="45"/>
  <c r="AP27" i="62" s="1"/>
  <c r="AY32" i="45"/>
  <c r="AA29" i="62" s="1"/>
  <c r="BI35" i="45"/>
  <c r="BG30" i="45"/>
  <c r="AI27" i="62" s="1"/>
  <c r="BI32" i="45"/>
  <c r="AK29" i="62" s="1"/>
  <c r="BA28" i="45"/>
  <c r="BF30" i="45"/>
  <c r="AH27" i="62" s="1"/>
  <c r="BN35" i="45"/>
  <c r="AR32" i="45"/>
  <c r="T29" i="62" s="1"/>
  <c r="AP32" i="45"/>
  <c r="R29" i="62" s="1"/>
  <c r="AU39" i="45"/>
  <c r="W35" i="62" s="1"/>
  <c r="AW37" i="45"/>
  <c r="Y33" i="62" s="1"/>
  <c r="AH28" i="45"/>
  <c r="AO37" i="45"/>
  <c r="Q33" i="62" s="1"/>
  <c r="AR35" i="45"/>
  <c r="AN39" i="45"/>
  <c r="P35" i="62" s="1"/>
  <c r="AQ39" i="45"/>
  <c r="S35" i="62" s="1"/>
  <c r="I25" i="62"/>
  <c r="AG27" i="45"/>
  <c r="AG61" i="45" s="1"/>
  <c r="AQ28" i="45"/>
  <c r="AY35" i="45"/>
  <c r="AQ30" i="45"/>
  <c r="S27" i="62" s="1"/>
  <c r="AX28" i="45"/>
  <c r="I31" i="62"/>
  <c r="AG34" i="45"/>
  <c r="AG62" i="45" s="1"/>
  <c r="BM37" i="45"/>
  <c r="AO33" i="62" s="1"/>
  <c r="AS28" i="45"/>
  <c r="BM35" i="45"/>
  <c r="BJ30" i="45"/>
  <c r="AL27" i="62" s="1"/>
  <c r="AY30" i="45"/>
  <c r="AA27" i="62" s="1"/>
  <c r="BI30" i="45"/>
  <c r="AK27" i="62" s="1"/>
  <c r="BB39" i="45"/>
  <c r="AD35" i="62" s="1"/>
  <c r="BL35" i="45"/>
  <c r="BN37" i="45"/>
  <c r="AP33" i="62" s="1"/>
  <c r="BI28" i="45"/>
  <c r="BJ39" i="45"/>
  <c r="AL35" i="62" s="1"/>
  <c r="AN37" i="45"/>
  <c r="P33" i="62" s="1"/>
  <c r="E31" i="62"/>
  <c r="AC34" i="45"/>
  <c r="AC62" i="45" s="1"/>
  <c r="BF39" i="45"/>
  <c r="AH35" i="62" s="1"/>
  <c r="BI39" i="45"/>
  <c r="AK35" i="62" s="1"/>
  <c r="BA35" i="45"/>
  <c r="AI39" i="45"/>
  <c r="K35" i="62" s="1"/>
  <c r="AV39" i="45"/>
  <c r="X35" i="62" s="1"/>
  <c r="BF37" i="45"/>
  <c r="AH33" i="62" s="1"/>
  <c r="BG37" i="45"/>
  <c r="AI33" i="62" s="1"/>
  <c r="BN28" i="45"/>
  <c r="AR39" i="45"/>
  <c r="T35" i="62" s="1"/>
  <c r="AP39" i="45"/>
  <c r="R35" i="62" s="1"/>
  <c r="AM30" i="45"/>
  <c r="O27" i="62" s="1"/>
  <c r="BH32" i="45"/>
  <c r="AJ29" i="62" s="1"/>
  <c r="BK28" i="45"/>
  <c r="AL28" i="45"/>
  <c r="AQ35" i="45"/>
  <c r="AY28" i="45"/>
  <c r="AQ37" i="45"/>
  <c r="S33" i="62" s="1"/>
  <c r="AX35" i="45"/>
  <c r="AH32" i="45"/>
  <c r="J29" i="62" s="1"/>
  <c r="BB30" i="45"/>
  <c r="AD27" i="62" s="1"/>
  <c r="AS35" i="45"/>
  <c r="BE30" i="45"/>
  <c r="AG27" i="62" s="1"/>
  <c r="BM28" i="45"/>
  <c r="BJ37" i="45"/>
  <c r="AL33" i="62" s="1"/>
  <c r="AY37" i="45"/>
  <c r="AA33" i="62" s="1"/>
  <c r="BI37" i="45"/>
  <c r="AK33" i="62" s="1"/>
  <c r="BD32" i="45"/>
  <c r="AF29" i="62" s="1"/>
  <c r="AK37" i="45"/>
  <c r="M33" i="62" s="1"/>
  <c r="AO28" i="45"/>
  <c r="AM35" i="45"/>
  <c r="AF34" i="45"/>
  <c r="AF62" i="45" s="1"/>
  <c r="AF72" i="45" s="1"/>
  <c r="AF73" i="45" s="1"/>
  <c r="AF80" i="45" s="1"/>
  <c r="BH28" i="45"/>
  <c r="AV28" i="45"/>
  <c r="BA32" i="45"/>
  <c r="AC29" i="62" s="1"/>
  <c r="AN28" i="45"/>
  <c r="BA30" i="45"/>
  <c r="AC27" i="62" s="1"/>
  <c r="AS30" i="45"/>
  <c r="U27" i="62" s="1"/>
  <c r="AJ32" i="45"/>
  <c r="L29" i="62" s="1"/>
  <c r="BD28" i="45"/>
  <c r="AK28" i="45"/>
  <c r="BG35" i="45"/>
  <c r="BE35" i="45"/>
  <c r="AI28" i="45"/>
  <c r="BL32" i="45"/>
  <c r="AN29" i="62" s="1"/>
  <c r="AT30" i="45"/>
  <c r="V27" i="62" s="1"/>
  <c r="AM37" i="45"/>
  <c r="O33" i="62" s="1"/>
  <c r="BH39" i="45"/>
  <c r="AJ35" i="62" s="1"/>
  <c r="BK35" i="45"/>
  <c r="AL35" i="45"/>
  <c r="BG32" i="45"/>
  <c r="AI29" i="62" s="1"/>
  <c r="AZ30" i="45"/>
  <c r="AB27" i="62" s="1"/>
  <c r="AV30" i="45"/>
  <c r="X27" i="62" s="1"/>
  <c r="BM32" i="45"/>
  <c r="AO29" i="62" s="1"/>
  <c r="BK32" i="45"/>
  <c r="AM29" i="62" s="1"/>
  <c r="BF28" i="45"/>
  <c r="E25" i="62"/>
  <c r="AC27" i="45"/>
  <c r="AC61" i="45" s="1"/>
  <c r="AD34" i="45"/>
  <c r="AD62" i="45" s="1"/>
  <c r="AD27" i="45"/>
  <c r="AD61" i="45" s="1"/>
  <c r="AE72" i="45" l="1"/>
  <c r="AE73" i="45" s="1"/>
  <c r="AE80" i="45" s="1"/>
  <c r="AC72" i="45"/>
  <c r="AC73" i="45" s="1"/>
  <c r="AC80" i="45" s="1"/>
  <c r="AH25" i="62"/>
  <c r="N31" i="62"/>
  <c r="AI31" i="62"/>
  <c r="AF25" i="62"/>
  <c r="P25" i="62"/>
  <c r="X25" i="62"/>
  <c r="O31" i="62"/>
  <c r="AO25" i="62"/>
  <c r="N25" i="62"/>
  <c r="AK25" i="62"/>
  <c r="AO31" i="62"/>
  <c r="AG72" i="45"/>
  <c r="AG73" i="45" s="1"/>
  <c r="AG80" i="45" s="1"/>
  <c r="T31" i="62"/>
  <c r="AP31" i="62"/>
  <c r="AK31" i="62"/>
  <c r="AH31" i="62"/>
  <c r="AI25" i="62"/>
  <c r="AM31" i="62"/>
  <c r="K25" i="62"/>
  <c r="AJ25" i="62"/>
  <c r="Q25" i="62"/>
  <c r="AM25" i="62"/>
  <c r="AP25" i="62"/>
  <c r="U25" i="62"/>
  <c r="R31" i="62"/>
  <c r="V31" i="62"/>
  <c r="J31" i="62"/>
  <c r="AH34" i="45"/>
  <c r="AH62" i="45" s="1"/>
  <c r="K31" i="62"/>
  <c r="AF31" i="62"/>
  <c r="P31" i="62"/>
  <c r="X31" i="62"/>
  <c r="O25" i="62"/>
  <c r="R25" i="62"/>
  <c r="AE25" i="62"/>
  <c r="AG31" i="62"/>
  <c r="AA25" i="62"/>
  <c r="AA31" i="62"/>
  <c r="AB72" i="45"/>
  <c r="AB73" i="45" s="1"/>
  <c r="AB80" i="45" s="1"/>
  <c r="T25" i="62"/>
  <c r="AG25" i="62"/>
  <c r="AJ31" i="62"/>
  <c r="Q31" i="62"/>
  <c r="M25" i="62"/>
  <c r="U31" i="62"/>
  <c r="Z31" i="62"/>
  <c r="S31" i="62"/>
  <c r="AC31" i="62"/>
  <c r="AN31" i="62"/>
  <c r="Z25" i="62"/>
  <c r="S25" i="62"/>
  <c r="J25" i="62"/>
  <c r="AH27" i="45"/>
  <c r="AH61" i="45" s="1"/>
  <c r="AC25" i="62"/>
  <c r="AE31" i="62"/>
  <c r="M31" i="62"/>
  <c r="AD72" i="45"/>
  <c r="AD73" i="45" s="1"/>
  <c r="AD80" i="45" s="1"/>
  <c r="AH72" i="45" l="1"/>
  <c r="AH73" i="45" s="1"/>
  <c r="AL77" i="34"/>
  <c r="AJ36" i="45" s="1"/>
  <c r="AL61" i="34"/>
  <c r="AJ29" i="45" s="1"/>
  <c r="AK77" i="34"/>
  <c r="AI36" i="45" s="1"/>
  <c r="AK61" i="34"/>
  <c r="AI29" i="45" s="1"/>
  <c r="K32" i="62" l="1"/>
  <c r="AI34" i="45"/>
  <c r="AI62" i="45" s="1"/>
  <c r="L32" i="62"/>
  <c r="AJ34" i="45"/>
  <c r="AJ62" i="45" s="1"/>
  <c r="AM61" i="34"/>
  <c r="AK29" i="45" s="1"/>
  <c r="AM77" i="34"/>
  <c r="AK36" i="45" s="1"/>
  <c r="K26" i="62"/>
  <c r="AI27" i="45"/>
  <c r="AI61" i="45" s="1"/>
  <c r="L26" i="62"/>
  <c r="AJ27" i="45"/>
  <c r="AJ61" i="45" s="1"/>
  <c r="AJ72" i="45" s="1"/>
  <c r="AJ73" i="45" s="1"/>
  <c r="AI72" i="45" l="1"/>
  <c r="AI73" i="45" s="1"/>
  <c r="M32" i="62"/>
  <c r="AK34" i="45"/>
  <c r="AK62" i="45" s="1"/>
  <c r="AN77" i="34"/>
  <c r="AL36" i="45" s="1"/>
  <c r="AN61" i="34"/>
  <c r="AL29" i="45" s="1"/>
  <c r="M26" i="62"/>
  <c r="AK27" i="45"/>
  <c r="AK61" i="45" s="1"/>
  <c r="AK72" i="45" l="1"/>
  <c r="AK73" i="45" s="1"/>
  <c r="AO77" i="34"/>
  <c r="AM36" i="45" s="1"/>
  <c r="AO61" i="34"/>
  <c r="AM29" i="45" s="1"/>
  <c r="N26" i="62"/>
  <c r="AL27" i="45"/>
  <c r="AL61" i="45" s="1"/>
  <c r="N32" i="62"/>
  <c r="AL34" i="45"/>
  <c r="AL62" i="45" s="1"/>
  <c r="AL72" i="45" l="1"/>
  <c r="AL73" i="45" s="1"/>
  <c r="O26" i="62"/>
  <c r="AM27" i="45"/>
  <c r="AM61" i="45" s="1"/>
  <c r="O32" i="62"/>
  <c r="AM34" i="45"/>
  <c r="AM62" i="45" s="1"/>
  <c r="AP77" i="34"/>
  <c r="AN36" i="45" s="1"/>
  <c r="AP61" i="34"/>
  <c r="AN29" i="45" s="1"/>
  <c r="AM72" i="45" l="1"/>
  <c r="AM73" i="45" s="1"/>
  <c r="P26" i="62"/>
  <c r="AN27" i="45"/>
  <c r="AN61" i="45" s="1"/>
  <c r="P32" i="62"/>
  <c r="AN34" i="45"/>
  <c r="AN62" i="45" s="1"/>
  <c r="AQ77" i="34"/>
  <c r="AO36" i="45" s="1"/>
  <c r="AQ61" i="34"/>
  <c r="AO29" i="45" s="1"/>
  <c r="AN72" i="45" l="1"/>
  <c r="AN73" i="45" s="1"/>
  <c r="Q26" i="62"/>
  <c r="AO27" i="45"/>
  <c r="AO61" i="45" s="1"/>
  <c r="Q32" i="62"/>
  <c r="AO34" i="45"/>
  <c r="AO62" i="45" s="1"/>
  <c r="AR77" i="34"/>
  <c r="AP36" i="45" s="1"/>
  <c r="AR61" i="34"/>
  <c r="AP29" i="45" s="1"/>
  <c r="AO72" i="45" l="1"/>
  <c r="AO73" i="45" s="1"/>
  <c r="R32" i="62"/>
  <c r="AP34" i="45"/>
  <c r="AP62" i="45" s="1"/>
  <c r="AS77" i="34"/>
  <c r="AQ36" i="45" s="1"/>
  <c r="AS61" i="34"/>
  <c r="AQ29" i="45" s="1"/>
  <c r="R26" i="62"/>
  <c r="AP27" i="45"/>
  <c r="AP61" i="45" s="1"/>
  <c r="AP72" i="45" s="1"/>
  <c r="AP73" i="45" s="1"/>
  <c r="AT77" i="34" l="1"/>
  <c r="AR36" i="45" s="1"/>
  <c r="AT61" i="34"/>
  <c r="AR29" i="45" s="1"/>
  <c r="S26" i="62"/>
  <c r="AQ27" i="45"/>
  <c r="AQ61" i="45" s="1"/>
  <c r="S32" i="62"/>
  <c r="AQ34" i="45"/>
  <c r="AQ62" i="45" s="1"/>
  <c r="AQ72" i="45" l="1"/>
  <c r="AQ73" i="45" s="1"/>
  <c r="T26" i="62"/>
  <c r="AR27" i="45"/>
  <c r="AR61" i="45" s="1"/>
  <c r="AU61" i="34"/>
  <c r="AS29" i="45" s="1"/>
  <c r="AU77" i="34"/>
  <c r="AS36" i="45" s="1"/>
  <c r="T32" i="62"/>
  <c r="AR34" i="45"/>
  <c r="AR62" i="45" s="1"/>
  <c r="AR72" i="45" l="1"/>
  <c r="AR73" i="45" s="1"/>
  <c r="AV77" i="34"/>
  <c r="AT36" i="45" s="1"/>
  <c r="AV61" i="34"/>
  <c r="AT29" i="45" s="1"/>
  <c r="U32" i="62"/>
  <c r="AS34" i="45"/>
  <c r="AS62" i="45" s="1"/>
  <c r="U26" i="62"/>
  <c r="AS27" i="45"/>
  <c r="AS61" i="45" s="1"/>
  <c r="AS72" i="45" s="1"/>
  <c r="AS73" i="45" s="1"/>
  <c r="AW61" i="34" l="1"/>
  <c r="AU29" i="45" s="1"/>
  <c r="AW77" i="34"/>
  <c r="AU36" i="45" s="1"/>
  <c r="V26" i="62"/>
  <c r="AT27" i="45"/>
  <c r="AT61" i="45" s="1"/>
  <c r="V32" i="62"/>
  <c r="AT34" i="45"/>
  <c r="AT62" i="45" s="1"/>
  <c r="AT72" i="45" l="1"/>
  <c r="AT73" i="45" s="1"/>
  <c r="W32" i="62"/>
  <c r="AU34" i="45"/>
  <c r="AU62" i="45" s="1"/>
  <c r="AX77" i="34"/>
  <c r="AV36" i="45" s="1"/>
  <c r="AX61" i="34"/>
  <c r="AV29" i="45" s="1"/>
  <c r="W26" i="62"/>
  <c r="AU27" i="45"/>
  <c r="AU61" i="45" s="1"/>
  <c r="AU72" i="45" s="1"/>
  <c r="AU73" i="45" s="1"/>
  <c r="X26" i="62" l="1"/>
  <c r="AV27" i="45"/>
  <c r="AV61" i="45" s="1"/>
  <c r="X32" i="62"/>
  <c r="AV34" i="45"/>
  <c r="AV62" i="45" s="1"/>
  <c r="AY77" i="34"/>
  <c r="AW36" i="45" s="1"/>
  <c r="AY61" i="34"/>
  <c r="AW29" i="45" s="1"/>
  <c r="AV72" i="45" l="1"/>
  <c r="AV73" i="45" s="1"/>
  <c r="Y26" i="62"/>
  <c r="AW27" i="45"/>
  <c r="AW61" i="45" s="1"/>
  <c r="Y32" i="62"/>
  <c r="AW34" i="45"/>
  <c r="AW62" i="45" s="1"/>
  <c r="AZ61" i="34"/>
  <c r="AX29" i="45" s="1"/>
  <c r="AZ77" i="34"/>
  <c r="AX36" i="45" s="1"/>
  <c r="AW72" i="45" l="1"/>
  <c r="AW73" i="45" s="1"/>
  <c r="Z32" i="62"/>
  <c r="AX34" i="45"/>
  <c r="AX62" i="45" s="1"/>
  <c r="Z26" i="62"/>
  <c r="AX27" i="45"/>
  <c r="AX61" i="45" s="1"/>
  <c r="BA77" i="34"/>
  <c r="AY36" i="45" s="1"/>
  <c r="BA61" i="34"/>
  <c r="AY29" i="45" s="1"/>
  <c r="AX72" i="45" l="1"/>
  <c r="AX73" i="45" s="1"/>
  <c r="AA26" i="62"/>
  <c r="AY27" i="45"/>
  <c r="AY61" i="45" s="1"/>
  <c r="AA32" i="62"/>
  <c r="AY34" i="45"/>
  <c r="AY62" i="45" s="1"/>
  <c r="BB77" i="34"/>
  <c r="AZ36" i="45" s="1"/>
  <c r="BB61" i="34"/>
  <c r="AZ29" i="45" s="1"/>
  <c r="AY72" i="45" l="1"/>
  <c r="AY73" i="45" s="1"/>
  <c r="AB26" i="62"/>
  <c r="AZ27" i="45"/>
  <c r="AZ61" i="45" s="1"/>
  <c r="AB32" i="62"/>
  <c r="AZ34" i="45"/>
  <c r="AZ62" i="45" s="1"/>
  <c r="BC77" i="34"/>
  <c r="BA36" i="45" s="1"/>
  <c r="BC61" i="34"/>
  <c r="BA29" i="45" s="1"/>
  <c r="AZ72" i="45" l="1"/>
  <c r="AZ73" i="45" s="1"/>
  <c r="AC26" i="62"/>
  <c r="BA27" i="45"/>
  <c r="BA61" i="45" s="1"/>
  <c r="AC32" i="62"/>
  <c r="BA34" i="45"/>
  <c r="BA62" i="45" s="1"/>
  <c r="BD61" i="34"/>
  <c r="BB29" i="45" s="1"/>
  <c r="BD77" i="34"/>
  <c r="BB36" i="45" s="1"/>
  <c r="BA72" i="45" l="1"/>
  <c r="BA73" i="45" s="1"/>
  <c r="AD32" i="62"/>
  <c r="BB34" i="45"/>
  <c r="BB62" i="45" s="1"/>
  <c r="AD26" i="62"/>
  <c r="BB27" i="45"/>
  <c r="BB61" i="45" s="1"/>
  <c r="BE77" i="34"/>
  <c r="BC36" i="45" s="1"/>
  <c r="BE61" i="34"/>
  <c r="BC29" i="45" s="1"/>
  <c r="BB72" i="45" l="1"/>
  <c r="BB73" i="45" s="1"/>
  <c r="AE26" i="62"/>
  <c r="BC27" i="45"/>
  <c r="BC61" i="45" s="1"/>
  <c r="AE32" i="62"/>
  <c r="BC34" i="45"/>
  <c r="BC62" i="45" s="1"/>
  <c r="BF77" i="34"/>
  <c r="BD36" i="45" s="1"/>
  <c r="BF61" i="34"/>
  <c r="BD29" i="45" s="1"/>
  <c r="BC72" i="45" l="1"/>
  <c r="BC73" i="45" s="1"/>
  <c r="AF32" i="62"/>
  <c r="BD34" i="45"/>
  <c r="BD62" i="45" s="1"/>
  <c r="AF26" i="62"/>
  <c r="BD27" i="45"/>
  <c r="BD61" i="45" s="1"/>
  <c r="BG77" i="34"/>
  <c r="BE36" i="45" s="1"/>
  <c r="BG61" i="34"/>
  <c r="BE29" i="45" s="1"/>
  <c r="BD72" i="45" l="1"/>
  <c r="BD73" i="45" s="1"/>
  <c r="BH77" i="34"/>
  <c r="BF36" i="45" s="1"/>
  <c r="BH61" i="34"/>
  <c r="BF29" i="45" s="1"/>
  <c r="AG26" i="62"/>
  <c r="BE27" i="45"/>
  <c r="BE61" i="45" s="1"/>
  <c r="AG32" i="62"/>
  <c r="BE34" i="45"/>
  <c r="BE62" i="45" s="1"/>
  <c r="BE72" i="45" l="1"/>
  <c r="BE73" i="45" s="1"/>
  <c r="BI77" i="34"/>
  <c r="BG36" i="45" s="1"/>
  <c r="BI61" i="34"/>
  <c r="BG29" i="45" s="1"/>
  <c r="AH26" i="62"/>
  <c r="BF27" i="45"/>
  <c r="BF61" i="45" s="1"/>
  <c r="AH32" i="62"/>
  <c r="BF34" i="45"/>
  <c r="BF62" i="45" s="1"/>
  <c r="BF72" i="45" l="1"/>
  <c r="BF73" i="45" s="1"/>
  <c r="AI26" i="62"/>
  <c r="BG27" i="45"/>
  <c r="BG61" i="45" s="1"/>
  <c r="AI32" i="62"/>
  <c r="BG34" i="45"/>
  <c r="BG62" i="45" s="1"/>
  <c r="BJ77" i="34"/>
  <c r="BH36" i="45" s="1"/>
  <c r="BJ61" i="34"/>
  <c r="BH29" i="45" s="1"/>
  <c r="BG72" i="45" l="1"/>
  <c r="BG73" i="45" s="1"/>
  <c r="AJ26" i="62"/>
  <c r="BH27" i="45"/>
  <c r="BH61" i="45" s="1"/>
  <c r="AJ32" i="62"/>
  <c r="BH34" i="45"/>
  <c r="BH62" i="45" s="1"/>
  <c r="BK61" i="34"/>
  <c r="BI29" i="45" s="1"/>
  <c r="BK77" i="34"/>
  <c r="BI36" i="45" s="1"/>
  <c r="BH72" i="45" l="1"/>
  <c r="BH73" i="45" s="1"/>
  <c r="AK32" i="62"/>
  <c r="BI34" i="45"/>
  <c r="BI62" i="45" s="1"/>
  <c r="AK26" i="62"/>
  <c r="BI27" i="45"/>
  <c r="BI61" i="45" s="1"/>
  <c r="BL77" i="34"/>
  <c r="BJ36" i="45" s="1"/>
  <c r="BL61" i="34"/>
  <c r="BJ29" i="45" s="1"/>
  <c r="BI72" i="45" l="1"/>
  <c r="BI73" i="45" s="1"/>
  <c r="AL26" i="62"/>
  <c r="BJ27" i="45"/>
  <c r="BJ61" i="45" s="1"/>
  <c r="AL32" i="62"/>
  <c r="BJ34" i="45"/>
  <c r="BJ62" i="45" s="1"/>
  <c r="BM77" i="34"/>
  <c r="BK36" i="45" s="1"/>
  <c r="BM61" i="34"/>
  <c r="BK29" i="45" s="1"/>
  <c r="BJ72" i="45" l="1"/>
  <c r="BJ73" i="45" s="1"/>
  <c r="AM26" i="62"/>
  <c r="BK27" i="45"/>
  <c r="BK61" i="45" s="1"/>
  <c r="AM32" i="62"/>
  <c r="BK34" i="45"/>
  <c r="BK62" i="45" s="1"/>
  <c r="BN77" i="34"/>
  <c r="BL36" i="45" s="1"/>
  <c r="BN61" i="34"/>
  <c r="BL29" i="45" s="1"/>
  <c r="BK72" i="45" l="1"/>
  <c r="BK73" i="45" s="1"/>
  <c r="AN26" i="62"/>
  <c r="BL27" i="45"/>
  <c r="BL61" i="45" s="1"/>
  <c r="AN32" i="62"/>
  <c r="BL34" i="45"/>
  <c r="BL62" i="45" s="1"/>
  <c r="BO77" i="34"/>
  <c r="BM36" i="45" s="1"/>
  <c r="BO61" i="34"/>
  <c r="BM29" i="45" s="1"/>
  <c r="BL72" i="45" l="1"/>
  <c r="BL73" i="45" s="1"/>
  <c r="AO26" i="62"/>
  <c r="BM27" i="45"/>
  <c r="BM61" i="45" s="1"/>
  <c r="AO32" i="62"/>
  <c r="BM34" i="45"/>
  <c r="BM62" i="45" s="1"/>
  <c r="BP77" i="34"/>
  <c r="BN36" i="45" s="1"/>
  <c r="BP61" i="34"/>
  <c r="BN29" i="45" s="1"/>
  <c r="BM72" i="45" l="1"/>
  <c r="BM73" i="45" s="1"/>
  <c r="AP26" i="62"/>
  <c r="BN27" i="45"/>
  <c r="BN61" i="45" s="1"/>
  <c r="AP32" i="62"/>
  <c r="BN34" i="45"/>
  <c r="BN62" i="45" s="1"/>
  <c r="BN72" i="45" l="1"/>
  <c r="BN73" i="4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tc={6704E445-3F8B-48DB-A842-B7D498DA546D}</author>
  </authors>
  <commentList>
    <comment ref="Z6" authorId="0" shapeId="0" xr:uid="{00000000-0006-0000-0600-000001000000}">
      <text>
        <t>[Threaded comment]
Your version of Excel allows you to read this threaded comment; however, any edits to it will get removed if the file is opened in a newer version of Excel. Learn more: https://go.microsoft.com/fwlink/?linkid=870924
Comment:
    perhaps remove this?</t>
      </text>
    </comment>
  </commentList>
</comments>
</file>

<file path=xl/sharedStrings.xml><?xml version="1.0" encoding="utf-8"?>
<sst xmlns="http://schemas.openxmlformats.org/spreadsheetml/2006/main" count="2528" uniqueCount="980">
  <si>
    <t>Units</t>
  </si>
  <si>
    <t>Population</t>
  </si>
  <si>
    <t>Dairy cattle</t>
  </si>
  <si>
    <t>Horses</t>
  </si>
  <si>
    <t>IPCC category</t>
  </si>
  <si>
    <t>Gas</t>
  </si>
  <si>
    <t>3A1ai Dairy cattle</t>
  </si>
  <si>
    <t>IPCC Categories</t>
  </si>
  <si>
    <t>Constants</t>
  </si>
  <si>
    <t>CH4 GWP</t>
  </si>
  <si>
    <t>N2O GWP</t>
  </si>
  <si>
    <t>AFOLU inventory categories</t>
  </si>
  <si>
    <t>Level 1</t>
  </si>
  <si>
    <t>Level 2</t>
  </si>
  <si>
    <t>Level 3</t>
  </si>
  <si>
    <t>3A Livestock</t>
  </si>
  <si>
    <t>3A1 Enteric fermentation (CH4)</t>
  </si>
  <si>
    <t>3A1a Cattle</t>
  </si>
  <si>
    <t>3A1c Sheep</t>
  </si>
  <si>
    <t>3A1d Goats</t>
  </si>
  <si>
    <t>3A1f Horses</t>
  </si>
  <si>
    <t>3A1h Swine</t>
  </si>
  <si>
    <t>3A2 Manure management (CH4)</t>
  </si>
  <si>
    <t>3A2a Cattle</t>
  </si>
  <si>
    <t>3A2c Sheep</t>
  </si>
  <si>
    <t>3A2d Goats</t>
  </si>
  <si>
    <t>3A2f Horses</t>
  </si>
  <si>
    <t>3A2h Swine</t>
  </si>
  <si>
    <t>3A2i Poultry</t>
  </si>
  <si>
    <t>3B Land</t>
  </si>
  <si>
    <t>3B1 Forest land (net CO2)</t>
  </si>
  <si>
    <t>3B1a Forest land remaining forest land</t>
  </si>
  <si>
    <t>3B1b Land converted to forest land</t>
  </si>
  <si>
    <t>3B2 Cropland (net CO2)</t>
  </si>
  <si>
    <t>3B2a Cropland remaining cropland</t>
  </si>
  <si>
    <t>3B2b Land converted to cropland</t>
  </si>
  <si>
    <t>3B3 Grassland (net CO2)</t>
  </si>
  <si>
    <t>3B3a Grassland remaining grassland</t>
  </si>
  <si>
    <t>3B3b Land converted to grassland</t>
  </si>
  <si>
    <t>3B4 Wetland (CH4)</t>
  </si>
  <si>
    <t>3B5 Settlements (net CO2)</t>
  </si>
  <si>
    <t>3B5a Setllements remaining settlements</t>
  </si>
  <si>
    <t>3B5b Land converted to settlements</t>
  </si>
  <si>
    <t>3B6 Other lands (net CO2)</t>
  </si>
  <si>
    <t>3B6b Land converted to other land</t>
  </si>
  <si>
    <t>3C1 Biomass burning (CH4)</t>
  </si>
  <si>
    <t>3C1a Biomass burning in forest land</t>
  </si>
  <si>
    <t>3C1b Biomass burning in Croplands</t>
  </si>
  <si>
    <t>3C1c Biomass burning in Grasslands</t>
  </si>
  <si>
    <t>3C1d Biomass burning in Wetlands</t>
  </si>
  <si>
    <t>3C1e Biomass burning in Settlements</t>
  </si>
  <si>
    <t>3C1f Biomass burning in Other lands</t>
  </si>
  <si>
    <t>3C1 Biomass burning (N2O)</t>
  </si>
  <si>
    <t>3C2 Liming (CO2)</t>
  </si>
  <si>
    <t>3C3 Urea application (CO2)</t>
  </si>
  <si>
    <t>3C4 Direct N2O from managed soils (N2O)</t>
  </si>
  <si>
    <t>Inorganic inputs</t>
  </si>
  <si>
    <t>Organic inputs</t>
  </si>
  <si>
    <t>Crop residues</t>
  </si>
  <si>
    <t>Urine and dung</t>
  </si>
  <si>
    <t>FSOM</t>
  </si>
  <si>
    <t>3C5 Indirect N2O from managed soils (N2O)</t>
  </si>
  <si>
    <t>Volatilisation</t>
  </si>
  <si>
    <t>Leaching/runoff</t>
  </si>
  <si>
    <t>3C6 Indirect N2O from manure management (N2O)</t>
  </si>
  <si>
    <t>3D Other</t>
  </si>
  <si>
    <t>3D1 HWP (CO2)</t>
  </si>
  <si>
    <t>3A1aii Other cattle</t>
  </si>
  <si>
    <t>3A2ai Dairy cattle</t>
  </si>
  <si>
    <t>3A2aii Other cattle</t>
  </si>
  <si>
    <t>Level 4</t>
  </si>
  <si>
    <t>3B1bi Cropland converted to forest land</t>
  </si>
  <si>
    <t>3B1bii Grassland converted to forest land</t>
  </si>
  <si>
    <t>3B1biii Wetlands converted to forest land</t>
  </si>
  <si>
    <t>3B1biv Settlements converted to forest land</t>
  </si>
  <si>
    <t>3B1bv Other land converted to forest land</t>
  </si>
  <si>
    <t>3B2bi Forest land converted to cropland</t>
  </si>
  <si>
    <t>3B2bii Grassland converted to cropland</t>
  </si>
  <si>
    <t>3B2biii Wetlands converted to cropland</t>
  </si>
  <si>
    <t>3B2biv Settlements converted to cropland</t>
  </si>
  <si>
    <t>3B2bv Other land converted to cropland</t>
  </si>
  <si>
    <t>3B3bi Forest land converted to grassland</t>
  </si>
  <si>
    <t>3B3bii Cropland converted to grassland</t>
  </si>
  <si>
    <t>3B3biii Wetlands converted to grassland</t>
  </si>
  <si>
    <t>3B3iv Settlements converted to grassland</t>
  </si>
  <si>
    <t>3B3v Other land converted to grassland</t>
  </si>
  <si>
    <t>3B5bi Forest land converted to settlements</t>
  </si>
  <si>
    <t>3B5bii Cropland converted to settlements</t>
  </si>
  <si>
    <t>3B5biii Grassland converted to settlements</t>
  </si>
  <si>
    <t>3B5biv Wetlands converted to settlements</t>
  </si>
  <si>
    <t>3B5bv Other land converted to settlements</t>
  </si>
  <si>
    <t>3B6bi Forest land converted to other land</t>
  </si>
  <si>
    <t>3B6bii Cropland converted to other land</t>
  </si>
  <si>
    <t>3B6biii Grassland converted to other land</t>
  </si>
  <si>
    <t>3B6biv Wetlands converted to other land</t>
  </si>
  <si>
    <t>3B6bv Settlements converted to other land</t>
  </si>
  <si>
    <t>Activities</t>
  </si>
  <si>
    <t>Enteric fermentation</t>
  </si>
  <si>
    <t>Manure management</t>
  </si>
  <si>
    <t>Forest land</t>
  </si>
  <si>
    <t>Forest land remaining forest land</t>
  </si>
  <si>
    <t>Land converted to forest land</t>
  </si>
  <si>
    <t>Cropland remaining cropland</t>
  </si>
  <si>
    <t>Land converted to cropland</t>
  </si>
  <si>
    <t>Grassland remaining grassland</t>
  </si>
  <si>
    <t>Land converted to grassland</t>
  </si>
  <si>
    <t>Wetlands</t>
  </si>
  <si>
    <t>Settlements remaining settlements</t>
  </si>
  <si>
    <t>Land converted to settlements</t>
  </si>
  <si>
    <t>3B6a Other land remaining other land</t>
  </si>
  <si>
    <t>Other land remaining other land</t>
  </si>
  <si>
    <t>Land converted to other land</t>
  </si>
  <si>
    <t>Biomass burning</t>
  </si>
  <si>
    <t>Liming</t>
  </si>
  <si>
    <t>Urea application</t>
  </si>
  <si>
    <t>Inorganic N inputs</t>
  </si>
  <si>
    <t>Organic N inputs</t>
  </si>
  <si>
    <t>Crop N residues</t>
  </si>
  <si>
    <t>Urine and dung N inputs</t>
  </si>
  <si>
    <t>FSOM inputs</t>
  </si>
  <si>
    <t>HWP</t>
  </si>
  <si>
    <t>CH4</t>
  </si>
  <si>
    <t>Commercial</t>
  </si>
  <si>
    <t>Subsistence</t>
  </si>
  <si>
    <t>Mules &amp; Asses</t>
  </si>
  <si>
    <t>Commercial breeding</t>
  </si>
  <si>
    <t>Commercial baconers</t>
  </si>
  <si>
    <t>Commercial porkers</t>
  </si>
  <si>
    <t>Subsistence breeding</t>
  </si>
  <si>
    <t>Subsistence baconers</t>
  </si>
  <si>
    <t>Subsistence porkers</t>
  </si>
  <si>
    <t>Commercial layers</t>
  </si>
  <si>
    <t>Commercial broilers</t>
  </si>
  <si>
    <t>Subsistence broilers</t>
  </si>
  <si>
    <t>Subsistence layers</t>
  </si>
  <si>
    <t>Feedlot</t>
  </si>
  <si>
    <t>TMR</t>
  </si>
  <si>
    <t>Pasture</t>
  </si>
  <si>
    <t>Head</t>
  </si>
  <si>
    <t>N2O</t>
  </si>
  <si>
    <t>3A1g Mules &amp; asses</t>
  </si>
  <si>
    <t>3A2g Mules &amp; asses</t>
  </si>
  <si>
    <t>Activity data</t>
  </si>
  <si>
    <t>Emission factors</t>
  </si>
  <si>
    <t>kg CH4/head/yr</t>
  </si>
  <si>
    <t>kg N2O-N/kg Nex</t>
  </si>
  <si>
    <t>N2O-N to N2O</t>
  </si>
  <si>
    <t>kg to Gg</t>
  </si>
  <si>
    <t>TOTAL</t>
  </si>
  <si>
    <t>Sub category</t>
  </si>
  <si>
    <t>Metric</t>
  </si>
  <si>
    <t>Other cattle</t>
  </si>
  <si>
    <t>Sheep</t>
  </si>
  <si>
    <t>Goats</t>
  </si>
  <si>
    <t>Mules and asses</t>
  </si>
  <si>
    <t>Swine</t>
  </si>
  <si>
    <t>Dairy (pasture) - Lactating cows</t>
  </si>
  <si>
    <t>Dairy (pasture) - Dry cows</t>
  </si>
  <si>
    <t>Dairy (pasture) - Lactating heifers</t>
  </si>
  <si>
    <t>Dairy (TMR) - Lactating cows</t>
  </si>
  <si>
    <t>Dairy (TMR) - Dry cows</t>
  </si>
  <si>
    <t>Dairy (TMR) - Lactating heifers</t>
  </si>
  <si>
    <t>Dairy (non-lactating - pasture) - Calves</t>
  </si>
  <si>
    <t>Dairy (non-lactating - pasture) - Heifers 2-6mths</t>
  </si>
  <si>
    <t>Dairy (non-lactating - pasture) - Heifers 6-12mths</t>
  </si>
  <si>
    <t>Dairy (non-lactating - pasture) - Heifers &gt;1yr</t>
  </si>
  <si>
    <t>Dairy (non-lactating - pasture) - Pregnant heifers</t>
  </si>
  <si>
    <t>Dairy (non-lactating - TMR) - Calves</t>
  </si>
  <si>
    <t>Dairy (non-lactating - TMR) - Heifers 2-6mths</t>
  </si>
  <si>
    <t>Dairy (non-lactating - TMR) - Heifers 6-12mths</t>
  </si>
  <si>
    <t>Dairy (non-lactating - TMR) - Heifers &gt;1yr</t>
  </si>
  <si>
    <t>Dairy (non-lactating - TMR) - Pregnant heifers</t>
  </si>
  <si>
    <t>Commercial beef - Bulls</t>
  </si>
  <si>
    <t>Commercial beef - Calves</t>
  </si>
  <si>
    <t>Commercial beef - Cows</t>
  </si>
  <si>
    <t>Commercial beef - Feedlot</t>
  </si>
  <si>
    <t>Commercial beef - Heifers</t>
  </si>
  <si>
    <t>Commercial beef - Oxen</t>
  </si>
  <si>
    <t>Commercial beef - Young oxen</t>
  </si>
  <si>
    <t>Subsistence cattle - Bulls</t>
  </si>
  <si>
    <t>Subsistence cattle - Calves</t>
  </si>
  <si>
    <t>Subsistence cattle - Cows</t>
  </si>
  <si>
    <t>Subsistence cattle - Heifers</t>
  </si>
  <si>
    <t>Subsistence cattle - Oxen</t>
  </si>
  <si>
    <t>Subsistence cattle - Young oxen</t>
  </si>
  <si>
    <t>Commercial - Karakul - Breeding ewes</t>
  </si>
  <si>
    <t>Commercial - Karakul - Breeding rams</t>
  </si>
  <si>
    <t>Commercial - Karakul - Lambs</t>
  </si>
  <si>
    <t>Commercial - Karakul - Weaners</t>
  </si>
  <si>
    <t>Commercial - Karakul - Young ewes</t>
  </si>
  <si>
    <t>Commercial - Karakul - Young rams</t>
  </si>
  <si>
    <t>Commercial - Merino - Breeding ewes</t>
  </si>
  <si>
    <t>Commercial - Merino - Breeding rams</t>
  </si>
  <si>
    <t>Commercial - Merino - Lambs</t>
  </si>
  <si>
    <t>Commercial - Merino - Weaners</t>
  </si>
  <si>
    <t>Commercial - Merino - Young ewes</t>
  </si>
  <si>
    <t>Commercial - Merino - Young rams</t>
  </si>
  <si>
    <t>Commercial - Non-wool - Breeding ewes</t>
  </si>
  <si>
    <t>Commercial - Non-wool - Breeding rams</t>
  </si>
  <si>
    <t>Commercial - Non-wool - Lambs</t>
  </si>
  <si>
    <t>Commercial - Non-wool - Weaners</t>
  </si>
  <si>
    <t>Commercial - Non-wool - Young ewes</t>
  </si>
  <si>
    <t>Commercial - Non-wool - Young rams</t>
  </si>
  <si>
    <t>Commercial - Other wool - Breeding ewes</t>
  </si>
  <si>
    <t>Commercial - Other wool - Breeding rams</t>
  </si>
  <si>
    <t>Commercial - Other wool - Lambs</t>
  </si>
  <si>
    <t>Commercial - Other wool - Weaners</t>
  </si>
  <si>
    <t>Commercial - Other wool - Young ewes</t>
  </si>
  <si>
    <t>Commercial - Other wool - Young rams</t>
  </si>
  <si>
    <t>Subsistence - Karakul - Breeding ewes</t>
  </si>
  <si>
    <t>Subsistence - Karakul - Breeding rams</t>
  </si>
  <si>
    <t>Subsistence - Karakul - Lambs</t>
  </si>
  <si>
    <t>Subsistence - Karakul - Weaners</t>
  </si>
  <si>
    <t>Subsistence - Karakul - Young ewes</t>
  </si>
  <si>
    <t>Subsistence - Karakul - Young rams</t>
  </si>
  <si>
    <t>Subsistence - Merino - Breeding ewes</t>
  </si>
  <si>
    <t>Subsistence - Merino - Breeding rams</t>
  </si>
  <si>
    <t>Subsistence - Merino - Lambs</t>
  </si>
  <si>
    <t>Subsistence - Merino - Weaners</t>
  </si>
  <si>
    <t>Subsistence - Merino - Young ewes</t>
  </si>
  <si>
    <t>Subsistence - Merino - Young rams</t>
  </si>
  <si>
    <t>Subsistence - Non-wool - Breeding ewes</t>
  </si>
  <si>
    <t>Subsistence - Non-wool - Breeding rams</t>
  </si>
  <si>
    <t>Subsistence - Non-wool - Lambs</t>
  </si>
  <si>
    <t>Subsistence - Non-wool - Weaners</t>
  </si>
  <si>
    <t>Subsistence - Non-wool - Young ewes</t>
  </si>
  <si>
    <t>Subsistence - Non-wool - Young rams</t>
  </si>
  <si>
    <t>Subsistence - Other wool - Breeding ewes</t>
  </si>
  <si>
    <t>Subsistence - Other wool - Breeding rams</t>
  </si>
  <si>
    <t>Subsistence - Other wool - Lambs</t>
  </si>
  <si>
    <t>Subsistence - Other wool - Weaners</t>
  </si>
  <si>
    <t>Subsistence - Other wool - Young ewes</t>
  </si>
  <si>
    <t>Subsistence - Other wool - Young rams</t>
  </si>
  <si>
    <t>Commercial - Angora - Breeding buck</t>
  </si>
  <si>
    <t>Commercial - Angora - Breeding does</t>
  </si>
  <si>
    <t>Commercial - Angora - Kids</t>
  </si>
  <si>
    <t>Commercial - Angora - Weaners</t>
  </si>
  <si>
    <t>Commercial - Angora - Young buck</t>
  </si>
  <si>
    <t>Commercial - Angora - Young does</t>
  </si>
  <si>
    <t>Commercial goats - Breeding buck</t>
  </si>
  <si>
    <t>Commercial goats - Breeding does</t>
  </si>
  <si>
    <t>Commercial goats - Kids</t>
  </si>
  <si>
    <t>Commercial goats - Weaners</t>
  </si>
  <si>
    <t>Commercial goats - Young buck</t>
  </si>
  <si>
    <t>Commercial goats - Young does</t>
  </si>
  <si>
    <t>Commercial - Milk - Breeding buck</t>
  </si>
  <si>
    <t>Commercial - Milk - Breeding does</t>
  </si>
  <si>
    <t>Commercial - Milk - Kids</t>
  </si>
  <si>
    <t>Commercial - Milk - Weaners</t>
  </si>
  <si>
    <t>Commercial - Milk - Young buck</t>
  </si>
  <si>
    <t>Commercial - Milk - Young does</t>
  </si>
  <si>
    <t>Subsistence goats - Breeding buck</t>
  </si>
  <si>
    <t>Subsistence goats - Breeding does</t>
  </si>
  <si>
    <t>Subsistence goats - Kids</t>
  </si>
  <si>
    <t>Subsistence goats - Weaners</t>
  </si>
  <si>
    <t>Subsistence goats - Young buck</t>
  </si>
  <si>
    <t>Subsistence goats - Young does</t>
  </si>
  <si>
    <t>Commercial swine - Baconers</t>
  </si>
  <si>
    <t>Commercial swine - Boars</t>
  </si>
  <si>
    <t>Commercial swine - Cull boars</t>
  </si>
  <si>
    <t>Commercial swine - Cull sows</t>
  </si>
  <si>
    <t>Commercial swine - Dry gestating sows</t>
  </si>
  <si>
    <t>Commercial swine - Lactating sows</t>
  </si>
  <si>
    <t>Commercial swine - Porkers</t>
  </si>
  <si>
    <t>Commercial swine - Pre-wean piglets</t>
  </si>
  <si>
    <t>Commercial swine - Replacement boars</t>
  </si>
  <si>
    <t>Commercial swine - Replacement sows</t>
  </si>
  <si>
    <t>Subsistence swine - Baconers</t>
  </si>
  <si>
    <t>Subsistence swine - Boars</t>
  </si>
  <si>
    <t>Subsistence swine - Cull boars</t>
  </si>
  <si>
    <t>Subsistence swine - Cull sows</t>
  </si>
  <si>
    <t>Subsistence swine - Dry gestating sows</t>
  </si>
  <si>
    <t>Subsistence swine - Lactating sows</t>
  </si>
  <si>
    <t>Subsistence swine - Porkers</t>
  </si>
  <si>
    <t>Subsistence swine - Pre-wean piglets</t>
  </si>
  <si>
    <t>Subsistence swine - Replacement boars</t>
  </si>
  <si>
    <t>Subsistence swine - Replacement sows</t>
  </si>
  <si>
    <t>Aggregated emission factors</t>
  </si>
  <si>
    <t>Livestock category</t>
  </si>
  <si>
    <t>EF</t>
  </si>
  <si>
    <t>Activity</t>
  </si>
  <si>
    <t>2010 Population</t>
  </si>
  <si>
    <t>Assumptions</t>
  </si>
  <si>
    <t>Notes</t>
  </si>
  <si>
    <t>Ratio</t>
  </si>
  <si>
    <t>EF x ratio</t>
  </si>
  <si>
    <t>Gg CH4</t>
  </si>
  <si>
    <t>Gg N2O</t>
  </si>
  <si>
    <t>Poultry</t>
  </si>
  <si>
    <t>Commercial poultry - Broilers</t>
  </si>
  <si>
    <t>Commercial poultry - Layers</t>
  </si>
  <si>
    <t>Subsistence poultry - Broilers</t>
  </si>
  <si>
    <t>Subsistence poultry - Layers</t>
  </si>
  <si>
    <t>Manure EF</t>
  </si>
  <si>
    <t>Lagoon</t>
  </si>
  <si>
    <t>Liquid/slurry</t>
  </si>
  <si>
    <t>Drylot</t>
  </si>
  <si>
    <t>Solid storage</t>
  </si>
  <si>
    <t>Daily spread</t>
  </si>
  <si>
    <t>Compost</t>
  </si>
  <si>
    <t>Manure with bedding</t>
  </si>
  <si>
    <t>Poultry manure without litter</t>
  </si>
  <si>
    <t>Poultry manure with litter</t>
  </si>
  <si>
    <t>Dailyspread</t>
  </si>
  <si>
    <t>Pasture, range and paddock</t>
  </si>
  <si>
    <t>Percentage</t>
  </si>
  <si>
    <t>MM</t>
  </si>
  <si>
    <t>Non-lactating</t>
  </si>
  <si>
    <t>Reference for projections</t>
  </si>
  <si>
    <t>Population data</t>
  </si>
  <si>
    <t>Excretion rate</t>
  </si>
  <si>
    <t>kg N/head/yr</t>
  </si>
  <si>
    <t>Summary</t>
  </si>
  <si>
    <t>Level 2 category</t>
  </si>
  <si>
    <t>Level 3 category</t>
  </si>
  <si>
    <t>Level 3/4 category</t>
  </si>
  <si>
    <t>Drivers</t>
  </si>
  <si>
    <t>Driver</t>
  </si>
  <si>
    <t>Beef consumption</t>
  </si>
  <si>
    <t>kg to tonne</t>
  </si>
  <si>
    <t>Beef production</t>
  </si>
  <si>
    <t>t</t>
  </si>
  <si>
    <t>t/capita</t>
  </si>
  <si>
    <t>Capita</t>
  </si>
  <si>
    <t>Input data</t>
  </si>
  <si>
    <t>Output data</t>
  </si>
  <si>
    <t>Livestock outputs</t>
  </si>
  <si>
    <t>Fraction</t>
  </si>
  <si>
    <t>Milk consumption</t>
  </si>
  <si>
    <t>Milk production</t>
  </si>
  <si>
    <t>TMR dairy cattle fraction</t>
  </si>
  <si>
    <t>Fraction of dairy cattle that is TMR</t>
  </si>
  <si>
    <t>Lamb consumption</t>
  </si>
  <si>
    <t>Lamb production</t>
  </si>
  <si>
    <t>Pork consumption</t>
  </si>
  <si>
    <t>Pork production</t>
  </si>
  <si>
    <t>Egg consumption</t>
  </si>
  <si>
    <t>Egg production</t>
  </si>
  <si>
    <t>Chicken consumption</t>
  </si>
  <si>
    <t>Chicken production</t>
  </si>
  <si>
    <t>Chevon consumption</t>
  </si>
  <si>
    <t>Lamb and chevon consumption</t>
  </si>
  <si>
    <t>Fraction of goat meat</t>
  </si>
  <si>
    <t>Fraction of sheep and goat meat that is goat meat</t>
  </si>
  <si>
    <t>Maize production</t>
  </si>
  <si>
    <t>Maize consumption (total)</t>
  </si>
  <si>
    <t>Indigenous forests</t>
  </si>
  <si>
    <t>Thickets</t>
  </si>
  <si>
    <t>Woodlands</t>
  </si>
  <si>
    <t>Plantations</t>
  </si>
  <si>
    <t>Annual non-pivot</t>
  </si>
  <si>
    <t>Annual pivot</t>
  </si>
  <si>
    <t>Perennial orchards</t>
  </si>
  <si>
    <t>Perennial vineyards</t>
  </si>
  <si>
    <t>Cropland subsistence</t>
  </si>
  <si>
    <t>Grasslands</t>
  </si>
  <si>
    <t>Low shrublands</t>
  </si>
  <si>
    <t>Settlements</t>
  </si>
  <si>
    <t>Mines</t>
  </si>
  <si>
    <t>Bare ground</t>
  </si>
  <si>
    <t>Degraded land</t>
  </si>
  <si>
    <t>ha</t>
  </si>
  <si>
    <t>Biomass burning EF</t>
  </si>
  <si>
    <t>Biomass burning Cf</t>
  </si>
  <si>
    <t>Biomass burning Mb</t>
  </si>
  <si>
    <t>t/ha</t>
  </si>
  <si>
    <t>g gas/kg dm</t>
  </si>
  <si>
    <t>Maize area</t>
  </si>
  <si>
    <t>Crop production</t>
  </si>
  <si>
    <t>3C Aggregated and non-CO2 emissions on land</t>
  </si>
  <si>
    <t>Wheat area</t>
  </si>
  <si>
    <t>Sorghum consumption (total)</t>
  </si>
  <si>
    <t>Sorghum area</t>
  </si>
  <si>
    <t>Fertilisers and lime</t>
  </si>
  <si>
    <t xml:space="preserve"> - wheat</t>
  </si>
  <si>
    <t xml:space="preserve"> - sorghum</t>
  </si>
  <si>
    <t xml:space="preserve"> - total</t>
  </si>
  <si>
    <t>fraction</t>
  </si>
  <si>
    <t>Lime application EF</t>
  </si>
  <si>
    <t>t C/t lime</t>
  </si>
  <si>
    <t>CO2</t>
  </si>
  <si>
    <t>Lime emissions</t>
  </si>
  <si>
    <t>Gg CO2</t>
  </si>
  <si>
    <t>Lime consumption</t>
  </si>
  <si>
    <t>Inorganic N application</t>
  </si>
  <si>
    <t>Urea EF</t>
  </si>
  <si>
    <t>t C/t urea</t>
  </si>
  <si>
    <t>Urea emissions</t>
  </si>
  <si>
    <t>CtoCO2</t>
  </si>
  <si>
    <t>tonne to Gg</t>
  </si>
  <si>
    <t>Compost N</t>
  </si>
  <si>
    <t>FracMM</t>
  </si>
  <si>
    <t xml:space="preserve"> - Diary cattle</t>
  </si>
  <si>
    <t xml:space="preserve"> - commercial other cattle</t>
  </si>
  <si>
    <t xml:space="preserve"> - feedlot other cattle</t>
  </si>
  <si>
    <t xml:space="preserve"> - subsistence other cattle</t>
  </si>
  <si>
    <t xml:space="preserve"> - commercial sheep</t>
  </si>
  <si>
    <t xml:space="preserve"> - subsistence sheep</t>
  </si>
  <si>
    <t xml:space="preserve"> - commercial goats</t>
  </si>
  <si>
    <t xml:space="preserve"> - subsistence goats</t>
  </si>
  <si>
    <t xml:space="preserve"> - commercial swine</t>
  </si>
  <si>
    <t xml:space="preserve"> - subsistence swine</t>
  </si>
  <si>
    <t xml:space="preserve"> - broilers</t>
  </si>
  <si>
    <t xml:space="preserve"> - layers</t>
  </si>
  <si>
    <t>FracLoss</t>
  </si>
  <si>
    <t>N for bedding</t>
  </si>
  <si>
    <t>Manure N</t>
  </si>
  <si>
    <t>kg N</t>
  </si>
  <si>
    <t>N bedding</t>
  </si>
  <si>
    <t>MM N available</t>
  </si>
  <si>
    <t>Urine &amp; dung</t>
  </si>
  <si>
    <t>Synthetic N</t>
  </si>
  <si>
    <t>Organic N</t>
  </si>
  <si>
    <t>SOM N</t>
  </si>
  <si>
    <t>Urine and dung N (CPP)</t>
  </si>
  <si>
    <t>Urine and dung N (SO)</t>
  </si>
  <si>
    <t>kg N2O-N/kg N input</t>
  </si>
  <si>
    <t xml:space="preserve"> - EF</t>
  </si>
  <si>
    <t>tonne to kg</t>
  </si>
  <si>
    <t>Synthetic fertlisers</t>
  </si>
  <si>
    <t>Organic fertilisers</t>
  </si>
  <si>
    <t>MM emissions</t>
  </si>
  <si>
    <t>U&amp;D emissions</t>
  </si>
  <si>
    <t>FracGASF</t>
  </si>
  <si>
    <t>FracGASM</t>
  </si>
  <si>
    <t>FracLEACH</t>
  </si>
  <si>
    <t xml:space="preserve"> - synthetic N</t>
  </si>
  <si>
    <t xml:space="preserve"> - Organic N</t>
  </si>
  <si>
    <t xml:space="preserve"> - N application</t>
  </si>
  <si>
    <t xml:space="preserve"> - U&amp;D</t>
  </si>
  <si>
    <t xml:space="preserve"> - volatilisation EF</t>
  </si>
  <si>
    <t xml:space="preserve"> - leaching EF</t>
  </si>
  <si>
    <t>Indirect MS</t>
  </si>
  <si>
    <t>kg N2O-N/kg N volatilized</t>
  </si>
  <si>
    <t>kg N2O-N/kg N leached</t>
  </si>
  <si>
    <t xml:space="preserve"> - Synthetic fertlisers</t>
  </si>
  <si>
    <t xml:space="preserve"> - Organic fertilisers</t>
  </si>
  <si>
    <t xml:space="preserve"> - Managed manure</t>
  </si>
  <si>
    <t xml:space="preserve"> - Urine &amp; dung</t>
  </si>
  <si>
    <t xml:space="preserve"> - crop residues</t>
  </si>
  <si>
    <t>FracLEACHMM</t>
  </si>
  <si>
    <t xml:space="preserve"> - manure management</t>
  </si>
  <si>
    <t>Indirect MM</t>
  </si>
  <si>
    <t>FracGasMS</t>
  </si>
  <si>
    <t xml:space="preserve"> - maize</t>
  </si>
  <si>
    <t>Fraction of total N residue</t>
  </si>
  <si>
    <t>Crop residue</t>
  </si>
  <si>
    <t>Slope</t>
  </si>
  <si>
    <t>Intercept</t>
  </si>
  <si>
    <t>TMR - Manure management - Lagoon</t>
  </si>
  <si>
    <t>TMR - Manure management - Liquid/slurry</t>
  </si>
  <si>
    <t>TMR - Manure management - Drylot</t>
  </si>
  <si>
    <t>TMR - Manure management - Solid storage</t>
  </si>
  <si>
    <t>TMR - Manure management - Dailyspread</t>
  </si>
  <si>
    <t>TMR - Manure management - Compost</t>
  </si>
  <si>
    <t>TMR - Manure management - Manure with bedding</t>
  </si>
  <si>
    <t>TMR - Manure management - Poultry manure without litter</t>
  </si>
  <si>
    <t>TMR - Manure management - Poultry manure with litter</t>
  </si>
  <si>
    <t>TMR - Manure management - Pasture, range and paddock</t>
  </si>
  <si>
    <t>Pasture - Manure management - Lagoon</t>
  </si>
  <si>
    <t>Pasture - Manure management - Liquid/slurry</t>
  </si>
  <si>
    <t>Pasture - Manure management - Drylot</t>
  </si>
  <si>
    <t>Pasture - Manure management - Solid storage</t>
  </si>
  <si>
    <t>Pasture - Manure management - Dailyspread</t>
  </si>
  <si>
    <t>Pasture - Manure management - Compost</t>
  </si>
  <si>
    <t>Pasture - Manure management - Manure with bedding</t>
  </si>
  <si>
    <t>Pasture - Manure management - Poultry manure without litter</t>
  </si>
  <si>
    <t>Pasture - Manure management - Poultry manure with litter</t>
  </si>
  <si>
    <t>Pasture - Manure management - Pasture, range and paddock</t>
  </si>
  <si>
    <t>Non-lactating - Manure management - Lagoon</t>
  </si>
  <si>
    <t>Non-lactating - Manure management - Liquid/slurry</t>
  </si>
  <si>
    <t>Non-lactating - Manure management - Drylot</t>
  </si>
  <si>
    <t>Non-lactating - Manure management - Solid storage</t>
  </si>
  <si>
    <t>Non-lactating - Manure management - Dailyspread</t>
  </si>
  <si>
    <t>Non-lactating - Manure management - Compost</t>
  </si>
  <si>
    <t>Non-lactating - Manure management - Manure with bedding</t>
  </si>
  <si>
    <t>Non-lactating - Manure management - Poultry manure without litter</t>
  </si>
  <si>
    <t>Non-lactating - Manure management - Poultry manure with litter</t>
  </si>
  <si>
    <t>Non-lactating - Manure management - Pasture, range and paddock</t>
  </si>
  <si>
    <t>Commercial cattle - Manure management - Lagoon</t>
  </si>
  <si>
    <t>Commercial cattle - Manure management - Liquid/slurry</t>
  </si>
  <si>
    <t>Commercial cattle - Manure management - Drylot</t>
  </si>
  <si>
    <t>Commercial cattle - Manure management - Solid storage</t>
  </si>
  <si>
    <t>Commercial cattle - Manure management - Dailyspread</t>
  </si>
  <si>
    <t>Commercial cattle - Manure management - Compost</t>
  </si>
  <si>
    <t>Commercial cattle - Manure management - Manure with bedding</t>
  </si>
  <si>
    <t>Commercial cattle - Manure management - Poultry manure without litter</t>
  </si>
  <si>
    <t>Commercial cattle - Manure management - Poultry manure with litter</t>
  </si>
  <si>
    <t>Commercial cattle - Manure management - Pasture, range and paddock</t>
  </si>
  <si>
    <t>Subsistence cattle - Manure management - Lagoon</t>
  </si>
  <si>
    <t>Subsistence cattle - Manure management - Liquid/slurry</t>
  </si>
  <si>
    <t>Subsistence cattle - Manure management - Drylot</t>
  </si>
  <si>
    <t>Subsistence cattle - Manure management - Solid storage</t>
  </si>
  <si>
    <t>Subsistence cattle - Manure management - Dailyspread</t>
  </si>
  <si>
    <t>Subsistence cattle - Manure management - Compost</t>
  </si>
  <si>
    <t>Subsistence cattle - Manure management - Manure with bedding</t>
  </si>
  <si>
    <t>Subsistence cattle - Manure management - Poultry manure without litter</t>
  </si>
  <si>
    <t>Subsistence cattle - Manure management - Poultry manure with litter</t>
  </si>
  <si>
    <t>Subsistence cattle - Manure management - Pasture, range and paddock</t>
  </si>
  <si>
    <t>Feedlot - Manure management - Lagoon</t>
  </si>
  <si>
    <t>Feedlot - Manure management - Liquid/slurry</t>
  </si>
  <si>
    <t>Feedlot - Manure management - Drylot</t>
  </si>
  <si>
    <t>Feedlot - Manure management - Solid storage</t>
  </si>
  <si>
    <t>Feedlot - Manure management - Dailyspread</t>
  </si>
  <si>
    <t>Feedlot - Manure management - Compost</t>
  </si>
  <si>
    <t>Feedlot - Manure management - Manure with bedding</t>
  </si>
  <si>
    <t>Feedlot - Manure management - Poultry manure without litter</t>
  </si>
  <si>
    <t>Feedlot - Manure management - Poultry manure with litter</t>
  </si>
  <si>
    <t>Feedlot - Manure management - Pasture, range and paddock</t>
  </si>
  <si>
    <t>Commercial sheep - Manure management - Lagoon</t>
  </si>
  <si>
    <t>Commercial sheep - Manure management - Liquid/slurry</t>
  </si>
  <si>
    <t>Commercial sheep - Manure management - Drylot</t>
  </si>
  <si>
    <t>Commercial sheep - Manure management - Solid storage</t>
  </si>
  <si>
    <t>Commercial sheep - Manure management - Dailyspread</t>
  </si>
  <si>
    <t>Commercial sheep - Manure management - Compost</t>
  </si>
  <si>
    <t>Commercial sheep - Manure management - Manure with bedding</t>
  </si>
  <si>
    <t>Commercial sheep - Manure management - Poultry manure without litter</t>
  </si>
  <si>
    <t>Commercial sheep - Manure management - Poultry manure with litter</t>
  </si>
  <si>
    <t>Commercial sheep - Manure management - Pasture, range and paddock</t>
  </si>
  <si>
    <t>Subsistence sheep - Manure management - Lagoon</t>
  </si>
  <si>
    <t>Subsistence sheep - Manure management - Liquid/slurry</t>
  </si>
  <si>
    <t>Subsistence sheep - Manure management - Drylot</t>
  </si>
  <si>
    <t>Subsistence sheep - Manure management - Solid storage</t>
  </si>
  <si>
    <t>Subsistence sheep - Manure management - Dailyspread</t>
  </si>
  <si>
    <t>Subsistence sheep - Manure management - Compost</t>
  </si>
  <si>
    <t>Subsistence sheep - Manure management - Manure with bedding</t>
  </si>
  <si>
    <t>Subsistence sheep - Manure management - Poultry manure without litter</t>
  </si>
  <si>
    <t>Subsistence sheep - Manure management - Poultry manure with litter</t>
  </si>
  <si>
    <t>Subsistence sheep - Manure management - Pasture, range and paddock</t>
  </si>
  <si>
    <t>Commercial goats - Manure management - Lagoon</t>
  </si>
  <si>
    <t>Commercial goats - Manure management - Liquid/slurry</t>
  </si>
  <si>
    <t>Commercial goats - Manure management - Drylot</t>
  </si>
  <si>
    <t>Commercial goats - Manure management - Solid storage</t>
  </si>
  <si>
    <t>Commercial goats - Manure management - Dailyspread</t>
  </si>
  <si>
    <t>Commercial goats - Manure management - Compost</t>
  </si>
  <si>
    <t>Commercial goats - Manure management - Manure with bedding</t>
  </si>
  <si>
    <t>Commercial goats - Manure management - Poultry manure without litter</t>
  </si>
  <si>
    <t>Commercial goats - Manure management - Poultry manure with litter</t>
  </si>
  <si>
    <t>Commercial goats - Manure management - Pasture, range and paddock</t>
  </si>
  <si>
    <t>Subsistence goats - Manure management - Lagoon</t>
  </si>
  <si>
    <t>Subsistence goats - Manure management - Liquid/slurry</t>
  </si>
  <si>
    <t>Subsistence goats - Manure management - Drylot</t>
  </si>
  <si>
    <t>Subsistence goats - Manure management - Solid storage</t>
  </si>
  <si>
    <t>Subsistence goats - Manure management - Dailyspread</t>
  </si>
  <si>
    <t>Subsistence goats - Manure management - Compost</t>
  </si>
  <si>
    <t>Subsistence goats - Manure management - Manure with bedding</t>
  </si>
  <si>
    <t>Subsistence goats - Manure management - Poultry manure without litter</t>
  </si>
  <si>
    <t>Subsistence goats - Manure management - Poultry manure with litter</t>
  </si>
  <si>
    <t>Subsistence goats - Manure management - Pasture, range and paddock</t>
  </si>
  <si>
    <t>Horses - Manure management - Lagoon</t>
  </si>
  <si>
    <t>Horses - Manure management - Liquid/slurry</t>
  </si>
  <si>
    <t>Horses - Manure management - Drylot</t>
  </si>
  <si>
    <t>Horses - Manure management - Solid storage</t>
  </si>
  <si>
    <t>Horses - Manure management - Dailyspread</t>
  </si>
  <si>
    <t>Horses - Manure management - Compost</t>
  </si>
  <si>
    <t>Horses - Manure management - Manure with bedding</t>
  </si>
  <si>
    <t>Horses - Manure management - Poultry manure without litter</t>
  </si>
  <si>
    <t>Horses - Manure management - Poultry manure with litter</t>
  </si>
  <si>
    <t>Horses - Manure management - Pasture, range and paddock</t>
  </si>
  <si>
    <t>Mules &amp; Asses - Manure management - Lagoon</t>
  </si>
  <si>
    <t>Mules &amp; Asses - Manure management - Liquid/slurry</t>
  </si>
  <si>
    <t>Mules &amp; Asses - Manure management - Drylot</t>
  </si>
  <si>
    <t>Mules &amp; Asses - Manure management - Solid storage</t>
  </si>
  <si>
    <t>Mules &amp; Asses - Manure management - Dailyspread</t>
  </si>
  <si>
    <t>Mules &amp; Asses - Manure management - Compost</t>
  </si>
  <si>
    <t>Mules &amp; Asses - Manure management - Manure with bedding</t>
  </si>
  <si>
    <t>Mules &amp; Asses - Manure management - Poultry manure without litter</t>
  </si>
  <si>
    <t>Mules &amp; Asses - Manure management - Poultry manure with litter</t>
  </si>
  <si>
    <t>Mules &amp; Asses - Manure management - Pasture, range and paddock</t>
  </si>
  <si>
    <t>Commercial swine - Manure management - Lagoon</t>
  </si>
  <si>
    <t>Commercial swine - Manure management - Liquid/slurry</t>
  </si>
  <si>
    <t>Commercial swine - Manure management - Drylot</t>
  </si>
  <si>
    <t>Commercial swine - Manure management - Solid storage</t>
  </si>
  <si>
    <t>Commercial swine - Manure management - Dailyspread</t>
  </si>
  <si>
    <t>Commercial swine - Manure management - Compost</t>
  </si>
  <si>
    <t>Commercial swine - Manure management - Manure with bedding</t>
  </si>
  <si>
    <t>Commercial swine - Manure management - Poultry manure without litter</t>
  </si>
  <si>
    <t>Commercial swine - Manure management - Poultry manure with litter</t>
  </si>
  <si>
    <t>Commercial swine - Manure management - Pasture, range and paddock</t>
  </si>
  <si>
    <t>Subsistence swine - Manure management - Lagoon</t>
  </si>
  <si>
    <t>Subsistence swine - Manure management - Liquid/slurry</t>
  </si>
  <si>
    <t>Subsistence swine - Manure management - Drylot</t>
  </si>
  <si>
    <t>Subsistence swine - Manure management - Solid storage</t>
  </si>
  <si>
    <t>Subsistence swine - Manure management - Dailyspread</t>
  </si>
  <si>
    <t>Subsistence swine - Manure management - Compost</t>
  </si>
  <si>
    <t>Subsistence swine - Manure management - Manure with bedding</t>
  </si>
  <si>
    <t>Subsistence swine - Manure management - Poultry manure without litter</t>
  </si>
  <si>
    <t>Subsistence swine - Manure management - Poultry manure with litter</t>
  </si>
  <si>
    <t>Subsistence swine - Manure management - Pasture, range and paddock</t>
  </si>
  <si>
    <t>Commercial layers - Manure management - Lagoon</t>
  </si>
  <si>
    <t>Commercial layers - Manure management - Liquid/slurry</t>
  </si>
  <si>
    <t>Commercial layers - Manure management - Drylot</t>
  </si>
  <si>
    <t>Commercial layers - Manure management - Solid storage</t>
  </si>
  <si>
    <t>Commercial layers - Manure management - Dailyspread</t>
  </si>
  <si>
    <t>Commercial layers - Manure management - Compost</t>
  </si>
  <si>
    <t>Commercial layers - Manure management - Manure with bedding</t>
  </si>
  <si>
    <t>Commercial layers - Manure management - Poultry manure without litter</t>
  </si>
  <si>
    <t>Commercial layers - Manure management - Poultry manure with litter</t>
  </si>
  <si>
    <t>Commercial layers - Manure management - Pasture, range and paddock</t>
  </si>
  <si>
    <t>Commercial broilers - Manure management - Lagoon</t>
  </si>
  <si>
    <t>Commercial broilers - Manure management - Liquid/slurry</t>
  </si>
  <si>
    <t>Commercial broilers - Manure management - Drylot</t>
  </si>
  <si>
    <t>Commercial broilers - Manure management - Solid storage</t>
  </si>
  <si>
    <t>Commercial broilers - Manure management - Dailyspread</t>
  </si>
  <si>
    <t>Commercial broilers - Manure management - Compost</t>
  </si>
  <si>
    <t>Commercial broilers - Manure management - Manure with bedding</t>
  </si>
  <si>
    <t>Commercial broilers - Manure management - Poultry manure without litter</t>
  </si>
  <si>
    <t>Commercial broilers - Manure management - Poultry manure with litter</t>
  </si>
  <si>
    <t>Commercial broilers - Manure management - Pasture, range and paddock</t>
  </si>
  <si>
    <t>Subsistence layers - Manure management - Lagoon</t>
  </si>
  <si>
    <t>Subsistence layers - Manure management - Liquid/slurry</t>
  </si>
  <si>
    <t>Subsistence layers - Manure management - Drylot</t>
  </si>
  <si>
    <t>Subsistence layers - Manure management - Solid storage</t>
  </si>
  <si>
    <t>Subsistence layers - Manure management - Dailyspread</t>
  </si>
  <si>
    <t>Subsistence layers - Manure management - Compost</t>
  </si>
  <si>
    <t>Subsistence layers - Manure management - Manure with bedding</t>
  </si>
  <si>
    <t>Subsistence layers - Manure management - Poultry manure without litter</t>
  </si>
  <si>
    <t>Subsistence layers - Manure management - Poultry manure with litter</t>
  </si>
  <si>
    <t>Subsistence layers - Manure management - Pasture, range and paddock</t>
  </si>
  <si>
    <t>Subsistence broilers - Manure management - Lagoon</t>
  </si>
  <si>
    <t>Subsistence broilers - Manure management - Liquid/slurry</t>
  </si>
  <si>
    <t>Subsistence broilers - Manure management - Drylot</t>
  </si>
  <si>
    <t>Subsistence broilers - Manure management - Solid storage</t>
  </si>
  <si>
    <t>Subsistence broilers - Manure management - Dailyspread</t>
  </si>
  <si>
    <t>Subsistence broilers - Manure management - Compost</t>
  </si>
  <si>
    <t>Subsistence broilers - Manure management - Manure with bedding</t>
  </si>
  <si>
    <t>Subsistence broilers - Manure management - Poultry manure without litter</t>
  </si>
  <si>
    <t>Subsistence broilers - Manure management - Poultry manure with litter</t>
  </si>
  <si>
    <t>Subsistence broilers - Manure management - Pasture, range and paddock</t>
  </si>
  <si>
    <t>Manure N and organic inputs</t>
  </si>
  <si>
    <t>Gg CO2e</t>
  </si>
  <si>
    <t>Enteric</t>
  </si>
  <si>
    <t>Manure CH4</t>
  </si>
  <si>
    <t>Manure N2O</t>
  </si>
  <si>
    <t>Biomass burning CH4</t>
  </si>
  <si>
    <t>Biomass burning N2O</t>
  </si>
  <si>
    <t>Urea</t>
  </si>
  <si>
    <t>Direct N2O</t>
  </si>
  <si>
    <t>Indirect N2O from MM</t>
  </si>
  <si>
    <t>Indirect N2O from MS</t>
  </si>
  <si>
    <t>FF</t>
  </si>
  <si>
    <t>OO</t>
  </si>
  <si>
    <t>Ft</t>
  </si>
  <si>
    <t>Fw</t>
  </si>
  <si>
    <t>Fp</t>
  </si>
  <si>
    <t>Cnp</t>
  </si>
  <si>
    <t>Cp</t>
  </si>
  <si>
    <t>Co</t>
  </si>
  <si>
    <t>Cv</t>
  </si>
  <si>
    <t>Cs</t>
  </si>
  <si>
    <t>GG</t>
  </si>
  <si>
    <t>Gs</t>
  </si>
  <si>
    <t>WW</t>
  </si>
  <si>
    <t>SS</t>
  </si>
  <si>
    <t>Sm</t>
  </si>
  <si>
    <t>Ob</t>
  </si>
  <si>
    <t>Mitigation levers</t>
  </si>
  <si>
    <t>3A2 Manure management (N2O)</t>
  </si>
  <si>
    <t>Agricultural emission projections - Baseline</t>
  </si>
  <si>
    <t>Compost N application</t>
  </si>
  <si>
    <t>Crop residue N application</t>
  </si>
  <si>
    <t>Crop residue N</t>
  </si>
  <si>
    <t>Conservation agriculture area</t>
  </si>
  <si>
    <t>kg/capita</t>
  </si>
  <si>
    <t>Lamb and chevon</t>
  </si>
  <si>
    <t>BFAP projections data</t>
  </si>
  <si>
    <t>Chicken production (BFAP)</t>
  </si>
  <si>
    <t>Chicken consumption (BFAP)</t>
  </si>
  <si>
    <t>Chicken production (model)</t>
  </si>
  <si>
    <t>Chicken consumption (model)</t>
  </si>
  <si>
    <t>Egg production (BFAP)</t>
  </si>
  <si>
    <t>Egg consumption (BFAP)</t>
  </si>
  <si>
    <t>Egg production (model)</t>
  </si>
  <si>
    <t>Egg consumption (model)</t>
  </si>
  <si>
    <t>Beef production (BFAP)</t>
  </si>
  <si>
    <t>Beef consumption (BFAP)</t>
  </si>
  <si>
    <t>Beef production (model)</t>
  </si>
  <si>
    <t>Beef consumption (model)</t>
  </si>
  <si>
    <t>Pork production (BFAP)</t>
  </si>
  <si>
    <t>Pork Domestic Use (BFAP)</t>
  </si>
  <si>
    <t>Pork production (model)</t>
  </si>
  <si>
    <t>Pork Domestic Use (model)</t>
  </si>
  <si>
    <t>Fluid milk production (BFAP)</t>
  </si>
  <si>
    <t>Fluid milk fresh utilization (BFAP)</t>
  </si>
  <si>
    <t>Fluid Milk factory utilization (BFAP)</t>
  </si>
  <si>
    <t>Milk production (model)</t>
  </si>
  <si>
    <t>Milk consumption (model)</t>
  </si>
  <si>
    <t>Sheep meat production (BFAP)</t>
  </si>
  <si>
    <t>Sheep meat domestic Use (BFAP)</t>
  </si>
  <si>
    <t>Sheep meat production (model)</t>
  </si>
  <si>
    <t>Sheep meat domestic Use (model)</t>
  </si>
  <si>
    <t>Name</t>
  </si>
  <si>
    <t>Agriculture model_v1.5</t>
  </si>
  <si>
    <t>File details</t>
  </si>
  <si>
    <t>Last modified by</t>
  </si>
  <si>
    <t>Date</t>
  </si>
  <si>
    <t>LS</t>
  </si>
  <si>
    <t>Worksheet details</t>
  </si>
  <si>
    <t>20-06-2020</t>
  </si>
  <si>
    <t>Aggregtaed EF</t>
  </si>
  <si>
    <t>Function</t>
  </si>
  <si>
    <t>This contains a list of the IPCC categrioes and the levels. These are referred to throughout the worksheet.</t>
  </si>
  <si>
    <t>Colour coding</t>
  </si>
  <si>
    <t>Calculation</t>
  </si>
  <si>
    <t>Linked</t>
  </si>
  <si>
    <t>Coefficient</t>
  </si>
  <si>
    <t>Linked to another spreadsheet</t>
  </si>
  <si>
    <t>Data that is input into the model. In this case it is the drivers and then the activity data for the inventory for 1990-2017.</t>
  </si>
  <si>
    <t>Assumption</t>
  </si>
  <si>
    <t>Agriculture model_v1.6</t>
  </si>
  <si>
    <t>Cleaned up the model and took out any unnecessary information</t>
  </si>
  <si>
    <t>Conservation agriculture involves mulching which is the incorporation of crop residues into the soil. If more crop residues are used there would be an increase in crop residue emissions, and a reduction in inorgonic fertiliser and other compost use.</t>
  </si>
  <si>
    <t>Mitigation action: Conservation agriculture</t>
  </si>
  <si>
    <t>Mitigation action: Biodigesters</t>
  </si>
  <si>
    <t>IPCC default</t>
  </si>
  <si>
    <t>Constants from inventory</t>
  </si>
  <si>
    <t>Comparison with 2017 inventory</t>
  </si>
  <si>
    <t>Value</t>
  </si>
  <si>
    <t>Forest remaining forest land</t>
  </si>
  <si>
    <t>ton C</t>
  </si>
  <si>
    <t>NO</t>
  </si>
  <si>
    <t>Wetland remaining wetland</t>
  </si>
  <si>
    <t>C:N ratio for forest land converted to cropland</t>
  </si>
  <si>
    <t>C:N ratio for grassland converted to cropland</t>
  </si>
  <si>
    <t>C:N ratio of cropland remaining cropland</t>
  </si>
  <si>
    <t>C:N ratio for other land use types and conversions</t>
  </si>
  <si>
    <t>Total agriculture (model)</t>
  </si>
  <si>
    <t>Percentage difference</t>
  </si>
  <si>
    <t>These are all the constant factors in the equations.</t>
  </si>
  <si>
    <t>Currently there are no mitigation actions included for the agriculture sector as there are no policy targets for this component (see further discussion in the Mitigation scenario worksheet).</t>
  </si>
  <si>
    <t>Emission factors required in the calculations.</t>
  </si>
  <si>
    <t>Factors are taken from inventory, but in many cases the inventory EF were aggregated (see Aggregated EF for calculations) to reduce complexity.</t>
  </si>
  <si>
    <t>This is where the inventory emission factors are along with data for calculating the weighted EF.</t>
  </si>
  <si>
    <t>Worksheet where emisions are calculated.</t>
  </si>
  <si>
    <t>Summary of emissions.</t>
  </si>
  <si>
    <t>21-06-2020</t>
  </si>
  <si>
    <t>Livestock emissions (modelled)</t>
  </si>
  <si>
    <t>Livestock emissions (2017 inventory)</t>
  </si>
  <si>
    <t>Aggregated non-CO2 emissions (modelled)</t>
  </si>
  <si>
    <t>Aggregated non-CO2 emissions (2017 inventory)</t>
  </si>
  <si>
    <t>Biomass burning CH4 (inventory)</t>
  </si>
  <si>
    <t>Biomass burning N2O (inventory)</t>
  </si>
  <si>
    <t>Liming (inventory)</t>
  </si>
  <si>
    <t>Urea (inventory)</t>
  </si>
  <si>
    <t>Direct N2O (inventory)</t>
  </si>
  <si>
    <t>Indirect N2O from MS (inventory)</t>
  </si>
  <si>
    <t>Indirect N2O from MM (inventory)</t>
  </si>
  <si>
    <t>Billion</t>
  </si>
  <si>
    <t>Population number from Faaiqa</t>
  </si>
  <si>
    <t>Maize consumption (human)</t>
  </si>
  <si>
    <t>Sorghum consumption (human)</t>
  </si>
  <si>
    <t>1990-2017</t>
  </si>
  <si>
    <t>TMR - Manure management - Anaerobic digester</t>
  </si>
  <si>
    <t>Pasture - Manure management - Anaerobic biodigester</t>
  </si>
  <si>
    <t>Non-lactating - Manure management - Anaerobic biodigesters</t>
  </si>
  <si>
    <t>Subsistence cattle - Manure management - Anaerobic biodigesters</t>
  </si>
  <si>
    <t>Feedlot - Manure management - Anaerobic biodigesters</t>
  </si>
  <si>
    <t>Commercial sheep - Manure management - Anaerobic biodigesters</t>
  </si>
  <si>
    <t>Subsistence sheep - Manure management - Anaerobic biodigesters</t>
  </si>
  <si>
    <t>Commercial goats - Manure management - Anaerobic biodigesters</t>
  </si>
  <si>
    <t>Subsistence goats - Manure management - Anaerobic biodigesters</t>
  </si>
  <si>
    <t>Horses - Manure management - Anaerobic biodigesters</t>
  </si>
  <si>
    <t>Mules &amp; Asses - Manure management - Anaerobic biodigesters</t>
  </si>
  <si>
    <t>Commercial swine - Manure management - Anaerobic biodigesters</t>
  </si>
  <si>
    <t>Subsistence swine - Manure management - Anaerobic biodigesters</t>
  </si>
  <si>
    <t>Commercial layers - Manure management - Anaerobic biodigesters</t>
  </si>
  <si>
    <t>Commercial broilers - Manure management - Anaerobic biodigesters</t>
  </si>
  <si>
    <t>Subsistence layers - Manure management - Anaerobic biodigesters</t>
  </si>
  <si>
    <t>Subsistence broilers - Manure management - Anaerobic biodigesters</t>
  </si>
  <si>
    <t>Anaerobic biodigesters</t>
  </si>
  <si>
    <t>Commercial cattle - Manure management - Anaerobic digesters</t>
  </si>
  <si>
    <t>Dairy cattle manure management</t>
  </si>
  <si>
    <t>Other cattle manure management</t>
  </si>
  <si>
    <t>Sheep manure management</t>
  </si>
  <si>
    <t>Goat manure management</t>
  </si>
  <si>
    <t>Horse and mule manure management</t>
  </si>
  <si>
    <t>Swine manure management</t>
  </si>
  <si>
    <t>Poultry manure management</t>
  </si>
  <si>
    <t>Biodigester will driver manure away from other manure management practices and thereby reduce manure management emissions. Assumed that only manure from feedlots, commercial swine farms and poultry farms are likeley to be used for biodigesters due to the type of manure and the quantity.</t>
  </si>
  <si>
    <t>Most likely livestock for anaerobic biodigesters are highlighted in pink</t>
  </si>
  <si>
    <t>Check total adds to 100</t>
  </si>
  <si>
    <t xml:space="preserve">These are just intermediate calculation outputs where some output checks and verification can be done. </t>
  </si>
  <si>
    <t>These are the factors related to mitigation actions that would need to be inut into the model to obtain reducton estimates.</t>
  </si>
  <si>
    <t>Mitigation drivers</t>
  </si>
  <si>
    <t>Emissions</t>
  </si>
  <si>
    <t>Emission summary</t>
  </si>
  <si>
    <t>Land converted to forest</t>
  </si>
  <si>
    <t>Land converted to croplands</t>
  </si>
  <si>
    <t>Land converted to grasslands</t>
  </si>
  <si>
    <t>Land converted to wetlands</t>
  </si>
  <si>
    <t>Lands convertde to settlements</t>
  </si>
  <si>
    <t>Lands converted to other lands</t>
  </si>
  <si>
    <t>Land converted to wetland</t>
  </si>
  <si>
    <t>Land converted to other lands</t>
  </si>
  <si>
    <t>CO2toC</t>
  </si>
  <si>
    <t>Gg to tonne</t>
  </si>
  <si>
    <t>NOTE: There are currently no mitigation activities included for agriculture as there are no policies or targets. Have incorportaed digesters incase there is a need for a link with waste - perhaps there is a waste/energy target related to this? There is also very little data on the percentage of manure that is managed that is diverted to digesters.</t>
  </si>
  <si>
    <t>Agriculture model_v1.7</t>
  </si>
  <si>
    <t>27-06-2020</t>
  </si>
  <si>
    <t>Added in manure management under mitigation drivers; added all links to driver data to make it more active; combined calculated drivers with intermediate calculations.</t>
  </si>
  <si>
    <t>NOTES</t>
  </si>
  <si>
    <r>
      <t xml:space="preserve">Currently 1990-2027 data from inventory, then projections take over and are driven by the various drivers. </t>
    </r>
    <r>
      <rPr>
        <b/>
        <i/>
        <sz val="11"/>
        <color theme="1"/>
        <rFont val="Calibri"/>
        <family val="2"/>
        <scheme val="minor"/>
      </rPr>
      <t>NOTE: there are some links in this sheet to the Land model so need to check they are linked.</t>
    </r>
  </si>
  <si>
    <t>Agriculture model_v1.8</t>
  </si>
  <si>
    <t>29-06-2020</t>
  </si>
  <si>
    <t>Fixed problem with FSOM values.</t>
  </si>
  <si>
    <t>Growth from StatsSA</t>
  </si>
  <si>
    <t>Equations for calculations</t>
  </si>
  <si>
    <t>Wealth (GDP)</t>
  </si>
  <si>
    <t>GDP/capita</t>
  </si>
  <si>
    <t>GDP</t>
  </si>
  <si>
    <t>Corrected based on StatSA data</t>
  </si>
  <si>
    <t>Population (head)</t>
  </si>
  <si>
    <t xml:space="preserve">Sorghum area </t>
  </si>
  <si>
    <t>Inorganic N</t>
  </si>
  <si>
    <t>Meat production</t>
  </si>
  <si>
    <t>Head/t</t>
  </si>
  <si>
    <t>Lamb production efficiency</t>
  </si>
  <si>
    <t>Goat production efficiency</t>
  </si>
  <si>
    <t>Pork production efficiency</t>
  </si>
  <si>
    <t>Agriculture model_v1.9</t>
  </si>
  <si>
    <t>09-07-2020</t>
  </si>
  <si>
    <t>Fixed problem with GDP jump between 2011 and 2012.</t>
  </si>
  <si>
    <t>Agriculture model_v1.10</t>
  </si>
  <si>
    <t>11-07-2020</t>
  </si>
  <si>
    <t>Agriculture model_v1.11</t>
  </si>
  <si>
    <t>Made adjustments to allow model to run from 2012 on the drivers, and added some levers in the Constants worksheet.</t>
  </si>
  <si>
    <t>Intermediate calculations</t>
  </si>
  <si>
    <t>These are the main drivers - GDP and population.</t>
  </si>
  <si>
    <t>Currently it has the population sent to LS by Faaiqa, and the GDP data was Faaiqu and prior to 2012 GDP data was adjusted and extrapolated using growth raes from StatsSA data.</t>
  </si>
  <si>
    <t>Relationships</t>
  </si>
  <si>
    <t>This is where the relationship for the calculations are determined. It also allows input data and activity data from te inventory to be incorporated, then the intermediate calculation file allows for the model to run on drivers from 2012.</t>
  </si>
  <si>
    <t>Activity data required for calculations. This is where livestock population data can be found.</t>
  </si>
  <si>
    <t>Tidied worksheets up and updated notes.</t>
  </si>
  <si>
    <t>Fraction commercial sheep</t>
  </si>
  <si>
    <t>Fraction commercial goats</t>
  </si>
  <si>
    <t>Fraction commercial swine</t>
  </si>
  <si>
    <t>Egg production efficiency</t>
  </si>
  <si>
    <t>Fraction commercial layers</t>
  </si>
  <si>
    <t>Chicken production efficiency</t>
  </si>
  <si>
    <t>Fraction commercial broilers</t>
  </si>
  <si>
    <t>Milk production efficiency</t>
  </si>
  <si>
    <t>Pasture fraction</t>
  </si>
  <si>
    <t>Reference</t>
  </si>
  <si>
    <t>Chevon consumption efficiency</t>
  </si>
  <si>
    <t>Commercial cattle fraction</t>
  </si>
  <si>
    <t>Feedlot production</t>
  </si>
  <si>
    <t>Other cattle production</t>
  </si>
  <si>
    <t>Other cattle production efficiency</t>
  </si>
  <si>
    <t>Feedlot fraction of production</t>
  </si>
  <si>
    <t>Feedlot production efficiency</t>
  </si>
  <si>
    <t>Number of days in a feedlot</t>
  </si>
  <si>
    <t>Days</t>
  </si>
  <si>
    <t>Feed conversion factors - Dairy</t>
  </si>
  <si>
    <t>Feed conversion factors - Cattle</t>
  </si>
  <si>
    <t>Feed conversion factors - Sheep</t>
  </si>
  <si>
    <t>Feed conversion factors - Pigs</t>
  </si>
  <si>
    <t>Feed conversion factors - Layers</t>
  </si>
  <si>
    <t>Feed conversion factors - Broilers</t>
  </si>
  <si>
    <t>Maize for Dairy</t>
  </si>
  <si>
    <t>Maize for Cattle</t>
  </si>
  <si>
    <t>Maize for Sheep</t>
  </si>
  <si>
    <t>Maize for Pigs</t>
  </si>
  <si>
    <t>Maize for Layers</t>
  </si>
  <si>
    <t>Maize for Broilers</t>
  </si>
  <si>
    <t>Maize feed fraction - Dairy</t>
  </si>
  <si>
    <t>Maize feed fraction - Cattle</t>
  </si>
  <si>
    <t>Maize feed fraction - Sheep</t>
  </si>
  <si>
    <t>Maize feed fraction - Pigs</t>
  </si>
  <si>
    <t>Maize feed fraction - Layers</t>
  </si>
  <si>
    <t>Maize feed fraction - Broilers</t>
  </si>
  <si>
    <t>Lamb and chevon production</t>
  </si>
  <si>
    <t>Maize consumption (feed)</t>
  </si>
  <si>
    <t>Maize consumption (humans)</t>
  </si>
  <si>
    <t>Total maize consumption (feed)</t>
  </si>
  <si>
    <t xml:space="preserve">Maize production </t>
  </si>
  <si>
    <t>Levers</t>
  </si>
  <si>
    <t>Levers and variables</t>
  </si>
  <si>
    <t>Sorghum consumption (feed)</t>
  </si>
  <si>
    <t>This sheet has some variables that can be changed.</t>
  </si>
  <si>
    <t>Agriculture model_v1.12</t>
  </si>
  <si>
    <t>16-07-2020</t>
  </si>
  <si>
    <t>Adjusted sme of the relationships and added more detail to feedlots.</t>
  </si>
  <si>
    <t>Fraction of total lime</t>
  </si>
  <si>
    <t>Lime application rate - maize</t>
  </si>
  <si>
    <t>Lime application rate - sorghum</t>
  </si>
  <si>
    <t>Lime application rate - wheat</t>
  </si>
  <si>
    <t>rdim</t>
  </si>
  <si>
    <t>cdim</t>
  </si>
  <si>
    <t>dim</t>
  </si>
  <si>
    <t>par</t>
  </si>
  <si>
    <t>coal</t>
  </si>
  <si>
    <t>COM</t>
  </si>
  <si>
    <t>cp</t>
  </si>
  <si>
    <t>elec</t>
  </si>
  <si>
    <t>fb</t>
  </si>
  <si>
    <t>is</t>
  </si>
  <si>
    <t>mi</t>
  </si>
  <si>
    <t>nf</t>
  </si>
  <si>
    <t>nm</t>
  </si>
  <si>
    <t>ot</t>
  </si>
  <si>
    <t>petr</t>
  </si>
  <si>
    <t>pp</t>
  </si>
  <si>
    <t>trana</t>
  </si>
  <si>
    <t>tranlf</t>
  </si>
  <si>
    <t>tranlp</t>
  </si>
  <si>
    <t>trano</t>
  </si>
  <si>
    <t>POP</t>
  </si>
  <si>
    <t>AgriEmissions</t>
  </si>
  <si>
    <t>Feedlot weight</t>
  </si>
  <si>
    <t>kg</t>
  </si>
  <si>
    <t>Fraction maize residue left in field</t>
  </si>
  <si>
    <t>Fraction sorghum residue left in field</t>
  </si>
  <si>
    <t>Fraction wheat residue left in field</t>
  </si>
  <si>
    <t>Maize yield</t>
  </si>
  <si>
    <t>Sorghum yield</t>
  </si>
  <si>
    <t>Wheat yield</t>
  </si>
  <si>
    <t>Maize residue to yield ratio</t>
  </si>
  <si>
    <t>Sorghum residue to yield ratio</t>
  </si>
  <si>
    <t>Wheat residue to yield ratio</t>
  </si>
  <si>
    <t>Maize below ground residue to yield ratio</t>
  </si>
  <si>
    <t>Sorghum below ground residue to yield ratio</t>
  </si>
  <si>
    <t>Wheat below ground residue to yield ratio</t>
  </si>
  <si>
    <t>Maize dry matter fraction</t>
  </si>
  <si>
    <t>Sorghum dry mater fraction</t>
  </si>
  <si>
    <t>Wheat dry matter fraction</t>
  </si>
  <si>
    <t>Crop carbon fraction</t>
  </si>
  <si>
    <t>Crop N:C ratio</t>
  </si>
  <si>
    <t>Dressing fraction</t>
  </si>
  <si>
    <t>Dairy cattle total</t>
  </si>
  <si>
    <t>Corrected inventory</t>
  </si>
  <si>
    <t>Original inventory</t>
  </si>
  <si>
    <t>Livestock emissions (corrected 2017 inventory)</t>
  </si>
  <si>
    <t>Aggregated non-CO2 emissions (corrected 2017 inventory)</t>
  </si>
  <si>
    <t>Total agricuture (corrected 2017 inventory)</t>
  </si>
  <si>
    <t>White meat consumption</t>
  </si>
  <si>
    <t>White meat production</t>
  </si>
  <si>
    <t>Total agricuture (original inventory)</t>
  </si>
  <si>
    <t>GVA_FS</t>
  </si>
  <si>
    <t>agr</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</si>
  <si>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</si>
  <si>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</si>
  <si>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</si>
  <si>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</si>
  <si>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</si>
  <si>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</si>
  <si>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</si>
  <si>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</si>
  <si>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</si>
  <si>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</si>
  <si>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</si>
  <si>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</si>
  <si>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</si>
  <si>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</si>
  <si>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</si>
  <si>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</si>
  <si>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</si>
  <si>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</si>
  <si>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</si>
  <si>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</si>
  <si>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</si>
  <si>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</si>
  <si>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</si>
  <si>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</si>
  <si>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</si>
  <si>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</si>
  <si>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</si>
  <si>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</si>
  <si>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</si>
  <si>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</si>
  <si>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</si>
  <si>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</si>
  <si>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</si>
  <si>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</si>
  <si>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</si>
  <si>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</si>
  <si>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</si>
  <si>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</si>
  <si>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</si>
  <si>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pgm</t>
  </si>
  <si>
    <t>hydr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</si>
</sst>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0.000"/>
    <numFmt numFmtId="165" formatCode="0_ ;\-0\ "/>
    <numFmt numFmtId="166" formatCode="0.0"/>
    <numFmt numFmtId="167" formatCode="0.0000"/>
    <numFmt numFmtId="168" formatCode="#,##0.000"/>
    <numFmt numFmtId="169" formatCode="0.0%"/>
  </numFmts>
  <fonts count="22" x14ac:knownFonts="1">
    <font>
      <sz val="11"/>
      <color theme="1"/>
      <name val="Calibri"/>
      <family val="2"/>
      <scheme val="minor"/>
    </font>
    <font>
      <sz val="11"/>
      <color theme="0"/>
      <name val="Calibri"/>
      <family val="2"/>
      <scheme val="minor"/>
    </font>
    <font>
      <sz val="10"/>
      <name val="Arial"/>
      <family val="2"/>
    </font>
    <font>
      <sz val="11"/>
      <name val="Calibri"/>
      <family val="2"/>
      <scheme val="minor"/>
    </font>
    <font>
      <b/>
      <sz val="11"/>
      <color theme="1"/>
      <name val="Calibri"/>
      <family val="2"/>
      <scheme val="minor"/>
    </font>
    <font>
      <sz val="10"/>
      <color theme="1"/>
      <name val="Arial"/>
      <family val="2"/>
    </font>
    <font>
      <b/>
      <sz val="14"/>
      <color theme="1"/>
      <name val="Calibri"/>
      <family val="2"/>
      <scheme val="minor"/>
    </font>
    <font>
      <b/>
      <i/>
      <sz val="11"/>
      <color theme="1"/>
      <name val="Calibri"/>
      <family val="2"/>
      <scheme val="minor"/>
    </font>
    <font>
      <b/>
      <sz val="12"/>
      <color theme="1"/>
      <name val="Calibri"/>
      <family val="2"/>
      <scheme val="minor"/>
    </font>
    <font>
      <b/>
      <sz val="13"/>
      <color theme="1"/>
      <name val="Calibri"/>
      <family val="2"/>
      <scheme val="minor"/>
    </font>
    <font>
      <i/>
      <sz val="11"/>
      <color theme="0" tint="-0.34998626667073579"/>
      <name val="Calibri"/>
      <family val="2"/>
      <scheme val="minor"/>
    </font>
    <font>
      <b/>
      <sz val="12"/>
      <color theme="0"/>
      <name val="Calibri"/>
      <family val="2"/>
      <scheme val="minor"/>
    </font>
    <font>
      <sz val="11"/>
      <color theme="1"/>
      <name val="Calibri"/>
      <family val="2"/>
      <scheme val="minor"/>
    </font>
    <font>
      <b/>
      <sz val="10"/>
      <name val="Arial"/>
      <family val="2"/>
    </font>
    <font>
      <b/>
      <sz val="10"/>
      <color rgb="FF0070C0"/>
      <name val="Arial"/>
      <family val="2"/>
    </font>
    <font>
      <sz val="10"/>
      <color rgb="FF0070C0"/>
      <name val="Arial"/>
      <family val="2"/>
    </font>
    <font>
      <b/>
      <sz val="12"/>
      <name val="Calibri"/>
      <family val="2"/>
      <scheme val="minor"/>
    </font>
    <font>
      <sz val="12"/>
      <color theme="1"/>
      <name val="Calibri"/>
      <family val="2"/>
      <scheme val="minor"/>
    </font>
    <font>
      <sz val="12"/>
      <name val="Calibri"/>
      <family val="2"/>
      <scheme val="minor"/>
    </font>
    <font>
      <b/>
      <i/>
      <sz val="10"/>
      <color theme="1"/>
      <name val="Calibri"/>
      <family val="2"/>
      <scheme val="minor"/>
    </font>
    <font>
      <i/>
      <sz val="11"/>
      <color rgb="FFFF0000"/>
      <name val="Calibri"/>
      <family val="2"/>
      <scheme val="minor"/>
    </font>
    <font>
      <sz val="11"/>
      <color rgb="FF9C0006"/>
      <name val="Calibri"/>
      <family val="2"/>
      <scheme val="minor"/>
    </font>
  </fonts>
  <fills count="31">
    <fill>
      <patternFill patternType="none"/>
    </fill>
    <fill>
      <patternFill patternType="gray125"/>
    </fill>
    <fill>
      <patternFill patternType="solid">
        <fgColor rgb="FFB482FF"/>
        <bgColor indexed="64"/>
      </patternFill>
    </fill>
    <fill>
      <patternFill patternType="solid">
        <fgColor rgb="FF324150"/>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rgb="FFFFFF99"/>
        <bgColor indexed="64"/>
      </patternFill>
    </fill>
    <fill>
      <patternFill patternType="solid">
        <fgColor rgb="FFFFC5E2"/>
        <bgColor indexed="64"/>
      </patternFill>
    </fill>
    <fill>
      <patternFill patternType="solid">
        <fgColor rgb="FFCAEAB4"/>
        <bgColor indexed="64"/>
      </patternFill>
    </fill>
    <fill>
      <patternFill patternType="solid">
        <fgColor theme="0" tint="-0.249977111117893"/>
        <bgColor indexed="64"/>
      </patternFill>
    </fill>
    <fill>
      <patternFill patternType="solid">
        <fgColor rgb="FFCC6600"/>
        <bgColor indexed="64"/>
      </patternFill>
    </fill>
    <fill>
      <patternFill patternType="solid">
        <fgColor rgb="FFAADC9B"/>
        <bgColor indexed="64"/>
      </patternFill>
    </fill>
    <fill>
      <patternFill patternType="solid">
        <fgColor theme="0" tint="-0.14999847407452621"/>
        <bgColor indexed="64"/>
      </patternFill>
    </fill>
    <fill>
      <patternFill patternType="solid">
        <fgColor theme="9" tint="0.59996337778862885"/>
        <bgColor indexed="64"/>
      </patternFill>
    </fill>
    <fill>
      <patternFill patternType="solid">
        <fgColor theme="2" tint="0.79998168889431442"/>
        <bgColor indexed="64"/>
      </patternFill>
    </fill>
    <fill>
      <patternFill patternType="solid">
        <fgColor theme="8" tint="0.79998168889431442"/>
        <bgColor indexed="64"/>
      </patternFill>
    </fill>
    <fill>
      <patternFill patternType="solid">
        <fgColor rgb="FF0070C0"/>
        <bgColor indexed="64"/>
      </patternFill>
    </fill>
    <fill>
      <patternFill patternType="solid">
        <fgColor rgb="FFCCCCFF"/>
        <bgColor indexed="64"/>
      </patternFill>
    </fill>
    <fill>
      <patternFill patternType="solid">
        <fgColor rgb="FFFFFF00"/>
        <bgColor indexed="64"/>
      </patternFill>
    </fill>
    <fill>
      <patternFill patternType="solid">
        <fgColor theme="5"/>
        <bgColor indexed="64"/>
      </patternFill>
    </fill>
    <fill>
      <patternFill patternType="solid">
        <fgColor rgb="FF7030A0"/>
        <bgColor indexed="64"/>
      </patternFill>
    </fill>
    <fill>
      <patternFill patternType="solid">
        <fgColor theme="8"/>
        <bgColor indexed="64"/>
      </patternFill>
    </fill>
    <fill>
      <patternFill patternType="solid">
        <fgColor theme="2" tint="0.59999389629810485"/>
        <bgColor indexed="64"/>
      </patternFill>
    </fill>
    <fill>
      <patternFill patternType="solid">
        <fgColor rgb="FF92D050"/>
        <bgColor indexed="64"/>
      </patternFill>
    </fill>
    <fill>
      <patternFill patternType="solid">
        <fgColor rgb="FF009900"/>
        <bgColor indexed="64"/>
      </patternFill>
    </fill>
    <fill>
      <patternFill patternType="solid">
        <fgColor theme="0"/>
        <bgColor indexed="64"/>
      </patternFill>
    </fill>
    <fill>
      <patternFill patternType="solid">
        <fgColor rgb="FFFFCCFF"/>
        <bgColor indexed="64"/>
      </patternFill>
    </fill>
    <fill>
      <patternFill patternType="solid">
        <fgColor theme="0" tint="-0.499984740745262"/>
        <bgColor indexed="64"/>
      </patternFill>
    </fill>
    <fill>
      <patternFill patternType="solid">
        <fgColor rgb="FF9966FF"/>
        <bgColor indexed="64"/>
      </patternFill>
    </fill>
    <fill>
      <patternFill patternType="solid">
        <fgColor rgb="FFFFC7CE"/>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double">
        <color rgb="FF3F3F3F"/>
      </left>
      <right style="double">
        <color rgb="FF3F3F3F"/>
      </right>
      <top style="double">
        <color rgb="FF3F3F3F"/>
      </top>
      <bottom style="double">
        <color rgb="FF3F3F3F"/>
      </bottom>
      <diagonal/>
    </border>
  </borders>
  <cellStyleXfs count="16">
    <xf numFmtId="0" fontId="0" fillId="0" borderId="0"/>
    <xf numFmtId="0" fontId="2" fillId="0" borderId="0"/>
    <xf numFmtId="0" fontId="5" fillId="0" borderId="0"/>
    <xf numFmtId="0" fontId="1" fillId="2" borderId="0" applyAlignment="0" applyProtection="0"/>
    <xf numFmtId="0" fontId="3" fillId="9" borderId="0" applyNumberFormat="0" applyAlignment="0" applyProtection="0"/>
    <xf numFmtId="0" fontId="3" fillId="7" borderId="0" applyNumberFormat="0" applyAlignment="0" applyProtection="0"/>
    <xf numFmtId="0" fontId="3" fillId="8" borderId="6" applyNumberFormat="0" applyAlignment="0" applyProtection="0"/>
    <xf numFmtId="0" fontId="1" fillId="11" borderId="0" applyAlignment="0" applyProtection="0"/>
    <xf numFmtId="0" fontId="3" fillId="12" borderId="0" applyAlignment="0" applyProtection="0"/>
    <xf numFmtId="43" fontId="12" fillId="0" borderId="0" applyFont="0" applyFill="0" applyBorder="0" applyAlignment="0" applyProtection="0"/>
    <xf numFmtId="4" fontId="3" fillId="14" borderId="0"/>
    <xf numFmtId="0" fontId="3" fillId="15" borderId="0"/>
    <xf numFmtId="0" fontId="12" fillId="16" borderId="0"/>
    <xf numFmtId="0" fontId="12" fillId="18" borderId="0"/>
    <xf numFmtId="9" fontId="12" fillId="0" borderId="0" applyFont="0" applyFill="0" applyBorder="0" applyAlignment="0" applyProtection="0"/>
    <xf numFmtId="0" fontId="21" fillId="30" borderId="0" applyNumberFormat="0" applyBorder="0" applyAlignment="0" applyProtection="0"/>
  </cellStyleXfs>
  <cellXfs count="110">
    <xf numFmtId="0" fontId="0" fillId="0" borderId="0" xfId="0"/>
    <xf numFmtId="0" fontId="6" fillId="0" borderId="0" xfId="0" applyFont="1"/>
    <xf numFmtId="0" fontId="8" fillId="5" borderId="1" xfId="0" applyFont="1" applyFill="1" applyBorder="1"/>
    <xf numFmtId="0" fontId="0" fillId="0" borderId="1" xfId="0" applyBorder="1"/>
    <xf numFmtId="0" fontId="0" fillId="0" borderId="1" xfId="0" applyBorder="1" applyAlignment="1">
      <alignment vertical="center"/>
    </xf>
    <xf numFmtId="0" fontId="10" fillId="0" borderId="1" xfId="0" applyFont="1"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left" vertical="center" wrapText="1"/>
    </xf>
    <xf numFmtId="0" fontId="8" fillId="5" borderId="5" xfId="0" applyFont="1" applyFill="1" applyBorder="1"/>
    <xf numFmtId="3" fontId="0" fillId="0" borderId="0" xfId="0" applyNumberFormat="1"/>
    <xf numFmtId="0" fontId="3" fillId="0" borderId="0" xfId="0" applyFont="1"/>
    <xf numFmtId="0" fontId="7" fillId="6" borderId="0" xfId="0" applyFont="1" applyFill="1"/>
    <xf numFmtId="0" fontId="0" fillId="0" borderId="0" xfId="0" applyAlignment="1">
      <alignment wrapText="1"/>
    </xf>
    <xf numFmtId="0" fontId="1" fillId="10" borderId="0" xfId="0" applyFont="1" applyFill="1"/>
    <xf numFmtId="0" fontId="1" fillId="10" borderId="0" xfId="0" applyFont="1" applyFill="1" applyAlignment="1">
      <alignment wrapText="1"/>
    </xf>
    <xf numFmtId="0" fontId="11" fillId="3" borderId="0" xfId="0" applyFont="1" applyFill="1"/>
    <xf numFmtId="0" fontId="11" fillId="3" borderId="0" xfId="0" applyFont="1" applyFill="1" applyAlignment="1">
      <alignment wrapText="1"/>
    </xf>
    <xf numFmtId="0" fontId="8" fillId="0" borderId="0" xfId="0" applyFont="1"/>
    <xf numFmtId="0" fontId="8" fillId="10" borderId="0" xfId="0" applyFont="1" applyFill="1"/>
    <xf numFmtId="0" fontId="3" fillId="9" borderId="0" xfId="4"/>
    <xf numFmtId="0" fontId="3" fillId="7" borderId="0" xfId="5"/>
    <xf numFmtId="0" fontId="0" fillId="0" borderId="0" xfId="0" applyFill="1"/>
    <xf numFmtId="3" fontId="3" fillId="7" borderId="0" xfId="5" applyNumberFormat="1"/>
    <xf numFmtId="2" fontId="3" fillId="9" borderId="0" xfId="4" applyNumberFormat="1"/>
    <xf numFmtId="164" fontId="3" fillId="7" borderId="0" xfId="5" applyNumberFormat="1"/>
    <xf numFmtId="0" fontId="1" fillId="11" borderId="0" xfId="7"/>
    <xf numFmtId="4" fontId="3" fillId="7" borderId="0" xfId="5" applyNumberFormat="1"/>
    <xf numFmtId="0" fontId="0" fillId="0" borderId="1" xfId="0" applyBorder="1" applyAlignment="1">
      <alignment vertical="center"/>
    </xf>
    <xf numFmtId="0" fontId="13" fillId="0" borderId="0" xfId="0" applyFont="1"/>
    <xf numFmtId="0" fontId="13" fillId="0" borderId="0" xfId="0" applyFont="1" applyFill="1"/>
    <xf numFmtId="0" fontId="2" fillId="0" borderId="0" xfId="0" applyFont="1" applyFill="1"/>
    <xf numFmtId="165" fontId="13" fillId="0" borderId="0" xfId="9" applyNumberFormat="1" applyFont="1" applyFill="1" applyProtection="1"/>
    <xf numFmtId="165" fontId="14" fillId="0" borderId="0" xfId="9" applyNumberFormat="1" applyFont="1" applyFill="1" applyProtection="1"/>
    <xf numFmtId="2" fontId="2" fillId="0" borderId="0" xfId="0" applyNumberFormat="1" applyFont="1" applyFill="1"/>
    <xf numFmtId="2" fontId="15" fillId="0" borderId="0" xfId="0" applyNumberFormat="1" applyFont="1" applyFill="1"/>
    <xf numFmtId="0" fontId="2" fillId="0" borderId="0" xfId="0" applyFont="1"/>
    <xf numFmtId="2" fontId="2" fillId="0" borderId="0" xfId="0" applyNumberFormat="1" applyFont="1"/>
    <xf numFmtId="2" fontId="15" fillId="0" borderId="0" xfId="0" applyNumberFormat="1" applyFont="1"/>
    <xf numFmtId="2" fontId="2" fillId="0" borderId="0" xfId="0" applyNumberFormat="1" applyFont="1" applyFill="1" applyAlignment="1">
      <alignment horizontal="right"/>
    </xf>
    <xf numFmtId="2" fontId="15" fillId="0" borderId="0" xfId="0" applyNumberFormat="1" applyFont="1" applyFill="1" applyAlignment="1">
      <alignment horizontal="right"/>
    </xf>
    <xf numFmtId="0" fontId="4" fillId="13" borderId="0" xfId="0" applyFont="1" applyFill="1"/>
    <xf numFmtId="3" fontId="3" fillId="9" borderId="0" xfId="4" applyNumberFormat="1"/>
    <xf numFmtId="4" fontId="3" fillId="9" borderId="0" xfId="4" applyNumberFormat="1"/>
    <xf numFmtId="0" fontId="3" fillId="15" borderId="0" xfId="11"/>
    <xf numFmtId="4" fontId="16" fillId="7" borderId="0" xfId="5" applyNumberFormat="1" applyFont="1"/>
    <xf numFmtId="0" fontId="17" fillId="0" borderId="0" xfId="0" applyFont="1"/>
    <xf numFmtId="4" fontId="18" fillId="7" borderId="0" xfId="5" applyNumberFormat="1" applyFont="1"/>
    <xf numFmtId="0" fontId="16" fillId="7" borderId="0" xfId="5" applyFont="1"/>
    <xf numFmtId="0" fontId="12" fillId="16" borderId="0" xfId="12"/>
    <xf numFmtId="0" fontId="8" fillId="13" borderId="0" xfId="0" applyFont="1" applyFill="1"/>
    <xf numFmtId="0" fontId="0" fillId="13" borderId="0" xfId="0" applyFill="1"/>
    <xf numFmtId="2" fontId="3" fillId="7" borderId="0" xfId="5" applyNumberFormat="1"/>
    <xf numFmtId="0" fontId="19" fillId="13" borderId="0" xfId="0" applyFont="1" applyFill="1"/>
    <xf numFmtId="0" fontId="1" fillId="17" borderId="0" xfId="0" applyFont="1" applyFill="1"/>
    <xf numFmtId="0" fontId="12" fillId="18" borderId="0" xfId="13"/>
    <xf numFmtId="10" fontId="0" fillId="0" borderId="0" xfId="0" applyNumberFormat="1"/>
    <xf numFmtId="0" fontId="0" fillId="19" borderId="1" xfId="0" applyFill="1" applyBorder="1" applyAlignment="1">
      <alignment vertical="center"/>
    </xf>
    <xf numFmtId="0" fontId="0" fillId="20" borderId="1" xfId="0" applyFill="1" applyBorder="1" applyAlignment="1">
      <alignment vertical="center"/>
    </xf>
    <xf numFmtId="0" fontId="0" fillId="0" borderId="1" xfId="0" applyBorder="1" applyAlignment="1">
      <alignment vertical="center" wrapText="1"/>
    </xf>
    <xf numFmtId="0" fontId="1" fillId="21" borderId="1" xfId="0" applyFont="1" applyFill="1" applyBorder="1" applyAlignment="1">
      <alignment vertical="center"/>
    </xf>
    <xf numFmtId="0" fontId="1" fillId="22" borderId="1" xfId="0" applyFont="1" applyFill="1" applyBorder="1" applyAlignment="1">
      <alignment vertical="center"/>
    </xf>
    <xf numFmtId="0" fontId="0" fillId="23" borderId="1" xfId="0" applyFill="1" applyBorder="1" applyAlignment="1">
      <alignment vertical="center"/>
    </xf>
    <xf numFmtId="0" fontId="0" fillId="24" borderId="1" xfId="0" applyFill="1" applyBorder="1" applyAlignment="1">
      <alignment vertical="center"/>
    </xf>
    <xf numFmtId="0" fontId="0" fillId="25" borderId="1" xfId="0" applyFill="1" applyBorder="1" applyAlignment="1">
      <alignment vertical="center"/>
    </xf>
    <xf numFmtId="0" fontId="3" fillId="9" borderId="1" xfId="4" applyBorder="1" applyAlignment="1">
      <alignment vertical="center"/>
    </xf>
    <xf numFmtId="0" fontId="3" fillId="7" borderId="1" xfId="5" applyBorder="1" applyAlignment="1">
      <alignment vertical="center"/>
    </xf>
    <xf numFmtId="0" fontId="3" fillId="15" borderId="1" xfId="11" applyBorder="1" applyAlignment="1">
      <alignment vertical="center"/>
    </xf>
    <xf numFmtId="0" fontId="0" fillId="16" borderId="1" xfId="12" applyFont="1" applyBorder="1"/>
    <xf numFmtId="0" fontId="1" fillId="11" borderId="1" xfId="7" applyBorder="1"/>
    <xf numFmtId="0" fontId="12" fillId="18" borderId="1" xfId="13" applyBorder="1"/>
    <xf numFmtId="0" fontId="3" fillId="0" borderId="0" xfId="5" applyFill="1"/>
    <xf numFmtId="167" fontId="3" fillId="7" borderId="0" xfId="5" applyNumberFormat="1"/>
    <xf numFmtId="0" fontId="8" fillId="6" borderId="0" xfId="0" applyFont="1" applyFill="1"/>
    <xf numFmtId="0" fontId="19" fillId="6" borderId="0" xfId="0" applyFont="1" applyFill="1"/>
    <xf numFmtId="0" fontId="0" fillId="6" borderId="0" xfId="0" applyFill="1"/>
    <xf numFmtId="0" fontId="0" fillId="27" borderId="0" xfId="0" applyFill="1"/>
    <xf numFmtId="0" fontId="20" fillId="26" borderId="0" xfId="0" applyFont="1" applyFill="1"/>
    <xf numFmtId="2" fontId="20" fillId="26" borderId="0" xfId="4" applyNumberFormat="1" applyFont="1" applyFill="1"/>
    <xf numFmtId="3" fontId="3" fillId="0" borderId="0" xfId="4" applyNumberFormat="1" applyFill="1"/>
    <xf numFmtId="0" fontId="12" fillId="0" borderId="0" xfId="12" applyFill="1"/>
    <xf numFmtId="0" fontId="3" fillId="0" borderId="0" xfId="11" applyFill="1"/>
    <xf numFmtId="168" fontId="3" fillId="9" borderId="0" xfId="4" applyNumberFormat="1"/>
    <xf numFmtId="0" fontId="4" fillId="0" borderId="1" xfId="0" applyFont="1" applyBorder="1" applyAlignment="1">
      <alignment vertical="center" wrapText="1"/>
    </xf>
    <xf numFmtId="0" fontId="19" fillId="0" borderId="0" xfId="0" applyFont="1"/>
    <xf numFmtId="169" fontId="0" fillId="0" borderId="0" xfId="14" applyNumberFormat="1" applyFont="1"/>
    <xf numFmtId="4" fontId="0" fillId="0" borderId="0" xfId="0" applyNumberFormat="1"/>
    <xf numFmtId="0" fontId="4" fillId="10" borderId="0" xfId="0" applyFont="1" applyFill="1"/>
    <xf numFmtId="3" fontId="1" fillId="10" borderId="0" xfId="0" applyNumberFormat="1" applyFont="1" applyFill="1"/>
    <xf numFmtId="0" fontId="3" fillId="28" borderId="1" xfId="0" applyFont="1" applyFill="1" applyBorder="1" applyAlignment="1">
      <alignment vertical="center"/>
    </xf>
    <xf numFmtId="0" fontId="0" fillId="0" borderId="1" xfId="0" applyBorder="1" applyAlignment="1">
      <alignment vertical="center"/>
    </xf>
    <xf numFmtId="0" fontId="1" fillId="29" borderId="1" xfId="0" applyFont="1" applyFill="1" applyBorder="1" applyAlignment="1">
      <alignment vertical="center"/>
    </xf>
    <xf numFmtId="166" fontId="21" fillId="30" borderId="0" xfId="15" applyNumberFormat="1"/>
    <xf numFmtId="2" fontId="0" fillId="0" borderId="0" xfId="0" applyNumberFormat="1"/>
    <xf numFmtId="3" fontId="3" fillId="15" borderId="0" xfId="11" applyNumberFormat="1"/>
    <xf numFmtId="0" fontId="0" fillId="0" borderId="0" xfId="0" quotePrefix="1"/>
    <xf numFmtId="0" fontId="0" fillId="0" borderId="2" xfId="0" applyBorder="1" applyAlignment="1">
      <alignment horizontal="center"/>
    </xf>
    <xf numFmtId="0" fontId="0" fillId="0" borderId="4" xfId="0" applyBorder="1" applyAlignment="1">
      <alignment horizontal="center"/>
    </xf>
    <xf numFmtId="0" fontId="0" fillId="0" borderId="1" xfId="0" applyBorder="1" applyAlignment="1">
      <alignment horizontal="left" vertical="center" wrapText="1"/>
    </xf>
    <xf numFmtId="0" fontId="0" fillId="0" borderId="1" xfId="0" applyBorder="1" applyAlignment="1">
      <alignment horizontal="center"/>
    </xf>
    <xf numFmtId="0" fontId="8" fillId="10" borderId="0" xfId="0" applyFont="1" applyFill="1" applyAlignment="1">
      <alignment horizontal="center"/>
    </xf>
    <xf numFmtId="0" fontId="0" fillId="0" borderId="1" xfId="0" applyBorder="1" applyAlignment="1">
      <alignment horizontal="center" wrapText="1"/>
    </xf>
    <xf numFmtId="0" fontId="4" fillId="13" borderId="0" xfId="0" applyFont="1" applyFill="1" applyAlignment="1">
      <alignment horizont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vertic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cellXfs>
  <cellStyles count="16">
    <cellStyle name="Assumption" xfId="12" xr:uid="{00000000-0005-0000-0000-000000000000}"/>
    <cellStyle name="Bad" xfId="15" builtinId="27"/>
    <cellStyle name="Calculation" xfId="5" builtinId="22" customBuiltin="1"/>
    <cellStyle name="Check Cell" xfId="6" builtinId="23" customBuiltin="1"/>
    <cellStyle name="Comma" xfId="9" builtinId="3"/>
    <cellStyle name="Conversion" xfId="3" xr:uid="{00000000-0005-0000-0000-000005000000}"/>
    <cellStyle name="Input" xfId="4" builtinId="20" customBuiltin="1"/>
    <cellStyle name="Interpolation" xfId="10" xr:uid="{00000000-0005-0000-0000-000007000000}"/>
    <cellStyle name="Inventory constants" xfId="13" xr:uid="{00000000-0005-0000-0000-000008000000}"/>
    <cellStyle name="IPCC" xfId="7" xr:uid="{00000000-0005-0000-0000-000009000000}"/>
    <cellStyle name="Linked" xfId="11" xr:uid="{00000000-0005-0000-0000-00000A000000}"/>
    <cellStyle name="Normal" xfId="0" builtinId="0"/>
    <cellStyle name="Normal 2" xfId="2" xr:uid="{00000000-0005-0000-0000-00000C000000}"/>
    <cellStyle name="Normal 3" xfId="1" xr:uid="{00000000-0005-0000-0000-00000D000000}"/>
    <cellStyle name="Percent" xfId="14" builtinId="5"/>
    <cellStyle name="Spreadsheet" xfId="8" xr:uid="{00000000-0005-0000-0000-00000F000000}"/>
  </cellStyles>
  <dxfs count="0"/>
  <tableStyles count="0" defaultTableStyle="TableStyleMedium2" defaultPivotStyle="PivotStyleLight16"/>
  <colors>
    <mruColors>
      <color rgb="FF009900"/>
      <color rgb="FF9966FF"/>
      <color rgb="FFFFCCFF"/>
      <color rgb="FFCCCCFF"/>
      <color rgb="FFCC99FF"/>
      <color rgb="FFFFCC00"/>
      <color rgb="FFCAEAB4"/>
      <color rgb="FFFFC5E2"/>
      <color rgb="FFFFCC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1.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3.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5.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6.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7.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9.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7"/>
          <c:order val="0"/>
          <c:tx>
            <c:strRef>
              <c:f>Data!$A$12:$B$12</c:f>
              <c:strCache>
                <c:ptCount val="2"/>
                <c:pt idx="0">
                  <c:v>Sorghum consumption (human)</c:v>
                </c:pt>
                <c:pt idx="1">
                  <c:v>t/capita</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trendline>
            <c:spPr>
              <a:ln w="19050" cap="rnd">
                <a:solidFill>
                  <a:schemeClr val="accent2">
                    <a:lumMod val="60000"/>
                  </a:schemeClr>
                </a:solidFill>
                <a:prstDash val="sysDot"/>
              </a:ln>
              <a:effectLst/>
            </c:spPr>
            <c:trendlineType val="linear"/>
            <c:dispRSqr val="0"/>
            <c:dispEq val="0"/>
          </c:trendline>
          <c:xVal>
            <c:numRef>
              <c:f>Data!$R$4:$AB$4</c:f>
              <c:numCache>
                <c:formatCode>General</c:formatCode>
                <c:ptCount val="11"/>
                <c:pt idx="0">
                  <c:v>47.134219703689652</c:v>
                </c:pt>
                <c:pt idx="1">
                  <c:v>49.114391395955856</c:v>
                </c:pt>
                <c:pt idx="2">
                  <c:v>51.192334626133288</c:v>
                </c:pt>
                <c:pt idx="3">
                  <c:v>52.414183192109149</c:v>
                </c:pt>
                <c:pt idx="4">
                  <c:v>50.996059718481895</c:v>
                </c:pt>
                <c:pt idx="5">
                  <c:v>51.807136604333046</c:v>
                </c:pt>
                <c:pt idx="6">
                  <c:v>52.773755281587846</c:v>
                </c:pt>
                <c:pt idx="7">
                  <c:v>53.728853330625171</c:v>
                </c:pt>
                <c:pt idx="8">
                  <c:v>54.321092720924852</c:v>
                </c:pt>
                <c:pt idx="9">
                  <c:v>54.480101646002176</c:v>
                </c:pt>
                <c:pt idx="10">
                  <c:v>54.289353458429851</c:v>
                </c:pt>
              </c:numCache>
            </c:numRef>
          </c:xVal>
          <c:yVal>
            <c:numRef>
              <c:f>Data!$R$12:$AB$12</c:f>
              <c:numCache>
                <c:formatCode>General</c:formatCode>
                <c:ptCount val="11"/>
                <c:pt idx="0">
                  <c:v>3.7384660230142057E-3</c:v>
                </c:pt>
                <c:pt idx="1">
                  <c:v>3.9390004330631945E-3</c:v>
                </c:pt>
                <c:pt idx="2">
                  <c:v>3.7052299055457499E-3</c:v>
                </c:pt>
                <c:pt idx="3">
                  <c:v>3.7163914417652206E-3</c:v>
                </c:pt>
                <c:pt idx="4">
                  <c:v>3.5065467723514772E-3</c:v>
                </c:pt>
                <c:pt idx="5">
                  <c:v>3.5925596839359707E-3</c:v>
                </c:pt>
                <c:pt idx="6">
                  <c:v>3.499719214835302E-3</c:v>
                </c:pt>
                <c:pt idx="7">
                  <c:v>3.4973432596810314E-3</c:v>
                </c:pt>
                <c:pt idx="8">
                  <c:v>2.9941029471168973E-3</c:v>
                </c:pt>
                <c:pt idx="9">
                  <c:v>3.0605223474033326E-3</c:v>
                </c:pt>
                <c:pt idx="10">
                  <c:v>2.794495463465674E-3</c:v>
                </c:pt>
              </c:numCache>
            </c:numRef>
          </c:yVal>
          <c:smooth val="0"/>
          <c:extLst>
            <c:ext xmlns:c16="http://schemas.microsoft.com/office/drawing/2014/chart" uri="{C3380CC4-5D6E-409C-BE32-E72D297353CC}">
              <c16:uniqueId val="{00000007-BAF8-4F50-AD68-7BA8511B21E8}"/>
            </c:ext>
          </c:extLst>
        </c:ser>
        <c:dLbls>
          <c:showLegendKey val="0"/>
          <c:showVal val="0"/>
          <c:showCatName val="0"/>
          <c:showSerName val="0"/>
          <c:showPercent val="0"/>
          <c:showBubbleSize val="0"/>
        </c:dLbls>
        <c:axId val="561351071"/>
        <c:axId val="674695727"/>
      </c:scatterChart>
      <c:valAx>
        <c:axId val="56135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4695727"/>
        <c:crosses val="autoZero"/>
        <c:crossBetween val="midCat"/>
      </c:valAx>
      <c:valAx>
        <c:axId val="674695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3510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verification'!$B$16</c:f>
              <c:strCache>
                <c:ptCount val="1"/>
                <c:pt idx="0">
                  <c:v>Beef production (BFAP)</c:v>
                </c:pt>
              </c:strCache>
            </c:strRef>
          </c:tx>
          <c:spPr>
            <a:ln w="28575" cap="rnd">
              <a:solidFill>
                <a:schemeClr val="accent1"/>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verification'!$C$16:$BA$16</c:f>
              <c:numCache>
                <c:formatCode>0.00</c:formatCode>
                <c:ptCount val="51"/>
                <c:pt idx="0">
                  <c:v>610.16713705625</c:v>
                </c:pt>
                <c:pt idx="1">
                  <c:v>610.16713705625</c:v>
                </c:pt>
                <c:pt idx="2">
                  <c:v>610.16713705625</c:v>
                </c:pt>
                <c:pt idx="3">
                  <c:v>536</c:v>
                </c:pt>
                <c:pt idx="4">
                  <c:v>559.68422552599998</c:v>
                </c:pt>
                <c:pt idx="5">
                  <c:v>575.65290859000004</c:v>
                </c:pt>
                <c:pt idx="6">
                  <c:v>579.69497297999999</c:v>
                </c:pt>
                <c:pt idx="7">
                  <c:v>601.65087453649994</c:v>
                </c:pt>
                <c:pt idx="8">
                  <c:v>631</c:v>
                </c:pt>
                <c:pt idx="9">
                  <c:v>612.06999999999994</c:v>
                </c:pt>
                <c:pt idx="10">
                  <c:v>654.91489999999999</c:v>
                </c:pt>
                <c:pt idx="11">
                  <c:v>622.16915499999993</c:v>
                </c:pt>
                <c:pt idx="12">
                  <c:v>613.14770225249993</c:v>
                </c:pt>
                <c:pt idx="13">
                  <c:v>665.92799245872072</c:v>
                </c:pt>
                <c:pt idx="14">
                  <c:v>698.08925804689954</c:v>
                </c:pt>
                <c:pt idx="15">
                  <c:v>699.22078053934399</c:v>
                </c:pt>
                <c:pt idx="16">
                  <c:v>710.39885911430974</c:v>
                </c:pt>
                <c:pt idx="17">
                  <c:v>739.18964380980105</c:v>
                </c:pt>
                <c:pt idx="18">
                  <c:v>753.56215690376871</c:v>
                </c:pt>
                <c:pt idx="19">
                  <c:v>770.46731576083528</c:v>
                </c:pt>
                <c:pt idx="20">
                  <c:v>785.71589617587529</c:v>
                </c:pt>
                <c:pt idx="21">
                  <c:v>803.32741953910943</c:v>
                </c:pt>
                <c:pt idx="22">
                  <c:v>821.94908336777723</c:v>
                </c:pt>
                <c:pt idx="23">
                  <c:v>844.55586695223269</c:v>
                </c:pt>
                <c:pt idx="24">
                  <c:v>859.84984588505426</c:v>
                </c:pt>
                <c:pt idx="25">
                  <c:v>875</c:v>
                </c:pt>
                <c:pt idx="26">
                  <c:v>890</c:v>
                </c:pt>
                <c:pt idx="27">
                  <c:v>910</c:v>
                </c:pt>
                <c:pt idx="28">
                  <c:v>925</c:v>
                </c:pt>
              </c:numCache>
            </c:numRef>
          </c:val>
          <c:smooth val="0"/>
          <c:extLst>
            <c:ext xmlns:c16="http://schemas.microsoft.com/office/drawing/2014/chart" uri="{C3380CC4-5D6E-409C-BE32-E72D297353CC}">
              <c16:uniqueId val="{00000000-4A48-44EA-92BB-FEC8B7D263A4}"/>
            </c:ext>
          </c:extLst>
        </c:ser>
        <c:ser>
          <c:idx val="1"/>
          <c:order val="1"/>
          <c:tx>
            <c:strRef>
              <c:f>'BFAP verification'!$B$17</c:f>
              <c:strCache>
                <c:ptCount val="1"/>
                <c:pt idx="0">
                  <c:v>Beef consumption (BFAP)</c:v>
                </c:pt>
              </c:strCache>
            </c:strRef>
          </c:tx>
          <c:spPr>
            <a:ln w="28575" cap="rnd">
              <a:solidFill>
                <a:schemeClr val="accent2"/>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verification'!$C$17:$BA$17</c:f>
              <c:numCache>
                <c:formatCode>0.00</c:formatCode>
                <c:ptCount val="51"/>
                <c:pt idx="0">
                  <c:v>649.892624710375</c:v>
                </c:pt>
                <c:pt idx="1">
                  <c:v>649.892624710375</c:v>
                </c:pt>
                <c:pt idx="2">
                  <c:v>649.892624710375</c:v>
                </c:pt>
                <c:pt idx="3">
                  <c:v>574.19949799999995</c:v>
                </c:pt>
                <c:pt idx="4">
                  <c:v>612.06163379999998</c:v>
                </c:pt>
                <c:pt idx="5">
                  <c:v>642.21783919999996</c:v>
                </c:pt>
                <c:pt idx="6">
                  <c:v>636.26177159999997</c:v>
                </c:pt>
                <c:pt idx="7">
                  <c:v>658.9</c:v>
                </c:pt>
                <c:pt idx="8">
                  <c:v>671.91341149238087</c:v>
                </c:pt>
                <c:pt idx="9">
                  <c:v>649.94999999999993</c:v>
                </c:pt>
                <c:pt idx="10">
                  <c:v>695.36469999999997</c:v>
                </c:pt>
                <c:pt idx="11">
                  <c:v>663.10915499999999</c:v>
                </c:pt>
                <c:pt idx="12">
                  <c:v>670.91943283249987</c:v>
                </c:pt>
                <c:pt idx="13">
                  <c:v>716.42099245872066</c:v>
                </c:pt>
                <c:pt idx="14">
                  <c:v>729.84874533689958</c:v>
                </c:pt>
                <c:pt idx="15">
                  <c:v>740.51634422626432</c:v>
                </c:pt>
                <c:pt idx="16">
                  <c:v>752.08174895984371</c:v>
                </c:pt>
                <c:pt idx="17">
                  <c:v>781.10112686931438</c:v>
                </c:pt>
                <c:pt idx="18">
                  <c:v>797.63162045872559</c:v>
                </c:pt>
                <c:pt idx="19">
                  <c:v>815.73258961364343</c:v>
                </c:pt>
                <c:pt idx="20">
                  <c:v>831.42566617367947</c:v>
                </c:pt>
                <c:pt idx="21">
                  <c:v>848.73455405867912</c:v>
                </c:pt>
                <c:pt idx="22">
                  <c:v>866.8135090431233</c:v>
                </c:pt>
                <c:pt idx="23">
                  <c:v>888.81185294880709</c:v>
                </c:pt>
                <c:pt idx="24">
                  <c:v>904.54032017152463</c:v>
                </c:pt>
              </c:numCache>
            </c:numRef>
          </c:val>
          <c:smooth val="0"/>
          <c:extLst>
            <c:ext xmlns:c16="http://schemas.microsoft.com/office/drawing/2014/chart" uri="{C3380CC4-5D6E-409C-BE32-E72D297353CC}">
              <c16:uniqueId val="{00000001-4A48-44EA-92BB-FEC8B7D263A4}"/>
            </c:ext>
          </c:extLst>
        </c:ser>
        <c:ser>
          <c:idx val="2"/>
          <c:order val="2"/>
          <c:tx>
            <c:strRef>
              <c:f>'BFAP verification'!$B$18</c:f>
              <c:strCache>
                <c:ptCount val="1"/>
                <c:pt idx="0">
                  <c:v>Beef production (model)</c:v>
                </c:pt>
              </c:strCache>
            </c:strRef>
          </c:tx>
          <c:spPr>
            <a:ln w="28575" cap="rnd">
              <a:solidFill>
                <a:schemeClr val="accent3"/>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verification'!$C$18:$BA$18</c:f>
              <c:numCache>
                <c:formatCode>0.00</c:formatCode>
                <c:ptCount val="51"/>
                <c:pt idx="0">
                  <c:v>624.6</c:v>
                </c:pt>
                <c:pt idx="1">
                  <c:v>524.29999999999995</c:v>
                </c:pt>
                <c:pt idx="2">
                  <c:v>573.4</c:v>
                </c:pt>
                <c:pt idx="3">
                  <c:v>609.70000000000005</c:v>
                </c:pt>
                <c:pt idx="4">
                  <c:v>631.70000000000005</c:v>
                </c:pt>
                <c:pt idx="5">
                  <c:v>672.3</c:v>
                </c:pt>
                <c:pt idx="6">
                  <c:v>808.1</c:v>
                </c:pt>
                <c:pt idx="7">
                  <c:v>861.4</c:v>
                </c:pt>
                <c:pt idx="8">
                  <c:v>770.2</c:v>
                </c:pt>
                <c:pt idx="9">
                  <c:v>796.7</c:v>
                </c:pt>
                <c:pt idx="10">
                  <c:v>885.8</c:v>
                </c:pt>
                <c:pt idx="11">
                  <c:v>869.5</c:v>
                </c:pt>
                <c:pt idx="12">
                  <c:v>922.98216526620809</c:v>
                </c:pt>
                <c:pt idx="13">
                  <c:v>952.09618143379271</c:v>
                </c:pt>
                <c:pt idx="14">
                  <c:v>972.24256273741253</c:v>
                </c:pt>
                <c:pt idx="15">
                  <c:v>984.95124727685209</c:v>
                </c:pt>
                <c:pt idx="16">
                  <c:v>992.74728989529126</c:v>
                </c:pt>
                <c:pt idx="17">
                  <c:v>1003.9643062152618</c:v>
                </c:pt>
                <c:pt idx="18">
                  <c:v>1017.2805307524815</c:v>
                </c:pt>
                <c:pt idx="19">
                  <c:v>1030.07227412464</c:v>
                </c:pt>
                <c:pt idx="20">
                  <c:v>927.80953610838924</c:v>
                </c:pt>
                <c:pt idx="21">
                  <c:v>952.89769287832667</c:v>
                </c:pt>
                <c:pt idx="22">
                  <c:v>978.32312112501847</c:v>
                </c:pt>
                <c:pt idx="23">
                  <c:v>1006.5032113482856</c:v>
                </c:pt>
                <c:pt idx="24">
                  <c:v>1036.5605015698952</c:v>
                </c:pt>
                <c:pt idx="25">
                  <c:v>1066.3344715561759</c:v>
                </c:pt>
                <c:pt idx="26">
                  <c:v>1100.4879236000274</c:v>
                </c:pt>
                <c:pt idx="27">
                  <c:v>1135.933911606395</c:v>
                </c:pt>
                <c:pt idx="28">
                  <c:v>1173.32199814774</c:v>
                </c:pt>
                <c:pt idx="29">
                  <c:v>1211.9667354462183</c:v>
                </c:pt>
                <c:pt idx="30">
                  <c:v>1244.9362680718441</c:v>
                </c:pt>
                <c:pt idx="31">
                  <c:v>1286.1692491381013</c:v>
                </c:pt>
                <c:pt idx="32">
                  <c:v>1328.3429930732495</c:v>
                </c:pt>
                <c:pt idx="33">
                  <c:v>1371.7227712658416</c:v>
                </c:pt>
                <c:pt idx="34">
                  <c:v>1413.4811904286951</c:v>
                </c:pt>
                <c:pt idx="35">
                  <c:v>1457.5899652155015</c:v>
                </c:pt>
                <c:pt idx="36">
                  <c:v>1504.1207005664628</c:v>
                </c:pt>
                <c:pt idx="37">
                  <c:v>1552.3162182879776</c:v>
                </c:pt>
                <c:pt idx="38">
                  <c:v>1600.1015129233981</c:v>
                </c:pt>
                <c:pt idx="39">
                  <c:v>1649.5745481598847</c:v>
                </c:pt>
                <c:pt idx="40">
                  <c:v>1702.0226372737759</c:v>
                </c:pt>
                <c:pt idx="41">
                  <c:v>1756.8737270840961</c:v>
                </c:pt>
                <c:pt idx="42">
                  <c:v>1813.9568807902399</c:v>
                </c:pt>
                <c:pt idx="43">
                  <c:v>1873.3747475453392</c:v>
                </c:pt>
                <c:pt idx="44">
                  <c:v>1935.158630688024</c:v>
                </c:pt>
                <c:pt idx="45">
                  <c:v>1999.8444745617719</c:v>
                </c:pt>
                <c:pt idx="46">
                  <c:v>2061.0667611019944</c:v>
                </c:pt>
                <c:pt idx="47">
                  <c:v>2124.9327487360542</c:v>
                </c:pt>
                <c:pt idx="48">
                  <c:v>2191.9483168894235</c:v>
                </c:pt>
                <c:pt idx="49">
                  <c:v>2262.3930191747581</c:v>
                </c:pt>
                <c:pt idx="50">
                  <c:v>2337.8203882776024</c:v>
                </c:pt>
              </c:numCache>
            </c:numRef>
          </c:val>
          <c:smooth val="0"/>
          <c:extLst>
            <c:ext xmlns:c16="http://schemas.microsoft.com/office/drawing/2014/chart" uri="{C3380CC4-5D6E-409C-BE32-E72D297353CC}">
              <c16:uniqueId val="{00000002-4A48-44EA-92BB-FEC8B7D263A4}"/>
            </c:ext>
          </c:extLst>
        </c:ser>
        <c:ser>
          <c:idx val="3"/>
          <c:order val="3"/>
          <c:tx>
            <c:strRef>
              <c:f>'BFAP verification'!$B$19</c:f>
              <c:strCache>
                <c:ptCount val="1"/>
                <c:pt idx="0">
                  <c:v>Beef consumption (model)</c:v>
                </c:pt>
              </c:strCache>
            </c:strRef>
          </c:tx>
          <c:spPr>
            <a:ln w="28575" cap="rnd">
              <a:solidFill>
                <a:schemeClr val="accent4"/>
              </a:solidFill>
              <a:round/>
            </a:ln>
            <a:effectLst/>
          </c:spPr>
          <c:marker>
            <c:symbol val="none"/>
          </c:marker>
          <c:cat>
            <c:numRef>
              <c:f>'BFAP verification'!$C$15:$BA$15</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verification'!$C$19:$BA$19</c:f>
              <c:numCache>
                <c:formatCode>0.00</c:formatCode>
                <c:ptCount val="51"/>
                <c:pt idx="0">
                  <c:v>671</c:v>
                </c:pt>
                <c:pt idx="1">
                  <c:v>554</c:v>
                </c:pt>
                <c:pt idx="2">
                  <c:v>602</c:v>
                </c:pt>
                <c:pt idx="3">
                  <c:v>643</c:v>
                </c:pt>
                <c:pt idx="4">
                  <c:v>675</c:v>
                </c:pt>
                <c:pt idx="5">
                  <c:v>723</c:v>
                </c:pt>
                <c:pt idx="6">
                  <c:v>825</c:v>
                </c:pt>
                <c:pt idx="7">
                  <c:v>865</c:v>
                </c:pt>
                <c:pt idx="8">
                  <c:v>767</c:v>
                </c:pt>
                <c:pt idx="9">
                  <c:v>784</c:v>
                </c:pt>
                <c:pt idx="10">
                  <c:v>880</c:v>
                </c:pt>
                <c:pt idx="11">
                  <c:v>879</c:v>
                </c:pt>
                <c:pt idx="12">
                  <c:v>923.11395231667791</c:v>
                </c:pt>
                <c:pt idx="13">
                  <c:v>948.59519031587865</c:v>
                </c:pt>
                <c:pt idx="14">
                  <c:v>966.22775374736261</c:v>
                </c:pt>
                <c:pt idx="15">
                  <c:v>977.35067864862651</c:v>
                </c:pt>
                <c:pt idx="16">
                  <c:v>984.17394948384481</c:v>
                </c:pt>
                <c:pt idx="17">
                  <c:v>993.99133300265748</c:v>
                </c:pt>
                <c:pt idx="18">
                  <c:v>1005.6459904958234</c:v>
                </c:pt>
                <c:pt idx="19">
                  <c:v>1016.8416103448493</c:v>
                </c:pt>
                <c:pt idx="20">
                  <c:v>927.33897522770371</c:v>
                </c:pt>
                <c:pt idx="21">
                  <c:v>949.29669105558048</c:v>
                </c:pt>
                <c:pt idx="22">
                  <c:v>971.54959442199731</c:v>
                </c:pt>
                <c:pt idx="23">
                  <c:v>996.21343955022496</c:v>
                </c:pt>
                <c:pt idx="24">
                  <c:v>1022.520252095058</c:v>
                </c:pt>
                <c:pt idx="25">
                  <c:v>1048.5790964343073</c:v>
                </c:pt>
                <c:pt idx="26">
                  <c:v>1078.4709614045764</c:v>
                </c:pt>
                <c:pt idx="27">
                  <c:v>1109.4940827530042</c:v>
                </c:pt>
                <c:pt idx="28">
                  <c:v>1142.2169721685652</c:v>
                </c:pt>
                <c:pt idx="29">
                  <c:v>1176.0397104280673</c:v>
                </c:pt>
                <c:pt idx="30">
                  <c:v>1204.8953826486299</c:v>
                </c:pt>
                <c:pt idx="31">
                  <c:v>1240.98340973215</c:v>
                </c:pt>
                <c:pt idx="32">
                  <c:v>1277.8948135159178</c:v>
                </c:pt>
                <c:pt idx="33">
                  <c:v>1315.8617654512091</c:v>
                </c:pt>
                <c:pt idx="34">
                  <c:v>1352.409667706748</c:v>
                </c:pt>
                <c:pt idx="35">
                  <c:v>1391.0146537631599</c:v>
                </c:pt>
                <c:pt idx="36">
                  <c:v>1431.739393865344</c:v>
                </c:pt>
                <c:pt idx="37">
                  <c:v>1473.9211887261974</c:v>
                </c:pt>
                <c:pt idx="38">
                  <c:v>1515.7439471686682</c:v>
                </c:pt>
                <c:pt idx="39">
                  <c:v>1559.0438539265463</c:v>
                </c:pt>
                <c:pt idx="40">
                  <c:v>1604.9475943662571</c:v>
                </c:pt>
                <c:pt idx="41">
                  <c:v>1652.9544947515246</c:v>
                </c:pt>
                <c:pt idx="42">
                  <c:v>1702.9149473719604</c:v>
                </c:pt>
                <c:pt idx="43">
                  <c:v>1754.9187930618316</c:v>
                </c:pt>
                <c:pt idx="44">
                  <c:v>1808.9934292031141</c:v>
                </c:pt>
                <c:pt idx="45">
                  <c:v>1865.6079262700389</c:v>
                </c:pt>
                <c:pt idx="46">
                  <c:v>1919.1910405063904</c:v>
                </c:pt>
                <c:pt idx="47">
                  <c:v>1975.0879810586669</c:v>
                </c:pt>
                <c:pt idx="48">
                  <c:v>2033.7415049125466</c:v>
                </c:pt>
                <c:pt idx="49">
                  <c:v>2095.3962836412206</c:v>
                </c:pt>
                <c:pt idx="50">
                  <c:v>2161.4120037912649</c:v>
                </c:pt>
              </c:numCache>
            </c:numRef>
          </c:val>
          <c:smooth val="0"/>
          <c:extLst>
            <c:ext xmlns:c16="http://schemas.microsoft.com/office/drawing/2014/chart" uri="{C3380CC4-5D6E-409C-BE32-E72D297353CC}">
              <c16:uniqueId val="{00000003-4A48-44EA-92BB-FEC8B7D263A4}"/>
            </c:ext>
          </c:extLst>
        </c:ser>
        <c:dLbls>
          <c:showLegendKey val="0"/>
          <c:showVal val="0"/>
          <c:showCatName val="0"/>
          <c:showSerName val="0"/>
          <c:showPercent val="0"/>
          <c:showBubbleSize val="0"/>
        </c:dLbls>
        <c:smooth val="0"/>
        <c:axId val="1797134927"/>
        <c:axId val="1797135343"/>
      </c:lineChart>
      <c:catAx>
        <c:axId val="179713492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5343"/>
        <c:crosses val="autoZero"/>
        <c:auto val="1"/>
        <c:lblAlgn val="ctr"/>
        <c:lblOffset val="100"/>
        <c:noMultiLvlLbl val="0"/>
      </c:catAx>
      <c:valAx>
        <c:axId val="179713534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3492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verification'!$B$22</c:f>
              <c:strCache>
                <c:ptCount val="1"/>
                <c:pt idx="0">
                  <c:v>Pork production (BFAP)</c:v>
                </c:pt>
              </c:strCache>
            </c:strRef>
          </c:tx>
          <c:spPr>
            <a:ln w="28575" cap="rnd">
              <a:solidFill>
                <a:schemeClr val="accent1"/>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verification'!$C$22:$BA$22</c:f>
              <c:numCache>
                <c:formatCode>0.00</c:formatCode>
                <c:ptCount val="51"/>
                <c:pt idx="0">
                  <c:v>129.63</c:v>
                </c:pt>
                <c:pt idx="1">
                  <c:v>129.63</c:v>
                </c:pt>
                <c:pt idx="2">
                  <c:v>129.63</c:v>
                </c:pt>
                <c:pt idx="3">
                  <c:v>143.13999999999999</c:v>
                </c:pt>
                <c:pt idx="4">
                  <c:v>146.053</c:v>
                </c:pt>
                <c:pt idx="5">
                  <c:v>149.999</c:v>
                </c:pt>
                <c:pt idx="6">
                  <c:v>157.24799999999999</c:v>
                </c:pt>
                <c:pt idx="7">
                  <c:v>152.83564942134379</c:v>
                </c:pt>
                <c:pt idx="8">
                  <c:v>162.80000000000001</c:v>
                </c:pt>
                <c:pt idx="9">
                  <c:v>165.18375564550669</c:v>
                </c:pt>
                <c:pt idx="10">
                  <c:v>169.66697423006443</c:v>
                </c:pt>
                <c:pt idx="11">
                  <c:v>186.75616508255388</c:v>
                </c:pt>
                <c:pt idx="12">
                  <c:v>191.25698866104344</c:v>
                </c:pt>
                <c:pt idx="13">
                  <c:v>197.47194670605705</c:v>
                </c:pt>
                <c:pt idx="14">
                  <c:v>204.80493212570124</c:v>
                </c:pt>
                <c:pt idx="15">
                  <c:v>208.64102609863633</c:v>
                </c:pt>
                <c:pt idx="16">
                  <c:v>213.80677245749976</c:v>
                </c:pt>
                <c:pt idx="17">
                  <c:v>217.57407311191287</c:v>
                </c:pt>
                <c:pt idx="18">
                  <c:v>225.22145508819884</c:v>
                </c:pt>
                <c:pt idx="19">
                  <c:v>232.86299528535966</c:v>
                </c:pt>
                <c:pt idx="20">
                  <c:v>241.53716288131423</c:v>
                </c:pt>
                <c:pt idx="21">
                  <c:v>245</c:v>
                </c:pt>
                <c:pt idx="22">
                  <c:v>250</c:v>
                </c:pt>
                <c:pt idx="23">
                  <c:v>255</c:v>
                </c:pt>
                <c:pt idx="24">
                  <c:v>260</c:v>
                </c:pt>
                <c:pt idx="25">
                  <c:v>265</c:v>
                </c:pt>
                <c:pt idx="26">
                  <c:v>270</c:v>
                </c:pt>
                <c:pt idx="27">
                  <c:v>275</c:v>
                </c:pt>
                <c:pt idx="28">
                  <c:v>280</c:v>
                </c:pt>
              </c:numCache>
            </c:numRef>
          </c:val>
          <c:smooth val="0"/>
          <c:extLst>
            <c:ext xmlns:c16="http://schemas.microsoft.com/office/drawing/2014/chart" uri="{C3380CC4-5D6E-409C-BE32-E72D297353CC}">
              <c16:uniqueId val="{00000000-03A2-46B0-862C-E451EC00EDA3}"/>
            </c:ext>
          </c:extLst>
        </c:ser>
        <c:ser>
          <c:idx val="1"/>
          <c:order val="1"/>
          <c:tx>
            <c:strRef>
              <c:f>'BFAP verification'!$B$23</c:f>
              <c:strCache>
                <c:ptCount val="1"/>
                <c:pt idx="0">
                  <c:v>Pork Domestic Use (BFAP)</c:v>
                </c:pt>
              </c:strCache>
            </c:strRef>
          </c:tx>
          <c:spPr>
            <a:ln w="28575" cap="rnd">
              <a:solidFill>
                <a:schemeClr val="accent2"/>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verification'!$C$23:$BA$23</c:f>
              <c:numCache>
                <c:formatCode>0.00</c:formatCode>
                <c:ptCount val="51"/>
                <c:pt idx="0">
                  <c:v>137.82499999999999</c:v>
                </c:pt>
                <c:pt idx="1">
                  <c:v>137.82499999999999</c:v>
                </c:pt>
                <c:pt idx="2">
                  <c:v>137.82499999999999</c:v>
                </c:pt>
                <c:pt idx="3">
                  <c:v>156.29499999999999</c:v>
                </c:pt>
                <c:pt idx="4">
                  <c:v>167.84399999999999</c:v>
                </c:pt>
                <c:pt idx="5">
                  <c:v>176.53800000000001</c:v>
                </c:pt>
                <c:pt idx="6">
                  <c:v>177.79399999999998</c:v>
                </c:pt>
                <c:pt idx="7">
                  <c:v>173.29521483689047</c:v>
                </c:pt>
                <c:pt idx="8">
                  <c:v>179.18</c:v>
                </c:pt>
                <c:pt idx="9">
                  <c:v>188.69627164870266</c:v>
                </c:pt>
                <c:pt idx="10">
                  <c:v>192.2214902332604</c:v>
                </c:pt>
                <c:pt idx="11">
                  <c:v>215.34616508255388</c:v>
                </c:pt>
                <c:pt idx="12">
                  <c:v>223.20098866104343</c:v>
                </c:pt>
                <c:pt idx="13">
                  <c:v>219.00718870605706</c:v>
                </c:pt>
                <c:pt idx="14">
                  <c:v>215.58134712570126</c:v>
                </c:pt>
                <c:pt idx="15">
                  <c:v>221.42544983376598</c:v>
                </c:pt>
                <c:pt idx="16">
                  <c:v>226.46723800236197</c:v>
                </c:pt>
                <c:pt idx="17">
                  <c:v>230.37779215363364</c:v>
                </c:pt>
                <c:pt idx="18">
                  <c:v>237.99020308913876</c:v>
                </c:pt>
                <c:pt idx="19">
                  <c:v>245.3694152709713</c:v>
                </c:pt>
                <c:pt idx="20">
                  <c:v>253.78761345428606</c:v>
                </c:pt>
                <c:pt idx="21">
                  <c:v>263.23358248496942</c:v>
                </c:pt>
                <c:pt idx="22">
                  <c:v>274.0317887557747</c:v>
                </c:pt>
                <c:pt idx="23">
                  <c:v>283.56552384740866</c:v>
                </c:pt>
                <c:pt idx="24">
                  <c:v>293.35792027883537</c:v>
                </c:pt>
              </c:numCache>
            </c:numRef>
          </c:val>
          <c:smooth val="0"/>
          <c:extLst>
            <c:ext xmlns:c16="http://schemas.microsoft.com/office/drawing/2014/chart" uri="{C3380CC4-5D6E-409C-BE32-E72D297353CC}">
              <c16:uniqueId val="{00000001-03A2-46B0-862C-E451EC00EDA3}"/>
            </c:ext>
          </c:extLst>
        </c:ser>
        <c:ser>
          <c:idx val="2"/>
          <c:order val="2"/>
          <c:tx>
            <c:strRef>
              <c:f>'BFAP verification'!$B$24</c:f>
              <c:strCache>
                <c:ptCount val="1"/>
                <c:pt idx="0">
                  <c:v>Pork production (model)</c:v>
                </c:pt>
              </c:strCache>
            </c:strRef>
          </c:tx>
          <c:spPr>
            <a:ln w="28575" cap="rnd">
              <a:solidFill>
                <a:schemeClr val="accent3"/>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verification'!$C$24:$BA$24</c:f>
              <c:numCache>
                <c:formatCode>0.00</c:formatCode>
                <c:ptCount val="51"/>
                <c:pt idx="0">
                  <c:v>123</c:v>
                </c:pt>
                <c:pt idx="1">
                  <c:v>106.9</c:v>
                </c:pt>
                <c:pt idx="2">
                  <c:v>116.6</c:v>
                </c:pt>
                <c:pt idx="3">
                  <c:v>135</c:v>
                </c:pt>
                <c:pt idx="4">
                  <c:v>156.80000000000001</c:v>
                </c:pt>
                <c:pt idx="5">
                  <c:v>159.69999999999999</c:v>
                </c:pt>
                <c:pt idx="6">
                  <c:v>171.4</c:v>
                </c:pt>
                <c:pt idx="7">
                  <c:v>187.1</c:v>
                </c:pt>
                <c:pt idx="8">
                  <c:v>181.7</c:v>
                </c:pt>
                <c:pt idx="9">
                  <c:v>180.7</c:v>
                </c:pt>
                <c:pt idx="10">
                  <c:v>191.9</c:v>
                </c:pt>
                <c:pt idx="11">
                  <c:v>205.1</c:v>
                </c:pt>
                <c:pt idx="12">
                  <c:v>211.25680579781439</c:v>
                </c:pt>
                <c:pt idx="13">
                  <c:v>217.35950768848085</c:v>
                </c:pt>
                <c:pt idx="14">
                  <c:v>221.32965601288518</c:v>
                </c:pt>
                <c:pt idx="15">
                  <c:v>223.52537026236692</c:v>
                </c:pt>
                <c:pt idx="16">
                  <c:v>224.53833418272961</c:v>
                </c:pt>
                <c:pt idx="17">
                  <c:v>226.3238124577428</c:v>
                </c:pt>
                <c:pt idx="18">
                  <c:v>228.59078547195972</c:v>
                </c:pt>
                <c:pt idx="19">
                  <c:v>230.72073519330692</c:v>
                </c:pt>
                <c:pt idx="20">
                  <c:v>205.8260134228905</c:v>
                </c:pt>
                <c:pt idx="21">
                  <c:v>210.97397556116772</c:v>
                </c:pt>
                <c:pt idx="22">
                  <c:v>216.24386258646948</c:v>
                </c:pt>
                <c:pt idx="23">
                  <c:v>222.20505976003716</c:v>
                </c:pt>
                <c:pt idx="24">
                  <c:v>228.61875731206516</c:v>
                </c:pt>
                <c:pt idx="25">
                  <c:v>234.97830844981101</c:v>
                </c:pt>
                <c:pt idx="26">
                  <c:v>242.37892514071208</c:v>
                </c:pt>
                <c:pt idx="27">
                  <c:v>250.09645728250328</c:v>
                </c:pt>
                <c:pt idx="28">
                  <c:v>258.28394176932528</c:v>
                </c:pt>
                <c:pt idx="29">
                  <c:v>266.7766636540623</c:v>
                </c:pt>
                <c:pt idx="30">
                  <c:v>273.94768287213424</c:v>
                </c:pt>
                <c:pt idx="31">
                  <c:v>283.06968125040339</c:v>
                </c:pt>
                <c:pt idx="32">
                  <c:v>292.42395691747043</c:v>
                </c:pt>
                <c:pt idx="33">
                  <c:v>302.07317533386652</c:v>
                </c:pt>
                <c:pt idx="34">
                  <c:v>311.35269019980694</c:v>
                </c:pt>
                <c:pt idx="35">
                  <c:v>321.19526044445331</c:v>
                </c:pt>
                <c:pt idx="36">
                  <c:v>331.61803768497009</c:v>
                </c:pt>
                <c:pt idx="37">
                  <c:v>342.44360014989911</c:v>
                </c:pt>
                <c:pt idx="38">
                  <c:v>353.18514276711187</c:v>
                </c:pt>
                <c:pt idx="39">
                  <c:v>364.33415091579747</c:v>
                </c:pt>
                <c:pt idx="40">
                  <c:v>376.1931265406194</c:v>
                </c:pt>
                <c:pt idx="41">
                  <c:v>388.62805526853612</c:v>
                </c:pt>
                <c:pt idx="42">
                  <c:v>401.59908418638224</c:v>
                </c:pt>
                <c:pt idx="43">
                  <c:v>415.13058210917609</c:v>
                </c:pt>
                <c:pt idx="44">
                  <c:v>429.23010541114678</c:v>
                </c:pt>
                <c:pt idx="45">
                  <c:v>444.02373047243918</c:v>
                </c:pt>
                <c:pt idx="46">
                  <c:v>458.01731768732867</c:v>
                </c:pt>
                <c:pt idx="47">
                  <c:v>472.64486853378463</c:v>
                </c:pt>
                <c:pt idx="48">
                  <c:v>488.02537965793852</c:v>
                </c:pt>
                <c:pt idx="49">
                  <c:v>504.2248969200088</c:v>
                </c:pt>
                <c:pt idx="50">
                  <c:v>521.60835438210859</c:v>
                </c:pt>
              </c:numCache>
            </c:numRef>
          </c:val>
          <c:smooth val="0"/>
          <c:extLst>
            <c:ext xmlns:c16="http://schemas.microsoft.com/office/drawing/2014/chart" uri="{C3380CC4-5D6E-409C-BE32-E72D297353CC}">
              <c16:uniqueId val="{00000002-03A2-46B0-862C-E451EC00EDA3}"/>
            </c:ext>
          </c:extLst>
        </c:ser>
        <c:ser>
          <c:idx val="3"/>
          <c:order val="3"/>
          <c:tx>
            <c:strRef>
              <c:f>'BFAP verification'!$B$25</c:f>
              <c:strCache>
                <c:ptCount val="1"/>
                <c:pt idx="0">
                  <c:v>Pork Domestic Use (model)</c:v>
                </c:pt>
              </c:strCache>
            </c:strRef>
          </c:tx>
          <c:spPr>
            <a:ln w="28575" cap="rnd">
              <a:solidFill>
                <a:schemeClr val="accent4"/>
              </a:solidFill>
              <a:round/>
            </a:ln>
            <a:effectLst/>
          </c:spPr>
          <c:marker>
            <c:symbol val="none"/>
          </c:marker>
          <c:cat>
            <c:numRef>
              <c:f>'BFAP verification'!$C$21:$BA$21</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verification'!$C$25:$BA$25</c:f>
              <c:numCache>
                <c:formatCode>0.00</c:formatCode>
                <c:ptCount val="51"/>
                <c:pt idx="0">
                  <c:v>131</c:v>
                </c:pt>
                <c:pt idx="1">
                  <c:v>115</c:v>
                </c:pt>
                <c:pt idx="2">
                  <c:v>123</c:v>
                </c:pt>
                <c:pt idx="3">
                  <c:v>146</c:v>
                </c:pt>
                <c:pt idx="4">
                  <c:v>174</c:v>
                </c:pt>
                <c:pt idx="5">
                  <c:v>182</c:v>
                </c:pt>
                <c:pt idx="6">
                  <c:v>193</c:v>
                </c:pt>
                <c:pt idx="7">
                  <c:v>206</c:v>
                </c:pt>
                <c:pt idx="8">
                  <c:v>198</c:v>
                </c:pt>
                <c:pt idx="9">
                  <c:v>199</c:v>
                </c:pt>
                <c:pt idx="10">
                  <c:v>215</c:v>
                </c:pt>
                <c:pt idx="11">
                  <c:v>231</c:v>
                </c:pt>
                <c:pt idx="12">
                  <c:v>233.98886130861868</c:v>
                </c:pt>
                <c:pt idx="13">
                  <c:v>241.18536665430864</c:v>
                </c:pt>
                <c:pt idx="14">
                  <c:v>245.86709519875137</c:v>
                </c:pt>
                <c:pt idx="15">
                  <c:v>248.4563531400855</c:v>
                </c:pt>
                <c:pt idx="16">
                  <c:v>249.65087327206678</c:v>
                </c:pt>
                <c:pt idx="17">
                  <c:v>251.75636755655694</c:v>
                </c:pt>
                <c:pt idx="18">
                  <c:v>254.42965616013399</c:v>
                </c:pt>
                <c:pt idx="19">
                  <c:v>256.94136242243218</c:v>
                </c:pt>
                <c:pt idx="20">
                  <c:v>227.58469360427031</c:v>
                </c:pt>
                <c:pt idx="21">
                  <c:v>233.65533865809178</c:v>
                </c:pt>
                <c:pt idx="22">
                  <c:v>239.86976151999968</c:v>
                </c:pt>
                <c:pt idx="23">
                  <c:v>246.89939988262446</c:v>
                </c:pt>
                <c:pt idx="24">
                  <c:v>254.46264146737232</c:v>
                </c:pt>
                <c:pt idx="25">
                  <c:v>261.96203183231421</c:v>
                </c:pt>
                <c:pt idx="26">
                  <c:v>270.68908069225051</c:v>
                </c:pt>
                <c:pt idx="27">
                  <c:v>279.78984660036031</c:v>
                </c:pt>
                <c:pt idx="28">
                  <c:v>289.44479565944556</c:v>
                </c:pt>
                <c:pt idx="29">
                  <c:v>299.45969062530367</c:v>
                </c:pt>
                <c:pt idx="30">
                  <c:v>307.91599064805706</c:v>
                </c:pt>
                <c:pt idx="31">
                  <c:v>318.67294900333724</c:v>
                </c:pt>
                <c:pt idx="32">
                  <c:v>329.70381632229686</c:v>
                </c:pt>
                <c:pt idx="33">
                  <c:v>341.08248976225741</c:v>
                </c:pt>
                <c:pt idx="34">
                  <c:v>352.02519670330662</c:v>
                </c:pt>
                <c:pt idx="35">
                  <c:v>363.63187693280605</c:v>
                </c:pt>
                <c:pt idx="36">
                  <c:v>375.92275619778064</c:v>
                </c:pt>
                <c:pt idx="37">
                  <c:v>388.68861295183802</c:v>
                </c:pt>
                <c:pt idx="38">
                  <c:v>401.35539075790348</c:v>
                </c:pt>
                <c:pt idx="39">
                  <c:v>414.50266522396691</c:v>
                </c:pt>
                <c:pt idx="40">
                  <c:v>428.48715652100429</c:v>
                </c:pt>
                <c:pt idx="41">
                  <c:v>443.15083052425024</c:v>
                </c:pt>
                <c:pt idx="42">
                  <c:v>458.44669137715266</c:v>
                </c:pt>
                <c:pt idx="43">
                  <c:v>474.40347558211459</c:v>
                </c:pt>
                <c:pt idx="44">
                  <c:v>491.0300938623713</c:v>
                </c:pt>
                <c:pt idx="45">
                  <c:v>508.47521960225851</c:v>
                </c:pt>
                <c:pt idx="46">
                  <c:v>524.97691458941654</c:v>
                </c:pt>
                <c:pt idx="47">
                  <c:v>542.22620019221972</c:v>
                </c:pt>
                <c:pt idx="48">
                  <c:v>560.36340114147481</c:v>
                </c:pt>
                <c:pt idx="49">
                  <c:v>579.46640087219805</c:v>
                </c:pt>
                <c:pt idx="50">
                  <c:v>599.96554154690546</c:v>
                </c:pt>
              </c:numCache>
            </c:numRef>
          </c:val>
          <c:smooth val="0"/>
          <c:extLst>
            <c:ext xmlns:c16="http://schemas.microsoft.com/office/drawing/2014/chart" uri="{C3380CC4-5D6E-409C-BE32-E72D297353CC}">
              <c16:uniqueId val="{00000003-03A2-46B0-862C-E451EC00EDA3}"/>
            </c:ext>
          </c:extLst>
        </c:ser>
        <c:dLbls>
          <c:showLegendKey val="0"/>
          <c:showVal val="0"/>
          <c:showCatName val="0"/>
          <c:showSerName val="0"/>
          <c:showPercent val="0"/>
          <c:showBubbleSize val="0"/>
        </c:dLbls>
        <c:smooth val="0"/>
        <c:axId val="1981849103"/>
        <c:axId val="1981847023"/>
      </c:lineChart>
      <c:catAx>
        <c:axId val="198184910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7023"/>
        <c:crosses val="autoZero"/>
        <c:auto val="1"/>
        <c:lblAlgn val="ctr"/>
        <c:lblOffset val="100"/>
        <c:noMultiLvlLbl val="0"/>
      </c:catAx>
      <c:valAx>
        <c:axId val="198184702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849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verification'!$B$28</c:f>
              <c:strCache>
                <c:ptCount val="1"/>
                <c:pt idx="0">
                  <c:v>Fluid milk production (BFAP)</c:v>
                </c:pt>
              </c:strCache>
            </c:strRef>
          </c:tx>
          <c:spPr>
            <a:ln w="28575" cap="rnd">
              <a:solidFill>
                <a:schemeClr val="accent1"/>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verification'!$C$28:$BA$28</c:f>
              <c:numCache>
                <c:formatCode>0.00</c:formatCode>
                <c:ptCount val="51"/>
                <c:pt idx="0">
                  <c:v>2024.0540449999999</c:v>
                </c:pt>
                <c:pt idx="1">
                  <c:v>2024.0540449999999</c:v>
                </c:pt>
                <c:pt idx="2">
                  <c:v>2024.0540449999999</c:v>
                </c:pt>
                <c:pt idx="3">
                  <c:v>2113.8015639999999</c:v>
                </c:pt>
                <c:pt idx="4">
                  <c:v>2290.0087429999999</c:v>
                </c:pt>
                <c:pt idx="5">
                  <c:v>2393.5830030000002</c:v>
                </c:pt>
                <c:pt idx="6">
                  <c:v>2495.02</c:v>
                </c:pt>
                <c:pt idx="7">
                  <c:v>2546.5700000000002</c:v>
                </c:pt>
                <c:pt idx="8">
                  <c:v>2673.6727109999997</c:v>
                </c:pt>
                <c:pt idx="9">
                  <c:v>2586.3408249999998</c:v>
                </c:pt>
                <c:pt idx="10">
                  <c:v>2706.3017989999998</c:v>
                </c:pt>
                <c:pt idx="11">
                  <c:v>2720.4017549999999</c:v>
                </c:pt>
                <c:pt idx="12">
                  <c:v>2842.8103229999997</c:v>
                </c:pt>
                <c:pt idx="13">
                  <c:v>2904.1207999999997</c:v>
                </c:pt>
                <c:pt idx="14">
                  <c:v>2969.867827</c:v>
                </c:pt>
                <c:pt idx="15">
                  <c:v>3150</c:v>
                </c:pt>
                <c:pt idx="16">
                  <c:v>3100</c:v>
                </c:pt>
                <c:pt idx="17">
                  <c:v>3200</c:v>
                </c:pt>
                <c:pt idx="18">
                  <c:v>3400</c:v>
                </c:pt>
                <c:pt idx="19">
                  <c:v>3250</c:v>
                </c:pt>
                <c:pt idx="20">
                  <c:v>3300</c:v>
                </c:pt>
                <c:pt idx="21">
                  <c:v>3400</c:v>
                </c:pt>
                <c:pt idx="22">
                  <c:v>3500</c:v>
                </c:pt>
                <c:pt idx="23">
                  <c:v>3550</c:v>
                </c:pt>
                <c:pt idx="24">
                  <c:v>3600</c:v>
                </c:pt>
                <c:pt idx="25">
                  <c:v>3650</c:v>
                </c:pt>
                <c:pt idx="26">
                  <c:v>3700</c:v>
                </c:pt>
                <c:pt idx="27">
                  <c:v>3750</c:v>
                </c:pt>
                <c:pt idx="28">
                  <c:v>3800</c:v>
                </c:pt>
              </c:numCache>
            </c:numRef>
          </c:val>
          <c:smooth val="0"/>
          <c:extLst>
            <c:ext xmlns:c16="http://schemas.microsoft.com/office/drawing/2014/chart" uri="{C3380CC4-5D6E-409C-BE32-E72D297353CC}">
              <c16:uniqueId val="{00000000-D175-4114-9984-BF38085F9052}"/>
            </c:ext>
          </c:extLst>
        </c:ser>
        <c:ser>
          <c:idx val="1"/>
          <c:order val="1"/>
          <c:tx>
            <c:strRef>
              <c:f>'BFAP verification'!$B$29</c:f>
              <c:strCache>
                <c:ptCount val="1"/>
                <c:pt idx="0">
                  <c:v>Fluid milk fresh utilization (BFAP)</c:v>
                </c:pt>
              </c:strCache>
            </c:strRef>
          </c:tx>
          <c:spPr>
            <a:ln w="28575" cap="rnd">
              <a:solidFill>
                <a:schemeClr val="accent2"/>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verification'!$C$29:$BA$29</c:f>
              <c:numCache>
                <c:formatCode>0.00</c:formatCode>
                <c:ptCount val="51"/>
                <c:pt idx="0">
                  <c:v>1273.2</c:v>
                </c:pt>
                <c:pt idx="1">
                  <c:v>1273.2</c:v>
                </c:pt>
                <c:pt idx="2">
                  <c:v>1273.2</c:v>
                </c:pt>
                <c:pt idx="3">
                  <c:v>1259</c:v>
                </c:pt>
                <c:pt idx="4">
                  <c:v>1347</c:v>
                </c:pt>
                <c:pt idx="5">
                  <c:v>1396.6</c:v>
                </c:pt>
                <c:pt idx="6">
                  <c:v>1442.9</c:v>
                </c:pt>
                <c:pt idx="7">
                  <c:v>1402.61000533527</c:v>
                </c:pt>
                <c:pt idx="8">
                  <c:v>1458.4151718048199</c:v>
                </c:pt>
                <c:pt idx="9">
                  <c:v>1493.2</c:v>
                </c:pt>
                <c:pt idx="10">
                  <c:v>1545.3558772633801</c:v>
                </c:pt>
                <c:pt idx="11">
                  <c:v>1571</c:v>
                </c:pt>
                <c:pt idx="12">
                  <c:v>1661.1</c:v>
                </c:pt>
                <c:pt idx="13">
                  <c:v>1681.39</c:v>
                </c:pt>
                <c:pt idx="14">
                  <c:v>1722.5233396599999</c:v>
                </c:pt>
                <c:pt idx="15">
                  <c:v>1775.8304373666449</c:v>
                </c:pt>
                <c:pt idx="16">
                  <c:v>1820.2326820256628</c:v>
                </c:pt>
                <c:pt idx="17">
                  <c:v>1859.0411448844859</c:v>
                </c:pt>
                <c:pt idx="18">
                  <c:v>1893.2454556799651</c:v>
                </c:pt>
                <c:pt idx="19">
                  <c:v>1928.6136766918191</c:v>
                </c:pt>
                <c:pt idx="20">
                  <c:v>1965.2479914611308</c:v>
                </c:pt>
                <c:pt idx="21">
                  <c:v>2003.0736716496317</c:v>
                </c:pt>
                <c:pt idx="22">
                  <c:v>2044.3832164581972</c:v>
                </c:pt>
                <c:pt idx="23">
                  <c:v>2085.024175882957</c:v>
                </c:pt>
                <c:pt idx="24">
                  <c:v>2123.3681095603265</c:v>
                </c:pt>
              </c:numCache>
            </c:numRef>
          </c:val>
          <c:smooth val="0"/>
          <c:extLst>
            <c:ext xmlns:c16="http://schemas.microsoft.com/office/drawing/2014/chart" uri="{C3380CC4-5D6E-409C-BE32-E72D297353CC}">
              <c16:uniqueId val="{00000001-D175-4114-9984-BF38085F9052}"/>
            </c:ext>
          </c:extLst>
        </c:ser>
        <c:ser>
          <c:idx val="2"/>
          <c:order val="2"/>
          <c:tx>
            <c:strRef>
              <c:f>'BFAP verification'!$B$30</c:f>
              <c:strCache>
                <c:ptCount val="1"/>
                <c:pt idx="0">
                  <c:v>Fluid Milk factory utilization (BFAP)</c:v>
                </c:pt>
              </c:strCache>
            </c:strRef>
          </c:tx>
          <c:spPr>
            <a:ln w="28575" cap="rnd">
              <a:solidFill>
                <a:schemeClr val="accent3"/>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verification'!$C$30:$BA$30</c:f>
              <c:numCache>
                <c:formatCode>0.00</c:formatCode>
                <c:ptCount val="51"/>
                <c:pt idx="0">
                  <c:v>866.94927349604279</c:v>
                </c:pt>
                <c:pt idx="1">
                  <c:v>866.94927349604279</c:v>
                </c:pt>
                <c:pt idx="2">
                  <c:v>866.94927349604279</c:v>
                </c:pt>
                <c:pt idx="3">
                  <c:v>846.1138215167158</c:v>
                </c:pt>
                <c:pt idx="4">
                  <c:v>935.18533488170215</c:v>
                </c:pt>
                <c:pt idx="5">
                  <c:v>990.02288429185</c:v>
                </c:pt>
                <c:pt idx="6">
                  <c:v>1044.5425069013627</c:v>
                </c:pt>
                <c:pt idx="7">
                  <c:v>1150.5392931285598</c:v>
                </c:pt>
                <c:pt idx="8">
                  <c:v>1208.3756288442755</c:v>
                </c:pt>
                <c:pt idx="9">
                  <c:v>1092.2210617160124</c:v>
                </c:pt>
                <c:pt idx="10">
                  <c:v>1154.6007305262117</c:v>
                </c:pt>
                <c:pt idx="11">
                  <c:v>1140</c:v>
                </c:pt>
                <c:pt idx="12">
                  <c:v>1171</c:v>
                </c:pt>
                <c:pt idx="13">
                  <c:v>1200</c:v>
                </c:pt>
                <c:pt idx="14">
                  <c:v>1223.1384873399998</c:v>
                </c:pt>
                <c:pt idx="15">
                  <c:v>1297.1574685139426</c:v>
                </c:pt>
                <c:pt idx="16">
                  <c:v>1339.9486902058916</c:v>
                </c:pt>
                <c:pt idx="17">
                  <c:v>1382.183609812364</c:v>
                </c:pt>
                <c:pt idx="18">
                  <c:v>1416.4086784270767</c:v>
                </c:pt>
                <c:pt idx="19">
                  <c:v>1452.170708036087</c:v>
                </c:pt>
                <c:pt idx="20">
                  <c:v>1490.0278167036406</c:v>
                </c:pt>
                <c:pt idx="21">
                  <c:v>1529.1035404245388</c:v>
                </c:pt>
                <c:pt idx="22">
                  <c:v>1572.8770953399192</c:v>
                </c:pt>
                <c:pt idx="23">
                  <c:v>1615.0807207181326</c:v>
                </c:pt>
                <c:pt idx="24">
                  <c:v>1653.5952554033502</c:v>
                </c:pt>
              </c:numCache>
            </c:numRef>
          </c:val>
          <c:smooth val="0"/>
          <c:extLst>
            <c:ext xmlns:c16="http://schemas.microsoft.com/office/drawing/2014/chart" uri="{C3380CC4-5D6E-409C-BE32-E72D297353CC}">
              <c16:uniqueId val="{00000002-D175-4114-9984-BF38085F9052}"/>
            </c:ext>
          </c:extLst>
        </c:ser>
        <c:ser>
          <c:idx val="3"/>
          <c:order val="3"/>
          <c:tx>
            <c:strRef>
              <c:f>'BFAP verification'!$B$31</c:f>
              <c:strCache>
                <c:ptCount val="1"/>
                <c:pt idx="0">
                  <c:v>Milk production (model)</c:v>
                </c:pt>
              </c:strCache>
            </c:strRef>
          </c:tx>
          <c:spPr>
            <a:ln w="28575" cap="rnd">
              <a:solidFill>
                <a:schemeClr val="accent4"/>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verification'!$C$31:$BA$31</c:f>
              <c:numCache>
                <c:formatCode>0.00</c:formatCode>
                <c:ptCount val="51"/>
                <c:pt idx="0">
                  <c:v>2370</c:v>
                </c:pt>
                <c:pt idx="1">
                  <c:v>2358</c:v>
                </c:pt>
                <c:pt idx="2">
                  <c:v>2457</c:v>
                </c:pt>
                <c:pt idx="3">
                  <c:v>2354</c:v>
                </c:pt>
                <c:pt idx="4">
                  <c:v>2505</c:v>
                </c:pt>
                <c:pt idx="5">
                  <c:v>2657</c:v>
                </c:pt>
                <c:pt idx="6">
                  <c:v>2513</c:v>
                </c:pt>
                <c:pt idx="7">
                  <c:v>2559</c:v>
                </c:pt>
                <c:pt idx="8">
                  <c:v>2625</c:v>
                </c:pt>
                <c:pt idx="9">
                  <c:v>2587</c:v>
                </c:pt>
                <c:pt idx="10">
                  <c:v>2711</c:v>
                </c:pt>
                <c:pt idx="11">
                  <c:v>2720</c:v>
                </c:pt>
                <c:pt idx="12">
                  <c:v>2858.7198415709267</c:v>
                </c:pt>
                <c:pt idx="13">
                  <c:v>2903.9424955433069</c:v>
                </c:pt>
                <c:pt idx="14">
                  <c:v>2940.8238317911282</c:v>
                </c:pt>
                <c:pt idx="15">
                  <c:v>2970.9131087195797</c:v>
                </c:pt>
                <c:pt idx="16">
                  <c:v>2996.7532807677667</c:v>
                </c:pt>
                <c:pt idx="17">
                  <c:v>3026.6820161651922</c:v>
                </c:pt>
                <c:pt idx="18">
                  <c:v>3058.9547718502108</c:v>
                </c:pt>
                <c:pt idx="19">
                  <c:v>3091.0115232984431</c:v>
                </c:pt>
                <c:pt idx="20">
                  <c:v>3008.6242701180718</c:v>
                </c:pt>
                <c:pt idx="21">
                  <c:v>3050.0440607423225</c:v>
                </c:pt>
                <c:pt idx="22">
                  <c:v>3090.8554098467239</c:v>
                </c:pt>
                <c:pt idx="23">
                  <c:v>3133.4280814491149</c:v>
                </c:pt>
                <c:pt idx="24">
                  <c:v>3177.6121962863394</c:v>
                </c:pt>
                <c:pt idx="25">
                  <c:v>3221.2403767502688</c:v>
                </c:pt>
                <c:pt idx="26">
                  <c:v>3268.9510023996636</c:v>
                </c:pt>
                <c:pt idx="27">
                  <c:v>3317.6529522133646</c:v>
                </c:pt>
                <c:pt idx="28">
                  <c:v>3367.9820899727943</c:v>
                </c:pt>
                <c:pt idx="29">
                  <c:v>3419.3386743441365</c:v>
                </c:pt>
                <c:pt idx="30">
                  <c:v>3464.7998946171115</c:v>
                </c:pt>
                <c:pt idx="31">
                  <c:v>3518.2594185958756</c:v>
                </c:pt>
                <c:pt idx="32">
                  <c:v>3572.404824432333</c:v>
                </c:pt>
                <c:pt idx="33">
                  <c:v>3627.4920858868359</c:v>
                </c:pt>
                <c:pt idx="34">
                  <c:v>3680.7205615570947</c:v>
                </c:pt>
                <c:pt idx="35">
                  <c:v>3736.0440023750439</c:v>
                </c:pt>
                <c:pt idx="36">
                  <c:v>3793.5262810655468</c:v>
                </c:pt>
                <c:pt idx="37">
                  <c:v>3852.4047615588038</c:v>
                </c:pt>
                <c:pt idx="38">
                  <c:v>3910.6025314246444</c:v>
                </c:pt>
                <c:pt idx="39">
                  <c:v>3970.2350829203438</c:v>
                </c:pt>
                <c:pt idx="40">
                  <c:v>4032.5800198526467</c:v>
                </c:pt>
                <c:pt idx="41">
                  <c:v>4097.060525460668</c:v>
                </c:pt>
                <c:pt idx="42">
                  <c:v>4163.4999891420148</c:v>
                </c:pt>
                <c:pt idx="43">
                  <c:v>4231.9948131229485</c:v>
                </c:pt>
                <c:pt idx="44">
                  <c:v>4302.5716329820234</c:v>
                </c:pt>
                <c:pt idx="45">
                  <c:v>4375.7593357744008</c:v>
                </c:pt>
                <c:pt idx="46">
                  <c:v>4445.2033984374748</c:v>
                </c:pt>
                <c:pt idx="47">
                  <c:v>4516.989885474366</c:v>
                </c:pt>
                <c:pt idx="48">
                  <c:v>4591.6181744145533</c:v>
                </c:pt>
                <c:pt idx="49">
                  <c:v>4669.3578772425544</c:v>
                </c:pt>
                <c:pt idx="50">
                  <c:v>4751.7535941765682</c:v>
                </c:pt>
              </c:numCache>
            </c:numRef>
          </c:val>
          <c:smooth val="0"/>
          <c:extLst>
            <c:ext xmlns:c16="http://schemas.microsoft.com/office/drawing/2014/chart" uri="{C3380CC4-5D6E-409C-BE32-E72D297353CC}">
              <c16:uniqueId val="{00000003-D175-4114-9984-BF38085F9052}"/>
            </c:ext>
          </c:extLst>
        </c:ser>
        <c:ser>
          <c:idx val="4"/>
          <c:order val="4"/>
          <c:tx>
            <c:strRef>
              <c:f>'BFAP verification'!$B$32</c:f>
              <c:strCache>
                <c:ptCount val="1"/>
                <c:pt idx="0">
                  <c:v>Milk consumption (model)</c:v>
                </c:pt>
              </c:strCache>
            </c:strRef>
          </c:tx>
          <c:spPr>
            <a:ln w="28575" cap="rnd">
              <a:solidFill>
                <a:schemeClr val="accent5"/>
              </a:solidFill>
              <a:round/>
            </a:ln>
            <a:effectLst/>
          </c:spPr>
          <c:marker>
            <c:symbol val="none"/>
          </c:marker>
          <c:cat>
            <c:numRef>
              <c:f>'BFAP verification'!$C$27:$BA$27</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verification'!$C$32:$BA$32</c:f>
              <c:numCache>
                <c:formatCode>0.00</c:formatCode>
                <c:ptCount val="51"/>
                <c:pt idx="0">
                  <c:v>1284</c:v>
                </c:pt>
                <c:pt idx="1">
                  <c:v>1575</c:v>
                </c:pt>
                <c:pt idx="2">
                  <c:v>1611</c:v>
                </c:pt>
                <c:pt idx="3">
                  <c:v>1528</c:v>
                </c:pt>
                <c:pt idx="4">
                  <c:v>1626</c:v>
                </c:pt>
                <c:pt idx="5">
                  <c:v>1835</c:v>
                </c:pt>
                <c:pt idx="6">
                  <c:v>1697</c:v>
                </c:pt>
                <c:pt idx="7">
                  <c:v>1799</c:v>
                </c:pt>
                <c:pt idx="8">
                  <c:v>1819</c:v>
                </c:pt>
                <c:pt idx="9">
                  <c:v>1788</c:v>
                </c:pt>
                <c:pt idx="10">
                  <c:v>1868</c:v>
                </c:pt>
                <c:pt idx="11">
                  <c:v>1852</c:v>
                </c:pt>
                <c:pt idx="12">
                  <c:v>1955.063745268503</c:v>
                </c:pt>
                <c:pt idx="13">
                  <c:v>1996.3949636785376</c:v>
                </c:pt>
                <c:pt idx="14">
                  <c:v>2030.1026395845911</c:v>
                </c:pt>
                <c:pt idx="15">
                  <c:v>2057.6027168089267</c:v>
                </c:pt>
                <c:pt idx="16">
                  <c:v>2081.2193270885614</c:v>
                </c:pt>
                <c:pt idx="17">
                  <c:v>2108.5726774735836</c:v>
                </c:pt>
                <c:pt idx="18">
                  <c:v>2138.0683438430506</c:v>
                </c:pt>
                <c:pt idx="19">
                  <c:v>2167.3665932653935</c:v>
                </c:pt>
                <c:pt idx="20">
                  <c:v>2092.0688109308921</c:v>
                </c:pt>
                <c:pt idx="21">
                  <c:v>2129.9244045861064</c:v>
                </c:pt>
                <c:pt idx="22">
                  <c:v>2167.2239134665983</c:v>
                </c:pt>
                <c:pt idx="23">
                  <c:v>2206.1331820241612</c:v>
                </c:pt>
                <c:pt idx="24">
                  <c:v>2246.5152281930286</c:v>
                </c:pt>
                <c:pt idx="25">
                  <c:v>2286.3891784633593</c:v>
                </c:pt>
                <c:pt idx="26">
                  <c:v>2329.99427714684</c:v>
                </c:pt>
                <c:pt idx="27">
                  <c:v>2374.5053959762217</c:v>
                </c:pt>
                <c:pt idx="28">
                  <c:v>2420.5036822863117</c:v>
                </c:pt>
                <c:pt idx="29">
                  <c:v>2467.4410028323755</c:v>
                </c:pt>
                <c:pt idx="30">
                  <c:v>2508.9902587746869</c:v>
                </c:pt>
                <c:pt idx="31">
                  <c:v>2557.8495597571605</c:v>
                </c:pt>
                <c:pt idx="32">
                  <c:v>2607.3357220662851</c:v>
                </c:pt>
                <c:pt idx="33">
                  <c:v>2657.6826927721027</c:v>
                </c:pt>
                <c:pt idx="34">
                  <c:v>2706.3308272868153</c:v>
                </c:pt>
                <c:pt idx="35">
                  <c:v>2756.8936539850852</c:v>
                </c:pt>
                <c:pt idx="36">
                  <c:v>2809.4295493068116</c:v>
                </c:pt>
                <c:pt idx="37">
                  <c:v>2863.2415024576376</c:v>
                </c:pt>
                <c:pt idx="38">
                  <c:v>2916.4313205247304</c:v>
                </c:pt>
                <c:pt idx="39">
                  <c:v>2970.9324564315634</c:v>
                </c:pt>
                <c:pt idx="40">
                  <c:v>3027.9125754374627</c:v>
                </c:pt>
                <c:pt idx="41">
                  <c:v>3086.8444961978475</c:v>
                </c:pt>
                <c:pt idx="42">
                  <c:v>3147.5668055549331</c:v>
                </c:pt>
                <c:pt idx="43">
                  <c:v>3210.1676102675856</c:v>
                </c:pt>
                <c:pt idx="44">
                  <c:v>3274.6712539074001</c:v>
                </c:pt>
                <c:pt idx="45">
                  <c:v>3341.5611124921697</c:v>
                </c:pt>
                <c:pt idx="46">
                  <c:v>3405.0294733486685</c:v>
                </c:pt>
                <c:pt idx="47">
                  <c:v>3470.638691605142</c:v>
                </c:pt>
                <c:pt idx="48">
                  <c:v>3538.8451730654715</c:v>
                </c:pt>
                <c:pt idx="49">
                  <c:v>3609.8953294467769</c:v>
                </c:pt>
                <c:pt idx="50">
                  <c:v>3685.2008472240182</c:v>
                </c:pt>
              </c:numCache>
            </c:numRef>
          </c:val>
          <c:smooth val="0"/>
          <c:extLst>
            <c:ext xmlns:c16="http://schemas.microsoft.com/office/drawing/2014/chart" uri="{C3380CC4-5D6E-409C-BE32-E72D297353CC}">
              <c16:uniqueId val="{00000004-D175-4114-9984-BF38085F9052}"/>
            </c:ext>
          </c:extLst>
        </c:ser>
        <c:dLbls>
          <c:showLegendKey val="0"/>
          <c:showVal val="0"/>
          <c:showCatName val="0"/>
          <c:showSerName val="0"/>
          <c:showPercent val="0"/>
          <c:showBubbleSize val="0"/>
        </c:dLbls>
        <c:smooth val="0"/>
        <c:axId val="1983403439"/>
        <c:axId val="1983404271"/>
      </c:lineChart>
      <c:catAx>
        <c:axId val="1983403439"/>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4271"/>
        <c:crosses val="autoZero"/>
        <c:auto val="1"/>
        <c:lblAlgn val="ctr"/>
        <c:lblOffset val="100"/>
        <c:noMultiLvlLbl val="0"/>
      </c:catAx>
      <c:valAx>
        <c:axId val="19834042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4034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verification'!$B$35</c:f>
              <c:strCache>
                <c:ptCount val="1"/>
                <c:pt idx="0">
                  <c:v>Sheep meat production (BFAP)</c:v>
                </c:pt>
              </c:strCache>
            </c:strRef>
          </c:tx>
          <c:spPr>
            <a:ln w="28575" cap="rnd">
              <a:solidFill>
                <a:schemeClr val="accent1"/>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verification'!$C$35:$BA$35</c:f>
              <c:numCache>
                <c:formatCode>0.00</c:formatCode>
                <c:ptCount val="51"/>
                <c:pt idx="0">
                  <c:v>114.36</c:v>
                </c:pt>
                <c:pt idx="1">
                  <c:v>114.36</c:v>
                </c:pt>
                <c:pt idx="2">
                  <c:v>114.36</c:v>
                </c:pt>
                <c:pt idx="3">
                  <c:v>94.948778000000004</c:v>
                </c:pt>
                <c:pt idx="4">
                  <c:v>97.52034399999998</c:v>
                </c:pt>
                <c:pt idx="5">
                  <c:v>102.166586</c:v>
                </c:pt>
                <c:pt idx="6">
                  <c:v>115.84967</c:v>
                </c:pt>
                <c:pt idx="7">
                  <c:v>110.621706</c:v>
                </c:pt>
                <c:pt idx="8">
                  <c:v>115.99826544161907</c:v>
                </c:pt>
                <c:pt idx="9">
                  <c:v>120.63819605928383</c:v>
                </c:pt>
                <c:pt idx="10">
                  <c:v>125.46372390165519</c:v>
                </c:pt>
                <c:pt idx="11">
                  <c:v>91.588518448208291</c:v>
                </c:pt>
                <c:pt idx="12">
                  <c:v>98.915599924064963</c:v>
                </c:pt>
                <c:pt idx="13">
                  <c:v>115.10460982337811</c:v>
                </c:pt>
                <c:pt idx="14">
                  <c:v>118.08101882391567</c:v>
                </c:pt>
                <c:pt idx="15">
                  <c:v>120</c:v>
                </c:pt>
                <c:pt idx="16">
                  <c:v>125</c:v>
                </c:pt>
                <c:pt idx="17">
                  <c:v>135</c:v>
                </c:pt>
                <c:pt idx="18">
                  <c:v>115</c:v>
                </c:pt>
                <c:pt idx="19">
                  <c:v>108</c:v>
                </c:pt>
                <c:pt idx="20">
                  <c:v>113</c:v>
                </c:pt>
                <c:pt idx="21">
                  <c:v>116</c:v>
                </c:pt>
                <c:pt idx="22">
                  <c:v>119</c:v>
                </c:pt>
                <c:pt idx="23">
                  <c:v>121</c:v>
                </c:pt>
                <c:pt idx="24">
                  <c:v>124</c:v>
                </c:pt>
                <c:pt idx="25">
                  <c:v>127</c:v>
                </c:pt>
                <c:pt idx="26">
                  <c:v>129</c:v>
                </c:pt>
                <c:pt idx="27">
                  <c:v>131</c:v>
                </c:pt>
                <c:pt idx="28">
                  <c:v>133</c:v>
                </c:pt>
              </c:numCache>
            </c:numRef>
          </c:val>
          <c:smooth val="0"/>
          <c:extLst>
            <c:ext xmlns:c16="http://schemas.microsoft.com/office/drawing/2014/chart" uri="{C3380CC4-5D6E-409C-BE32-E72D297353CC}">
              <c16:uniqueId val="{00000000-DF71-4BF4-9C91-6EEA5522726F}"/>
            </c:ext>
          </c:extLst>
        </c:ser>
        <c:ser>
          <c:idx val="1"/>
          <c:order val="1"/>
          <c:tx>
            <c:strRef>
              <c:f>'BFAP verification'!$B$36</c:f>
              <c:strCache>
                <c:ptCount val="1"/>
                <c:pt idx="0">
                  <c:v>Sheep meat domestic Use (BFAP)</c:v>
                </c:pt>
              </c:strCache>
            </c:strRef>
          </c:tx>
          <c:spPr>
            <a:ln w="28575" cap="rnd">
              <a:solidFill>
                <a:schemeClr val="accent2"/>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verification'!$C$36:$BA$36</c:f>
              <c:numCache>
                <c:formatCode>0.00</c:formatCode>
                <c:ptCount val="51"/>
                <c:pt idx="0">
                  <c:v>147.50101899999999</c:v>
                </c:pt>
                <c:pt idx="1">
                  <c:v>147.50101899999999</c:v>
                </c:pt>
                <c:pt idx="2">
                  <c:v>147.50101899999999</c:v>
                </c:pt>
                <c:pt idx="3">
                  <c:v>156</c:v>
                </c:pt>
                <c:pt idx="4">
                  <c:v>163</c:v>
                </c:pt>
                <c:pt idx="5">
                  <c:v>150</c:v>
                </c:pt>
                <c:pt idx="6">
                  <c:v>177</c:v>
                </c:pt>
                <c:pt idx="7">
                  <c:v>165.63170600000001</c:v>
                </c:pt>
                <c:pt idx="8">
                  <c:v>153.94826544161907</c:v>
                </c:pt>
                <c:pt idx="9">
                  <c:v>149.24819605928383</c:v>
                </c:pt>
                <c:pt idx="10">
                  <c:v>149.24372390165519</c:v>
                </c:pt>
                <c:pt idx="11">
                  <c:v>116.67851844820828</c:v>
                </c:pt>
                <c:pt idx="12">
                  <c:v>121.76574443406494</c:v>
                </c:pt>
                <c:pt idx="13">
                  <c:v>134.49960982337811</c:v>
                </c:pt>
                <c:pt idx="14">
                  <c:v>134.87990262391565</c:v>
                </c:pt>
                <c:pt idx="15">
                  <c:v>138.20716425710361</c:v>
                </c:pt>
                <c:pt idx="16">
                  <c:v>140.54831762918488</c:v>
                </c:pt>
                <c:pt idx="17">
                  <c:v>142.52537151325211</c:v>
                </c:pt>
                <c:pt idx="18">
                  <c:v>143.33699921198837</c:v>
                </c:pt>
                <c:pt idx="19">
                  <c:v>145.00011855243841</c:v>
                </c:pt>
                <c:pt idx="20">
                  <c:v>146.72189410939382</c:v>
                </c:pt>
                <c:pt idx="21">
                  <c:v>148.14351293952492</c:v>
                </c:pt>
                <c:pt idx="22">
                  <c:v>149.6242507758528</c:v>
                </c:pt>
                <c:pt idx="23">
                  <c:v>151.3117511608838</c:v>
                </c:pt>
                <c:pt idx="24">
                  <c:v>153.36736842443659</c:v>
                </c:pt>
              </c:numCache>
            </c:numRef>
          </c:val>
          <c:smooth val="0"/>
          <c:extLst>
            <c:ext xmlns:c16="http://schemas.microsoft.com/office/drawing/2014/chart" uri="{C3380CC4-5D6E-409C-BE32-E72D297353CC}">
              <c16:uniqueId val="{00000001-DF71-4BF4-9C91-6EEA5522726F}"/>
            </c:ext>
          </c:extLst>
        </c:ser>
        <c:ser>
          <c:idx val="2"/>
          <c:order val="2"/>
          <c:tx>
            <c:strRef>
              <c:f>'BFAP verification'!$B$37</c:f>
              <c:strCache>
                <c:ptCount val="1"/>
                <c:pt idx="0">
                  <c:v>Sheep meat production (model)</c:v>
                </c:pt>
              </c:strCache>
            </c:strRef>
          </c:tx>
          <c:spPr>
            <a:ln w="28575" cap="rnd">
              <a:solidFill>
                <a:schemeClr val="accent3"/>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verification'!$C$37:$BA$37</c:f>
              <c:numCache>
                <c:formatCode>General</c:formatCode>
                <c:ptCount val="51"/>
                <c:pt idx="0">
                  <c:v>98.52</c:v>
                </c:pt>
                <c:pt idx="1">
                  <c:v>95.86</c:v>
                </c:pt>
                <c:pt idx="2">
                  <c:v>96.34</c:v>
                </c:pt>
                <c:pt idx="3">
                  <c:v>105.64</c:v>
                </c:pt>
                <c:pt idx="4">
                  <c:v>111.12</c:v>
                </c:pt>
                <c:pt idx="5">
                  <c:v>124.52</c:v>
                </c:pt>
                <c:pt idx="6">
                  <c:v>124.74</c:v>
                </c:pt>
                <c:pt idx="7">
                  <c:v>148.52000000000001</c:v>
                </c:pt>
                <c:pt idx="8">
                  <c:v>149.26</c:v>
                </c:pt>
                <c:pt idx="9">
                  <c:v>151.30000000000001</c:v>
                </c:pt>
                <c:pt idx="10">
                  <c:v>153.46</c:v>
                </c:pt>
                <c:pt idx="11">
                  <c:v>139.5</c:v>
                </c:pt>
                <c:pt idx="12">
                  <c:v>152.72320077504648</c:v>
                </c:pt>
                <c:pt idx="13">
                  <c:v>154.16678029587433</c:v>
                </c:pt>
                <c:pt idx="14">
                  <c:v>155.65520319300856</c:v>
                </c:pt>
                <c:pt idx="15">
                  <c:v>157.19187122948247</c:v>
                </c:pt>
                <c:pt idx="16">
                  <c:v>158.78117355320705</c:v>
                </c:pt>
                <c:pt idx="17">
                  <c:v>160.43277621489537</c:v>
                </c:pt>
                <c:pt idx="18">
                  <c:v>162.10816883472904</c:v>
                </c:pt>
                <c:pt idx="19">
                  <c:v>163.80999677383062</c:v>
                </c:pt>
                <c:pt idx="20">
                  <c:v>165.43675084643317</c:v>
                </c:pt>
                <c:pt idx="21">
                  <c:v>166.89536585922829</c:v>
                </c:pt>
                <c:pt idx="22">
                  <c:v>168.27151711380162</c:v>
                </c:pt>
                <c:pt idx="23">
                  <c:v>169.56373364960558</c:v>
                </c:pt>
                <c:pt idx="24">
                  <c:v>170.83476835591043</c:v>
                </c:pt>
                <c:pt idx="25">
                  <c:v>172.08160662880417</c:v>
                </c:pt>
                <c:pt idx="26">
                  <c:v>173.3073188354841</c:v>
                </c:pt>
                <c:pt idx="27">
                  <c:v>174.5080902579042</c:v>
                </c:pt>
                <c:pt idx="28">
                  <c:v>175.68344668729645</c:v>
                </c:pt>
                <c:pt idx="29">
                  <c:v>176.84012981397373</c:v>
                </c:pt>
                <c:pt idx="30">
                  <c:v>177.97118703099414</c:v>
                </c:pt>
                <c:pt idx="31">
                  <c:v>179.08825131628521</c:v>
                </c:pt>
                <c:pt idx="32">
                  <c:v>180.18404017235528</c:v>
                </c:pt>
                <c:pt idx="33">
                  <c:v>181.25803554989008</c:v>
                </c:pt>
                <c:pt idx="34">
                  <c:v>182.30942178846871</c:v>
                </c:pt>
                <c:pt idx="35">
                  <c:v>183.34106289356683</c:v>
                </c:pt>
                <c:pt idx="36">
                  <c:v>184.35236155819399</c:v>
                </c:pt>
                <c:pt idx="37">
                  <c:v>185.34199370769653</c:v>
                </c:pt>
                <c:pt idx="38">
                  <c:v>186.30747391776305</c:v>
                </c:pt>
                <c:pt idx="39">
                  <c:v>187.25268165161597</c:v>
                </c:pt>
                <c:pt idx="40">
                  <c:v>188.17820470070751</c:v>
                </c:pt>
                <c:pt idx="41">
                  <c:v>189.08298664607909</c:v>
                </c:pt>
                <c:pt idx="42">
                  <c:v>189.96633950006958</c:v>
                </c:pt>
                <c:pt idx="43">
                  <c:v>190.82783074624467</c:v>
                </c:pt>
                <c:pt idx="44">
                  <c:v>191.66708648280812</c:v>
                </c:pt>
                <c:pt idx="45">
                  <c:v>192.48408732502608</c:v>
                </c:pt>
                <c:pt idx="46">
                  <c:v>193.27268426533732</c:v>
                </c:pt>
                <c:pt idx="47">
                  <c:v>194.0378443767444</c:v>
                </c:pt>
                <c:pt idx="48">
                  <c:v>194.77956333339898</c:v>
                </c:pt>
                <c:pt idx="49">
                  <c:v>195.49728263160267</c:v>
                </c:pt>
                <c:pt idx="50">
                  <c:v>196.19195556910185</c:v>
                </c:pt>
              </c:numCache>
            </c:numRef>
          </c:val>
          <c:smooth val="0"/>
          <c:extLst>
            <c:ext xmlns:c16="http://schemas.microsoft.com/office/drawing/2014/chart" uri="{C3380CC4-5D6E-409C-BE32-E72D297353CC}">
              <c16:uniqueId val="{00000002-DF71-4BF4-9C91-6EEA5522726F}"/>
            </c:ext>
          </c:extLst>
        </c:ser>
        <c:ser>
          <c:idx val="3"/>
          <c:order val="3"/>
          <c:tx>
            <c:strRef>
              <c:f>'BFAP verification'!$B$38</c:f>
              <c:strCache>
                <c:ptCount val="1"/>
                <c:pt idx="0">
                  <c:v>Sheep meat domestic Use (model)</c:v>
                </c:pt>
              </c:strCache>
            </c:strRef>
          </c:tx>
          <c:spPr>
            <a:ln w="28575" cap="rnd">
              <a:solidFill>
                <a:schemeClr val="accent4"/>
              </a:solidFill>
              <a:round/>
            </a:ln>
            <a:effectLst/>
          </c:spPr>
          <c:marker>
            <c:symbol val="none"/>
          </c:marker>
          <c:cat>
            <c:numRef>
              <c:f>'BFAP verification'!$C$34:$BA$34</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verification'!$C$38:$BA$38</c:f>
              <c:numCache>
                <c:formatCode>General</c:formatCode>
                <c:ptCount val="51"/>
                <c:pt idx="0">
                  <c:v>153.22</c:v>
                </c:pt>
                <c:pt idx="1">
                  <c:v>149.46</c:v>
                </c:pt>
                <c:pt idx="2">
                  <c:v>137.24</c:v>
                </c:pt>
                <c:pt idx="3">
                  <c:v>137.24</c:v>
                </c:pt>
                <c:pt idx="4">
                  <c:v>143.82</c:v>
                </c:pt>
                <c:pt idx="5">
                  <c:v>157.91999999999999</c:v>
                </c:pt>
                <c:pt idx="6">
                  <c:v>165.44</c:v>
                </c:pt>
                <c:pt idx="7">
                  <c:v>190.82</c:v>
                </c:pt>
                <c:pt idx="8">
                  <c:v>177.66</c:v>
                </c:pt>
                <c:pt idx="9">
                  <c:v>169.2</c:v>
                </c:pt>
                <c:pt idx="10">
                  <c:v>163.56</c:v>
                </c:pt>
                <c:pt idx="11">
                  <c:v>145.69999999999999</c:v>
                </c:pt>
                <c:pt idx="12">
                  <c:v>168.48227488006123</c:v>
                </c:pt>
                <c:pt idx="13">
                  <c:v>171.01133776617129</c:v>
                </c:pt>
                <c:pt idx="14">
                  <c:v>173.61896350044313</c:v>
                </c:pt>
                <c:pt idx="15">
                  <c:v>176.31111176331757</c:v>
                </c:pt>
                <c:pt idx="16">
                  <c:v>179.09547207305323</c:v>
                </c:pt>
                <c:pt idx="17">
                  <c:v>181.98897875835254</c:v>
                </c:pt>
                <c:pt idx="18">
                  <c:v>184.92416399293808</c:v>
                </c:pt>
                <c:pt idx="19">
                  <c:v>187.90566228744063</c:v>
                </c:pt>
                <c:pt idx="20">
                  <c:v>190.75563576689819</c:v>
                </c:pt>
                <c:pt idx="21">
                  <c:v>193.31103991385342</c:v>
                </c:pt>
                <c:pt idx="22">
                  <c:v>195.72197260817379</c:v>
                </c:pt>
                <c:pt idx="23">
                  <c:v>197.98585681709181</c:v>
                </c:pt>
                <c:pt idx="24">
                  <c:v>200.21263175833639</c:v>
                </c:pt>
                <c:pt idx="25">
                  <c:v>202.39701603053004</c:v>
                </c:pt>
                <c:pt idx="26">
                  <c:v>204.54438872891006</c:v>
                </c:pt>
                <c:pt idx="27">
                  <c:v>206.64806670115141</c:v>
                </c:pt>
                <c:pt idx="28">
                  <c:v>208.70721916254266</c:v>
                </c:pt>
                <c:pt idx="29">
                  <c:v>210.73365714151299</c:v>
                </c:pt>
                <c:pt idx="30">
                  <c:v>212.71520009662004</c:v>
                </c:pt>
                <c:pt idx="31">
                  <c:v>214.67222829255104</c:v>
                </c:pt>
                <c:pt idx="32">
                  <c:v>216.59198323983</c:v>
                </c:pt>
                <c:pt idx="33">
                  <c:v>218.47355734779416</c:v>
                </c:pt>
                <c:pt idx="34">
                  <c:v>220.31552162935395</c:v>
                </c:pt>
                <c:pt idx="35">
                  <c:v>222.12289364665227</c:v>
                </c:pt>
                <c:pt idx="36">
                  <c:v>223.89462695443325</c:v>
                </c:pt>
                <c:pt idx="37">
                  <c:v>225.62840185501716</c:v>
                </c:pt>
                <c:pt idx="38">
                  <c:v>227.31986403726859</c:v>
                </c:pt>
                <c:pt idx="39">
                  <c:v>228.97581008309552</c:v>
                </c:pt>
                <c:pt idx="40">
                  <c:v>230.59726976711386</c:v>
                </c:pt>
                <c:pt idx="41">
                  <c:v>232.18239230802484</c:v>
                </c:pt>
                <c:pt idx="42">
                  <c:v>233.7299723935927</c:v>
                </c:pt>
                <c:pt idx="43">
                  <c:v>235.23925228152063</c:v>
                </c:pt>
                <c:pt idx="44">
                  <c:v>236.70957691876703</c:v>
                </c:pt>
                <c:pt idx="45">
                  <c:v>238.14091234446582</c:v>
                </c:pt>
                <c:pt idx="46">
                  <c:v>239.52248587406075</c:v>
                </c:pt>
                <c:pt idx="47">
                  <c:v>240.86299951516708</c:v>
                </c:pt>
                <c:pt idx="48">
                  <c:v>242.16244568916352</c:v>
                </c:pt>
                <c:pt idx="49">
                  <c:v>243.41984593178469</c:v>
                </c:pt>
                <c:pt idx="50">
                  <c:v>244.63687036228279</c:v>
                </c:pt>
              </c:numCache>
            </c:numRef>
          </c:val>
          <c:smooth val="0"/>
          <c:extLst>
            <c:ext xmlns:c16="http://schemas.microsoft.com/office/drawing/2014/chart" uri="{C3380CC4-5D6E-409C-BE32-E72D297353CC}">
              <c16:uniqueId val="{00000003-DF71-4BF4-9C91-6EEA5522726F}"/>
            </c:ext>
          </c:extLst>
        </c:ser>
        <c:dLbls>
          <c:showLegendKey val="0"/>
          <c:showVal val="0"/>
          <c:showCatName val="0"/>
          <c:showSerName val="0"/>
          <c:showPercent val="0"/>
          <c:showBubbleSize val="0"/>
        </c:dLbls>
        <c:smooth val="0"/>
        <c:axId val="1923059263"/>
        <c:axId val="1923059679"/>
      </c:lineChart>
      <c:catAx>
        <c:axId val="1923059263"/>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679"/>
        <c:crosses val="autoZero"/>
        <c:auto val="1"/>
        <c:lblAlgn val="ctr"/>
        <c:lblOffset val="100"/>
        <c:noMultiLvlLbl val="0"/>
      </c:catAx>
      <c:valAx>
        <c:axId val="19230596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0592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889070087259185"/>
          <c:y val="2.8534365118546297E-2"/>
          <c:w val="0.87256215847825824"/>
          <c:h val="0.8331301340665801"/>
        </c:manualLayout>
      </c:layout>
      <c:areaChart>
        <c:grouping val="stacked"/>
        <c:varyColors val="0"/>
        <c:ser>
          <c:idx val="2"/>
          <c:order val="0"/>
          <c:tx>
            <c:strRef>
              <c:f>'Activity data'!$D$5:$F$5</c:f>
              <c:strCache>
                <c:ptCount val="3"/>
                <c:pt idx="0">
                  <c:v>TMR</c:v>
                </c:pt>
                <c:pt idx="1">
                  <c:v>Population</c:v>
                </c:pt>
                <c:pt idx="2">
                  <c:v>Head</c:v>
                </c:pt>
              </c:strCache>
              <c:extLst xmlns:c15="http://schemas.microsoft.com/office/drawing/2012/chart"/>
            </c:strRef>
          </c:tx>
          <c:spPr>
            <a:solidFill>
              <a:schemeClr val="accent3"/>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data'!$H$5:$BP$5</c:f>
              <c:numCache>
                <c:formatCode>#,##0</c:formatCode>
                <c:ptCount val="61"/>
                <c:pt idx="0">
                  <c:v>487746.14676082286</c:v>
                </c:pt>
                <c:pt idx="1">
                  <c:v>561522.50537304278</c:v>
                </c:pt>
                <c:pt idx="2">
                  <c:v>485789.62235185754</c:v>
                </c:pt>
                <c:pt idx="3">
                  <c:v>515225.4221676389</c:v>
                </c:pt>
                <c:pt idx="4">
                  <c:v>477963.52471599629</c:v>
                </c:pt>
                <c:pt idx="5">
                  <c:v>511312.37334970833</c:v>
                </c:pt>
                <c:pt idx="6">
                  <c:v>513268.89775867364</c:v>
                </c:pt>
                <c:pt idx="7">
                  <c:v>494824.80810561875</c:v>
                </c:pt>
                <c:pt idx="8">
                  <c:v>488955.23487872281</c:v>
                </c:pt>
                <c:pt idx="9">
                  <c:v>480293.76727049437</c:v>
                </c:pt>
                <c:pt idx="10">
                  <c:v>618437.58059564023</c:v>
                </c:pt>
                <c:pt idx="11">
                  <c:v>616481.05618667486</c:v>
                </c:pt>
                <c:pt idx="12">
                  <c:v>537582.56063862459</c:v>
                </c:pt>
                <c:pt idx="13">
                  <c:v>488955.23487872281</c:v>
                </c:pt>
                <c:pt idx="14">
                  <c:v>472093.95148910041</c:v>
                </c:pt>
                <c:pt idx="15">
                  <c:v>505442.80012281239</c:v>
                </c:pt>
                <c:pt idx="16">
                  <c:v>494451.08996008604</c:v>
                </c:pt>
                <c:pt idx="17">
                  <c:v>490911.75928768812</c:v>
                </c:pt>
                <c:pt idx="18">
                  <c:v>601202.57906048512</c:v>
                </c:pt>
                <c:pt idx="19">
                  <c:v>616107.33804114221</c:v>
                </c:pt>
                <c:pt idx="20">
                  <c:v>616107.33804114221</c:v>
                </c:pt>
                <c:pt idx="21">
                  <c:v>593750.19957015652</c:v>
                </c:pt>
                <c:pt idx="22">
                  <c:v>590686.16876783187</c:v>
                </c:pt>
                <c:pt idx="23">
                  <c:v>594968.42655746045</c:v>
                </c:pt>
                <c:pt idx="24">
                  <c:v>597709.44902765623</c:v>
                </c:pt>
                <c:pt idx="25">
                  <c:v>599238.49044490152</c:v>
                </c:pt>
                <c:pt idx="26">
                  <c:v>600074.3353987576</c:v>
                </c:pt>
                <c:pt idx="27">
                  <c:v>601874.20296810556</c:v>
                </c:pt>
                <c:pt idx="28">
                  <c:v>604260.82745053805</c:v>
                </c:pt>
                <c:pt idx="29">
                  <c:v>606709.53475002898</c:v>
                </c:pt>
                <c:pt idx="30">
                  <c:v>586926.26268361753</c:v>
                </c:pt>
                <c:pt idx="31">
                  <c:v>591500.4847958337</c:v>
                </c:pt>
                <c:pt idx="32">
                  <c:v>596007.24477213982</c:v>
                </c:pt>
                <c:pt idx="33">
                  <c:v>600897.22086769424</c:v>
                </c:pt>
                <c:pt idx="34">
                  <c:v>606131.37353090465</c:v>
                </c:pt>
                <c:pt idx="35">
                  <c:v>611289.39871312119</c:v>
                </c:pt>
                <c:pt idx="36">
                  <c:v>617245.11289077729</c:v>
                </c:pt>
                <c:pt idx="37">
                  <c:v>623403.24233350134</c:v>
                </c:pt>
                <c:pt idx="38">
                  <c:v>629877.58018033335</c:v>
                </c:pt>
                <c:pt idx="39">
                  <c:v>636550.16629612399</c:v>
                </c:pt>
                <c:pt idx="40">
                  <c:v>642133.67175961612</c:v>
                </c:pt>
                <c:pt idx="41">
                  <c:v>649204.59272197459</c:v>
                </c:pt>
                <c:pt idx="42">
                  <c:v>656398.81634270214</c:v>
                </c:pt>
                <c:pt idx="43">
                  <c:v>663760.58915450063</c:v>
                </c:pt>
                <c:pt idx="44">
                  <c:v>670776.56322801625</c:v>
                </c:pt>
                <c:pt idx="45">
                  <c:v>678167.72978897544</c:v>
                </c:pt>
                <c:pt idx="46">
                  <c:v>685940.49699355906</c:v>
                </c:pt>
                <c:pt idx="47">
                  <c:v>693952.51933031855</c:v>
                </c:pt>
                <c:pt idx="48">
                  <c:v>701827.89822658373</c:v>
                </c:pt>
                <c:pt idx="49">
                  <c:v>709946.00037289225</c:v>
                </c:pt>
                <c:pt idx="50">
                  <c:v>718531.49557085882</c:v>
                </c:pt>
                <c:pt idx="51">
                  <c:v>727476.7711509678</c:v>
                </c:pt>
                <c:pt idx="52">
                  <c:v>736746.68898187613</c:v>
                </c:pt>
                <c:pt idx="53">
                  <c:v>746354.86877017037</c:v>
                </c:pt>
                <c:pt idx="54">
                  <c:v>756302.60438604525</c:v>
                </c:pt>
                <c:pt idx="55">
                  <c:v>766679.28534223733</c:v>
                </c:pt>
                <c:pt idx="56">
                  <c:v>776371.05696064804</c:v>
                </c:pt>
                <c:pt idx="57">
                  <c:v>786444.11187458283</c:v>
                </c:pt>
                <c:pt idx="58">
                  <c:v>796981.67124126188</c:v>
                </c:pt>
                <c:pt idx="59">
                  <c:v>808026.29097262642</c:v>
                </c:pt>
                <c:pt idx="60">
                  <c:v>819840.11459156359</c:v>
                </c:pt>
              </c:numCache>
              <c:extLst xmlns:c15="http://schemas.microsoft.com/office/drawing/2012/chart"/>
            </c:numRef>
          </c:val>
          <c:extLst xmlns:c15="http://schemas.microsoft.com/office/drawing/2012/chart">
            <c:ext xmlns:c16="http://schemas.microsoft.com/office/drawing/2014/chart" uri="{C3380CC4-5D6E-409C-BE32-E72D297353CC}">
              <c16:uniqueId val="{00000002-3B16-45B8-89BE-5AE640BDA9C0}"/>
            </c:ext>
          </c:extLst>
        </c:ser>
        <c:ser>
          <c:idx val="3"/>
          <c:order val="1"/>
          <c:tx>
            <c:strRef>
              <c:f>'Activity data'!$D$6:$F$6</c:f>
              <c:strCache>
                <c:ptCount val="3"/>
                <c:pt idx="0">
                  <c:v>Pasture</c:v>
                </c:pt>
                <c:pt idx="1">
                  <c:v>Population</c:v>
                </c:pt>
                <c:pt idx="2">
                  <c:v>Head</c:v>
                </c:pt>
              </c:strCache>
              <c:extLst xmlns:c15="http://schemas.microsoft.com/office/drawing/2012/chart"/>
            </c:strRef>
          </c:tx>
          <c:spPr>
            <a:solidFill>
              <a:schemeClr val="accent4"/>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data'!$H$6:$BP$6</c:f>
              <c:numCache>
                <c:formatCode>#,##0</c:formatCode>
                <c:ptCount val="61"/>
                <c:pt idx="0">
                  <c:v>399733.85323917714</c:v>
                </c:pt>
                <c:pt idx="1">
                  <c:v>460197.49462695734</c:v>
                </c:pt>
                <c:pt idx="2">
                  <c:v>398130.37764814246</c:v>
                </c:pt>
                <c:pt idx="3">
                  <c:v>422254.57783236104</c:v>
                </c:pt>
                <c:pt idx="4">
                  <c:v>391716.47528400371</c:v>
                </c:pt>
                <c:pt idx="5">
                  <c:v>419047.62665029167</c:v>
                </c:pt>
                <c:pt idx="6">
                  <c:v>420651.10224132636</c:v>
                </c:pt>
                <c:pt idx="7">
                  <c:v>405535.19189438137</c:v>
                </c:pt>
                <c:pt idx="8">
                  <c:v>400724.76512127731</c:v>
                </c:pt>
                <c:pt idx="9">
                  <c:v>393626.23272950563</c:v>
                </c:pt>
                <c:pt idx="10">
                  <c:v>506842.41940435988</c:v>
                </c:pt>
                <c:pt idx="11">
                  <c:v>505238.9438133252</c:v>
                </c:pt>
                <c:pt idx="12">
                  <c:v>440577.43936137547</c:v>
                </c:pt>
                <c:pt idx="13">
                  <c:v>400724.76512127731</c:v>
                </c:pt>
                <c:pt idx="14">
                  <c:v>386906.04851089959</c:v>
                </c:pt>
                <c:pt idx="15">
                  <c:v>414237.19987718761</c:v>
                </c:pt>
                <c:pt idx="16">
                  <c:v>405228.91003991402</c:v>
                </c:pt>
                <c:pt idx="17">
                  <c:v>402328.24071231199</c:v>
                </c:pt>
                <c:pt idx="18">
                  <c:v>492717.42093951488</c:v>
                </c:pt>
                <c:pt idx="19">
                  <c:v>504932.66195885779</c:v>
                </c:pt>
                <c:pt idx="20">
                  <c:v>504932.66195885779</c:v>
                </c:pt>
                <c:pt idx="21">
                  <c:v>486609.80042984337</c:v>
                </c:pt>
                <c:pt idx="22">
                  <c:v>489425.6826933464</c:v>
                </c:pt>
                <c:pt idx="23">
                  <c:v>492973.83914761012</c:v>
                </c:pt>
                <c:pt idx="24">
                  <c:v>495244.97205148655</c:v>
                </c:pt>
                <c:pt idx="25">
                  <c:v>496511.89208291844</c:v>
                </c:pt>
                <c:pt idx="26">
                  <c:v>497204.44933039916</c:v>
                </c:pt>
                <c:pt idx="27">
                  <c:v>498695.76817357319</c:v>
                </c:pt>
                <c:pt idx="28">
                  <c:v>500673.25703044579</c:v>
                </c:pt>
                <c:pt idx="29">
                  <c:v>502702.18593573832</c:v>
                </c:pt>
                <c:pt idx="30">
                  <c:v>486310.33193785447</c:v>
                </c:pt>
                <c:pt idx="31">
                  <c:v>490100.4016879765</c:v>
                </c:pt>
                <c:pt idx="32">
                  <c:v>493834.57423977298</c:v>
                </c:pt>
                <c:pt idx="33">
                  <c:v>497886.26871894661</c:v>
                </c:pt>
                <c:pt idx="34">
                  <c:v>502223.13806846389</c:v>
                </c:pt>
                <c:pt idx="35">
                  <c:v>506496.93036230042</c:v>
                </c:pt>
                <c:pt idx="36">
                  <c:v>511431.66496664402</c:v>
                </c:pt>
                <c:pt idx="37">
                  <c:v>516534.11507632968</c:v>
                </c:pt>
                <c:pt idx="38">
                  <c:v>521898.56643513334</c:v>
                </c:pt>
                <c:pt idx="39">
                  <c:v>527427.28064535989</c:v>
                </c:pt>
                <c:pt idx="40">
                  <c:v>532053.61374368193</c:v>
                </c:pt>
                <c:pt idx="41">
                  <c:v>537912.37682677899</c:v>
                </c:pt>
                <c:pt idx="42">
                  <c:v>543873.30496966746</c:v>
                </c:pt>
                <c:pt idx="43">
                  <c:v>549973.05958515767</c:v>
                </c:pt>
                <c:pt idx="44">
                  <c:v>555786.2952460706</c:v>
                </c:pt>
                <c:pt idx="45">
                  <c:v>561910.40468229388</c:v>
                </c:pt>
                <c:pt idx="46">
                  <c:v>568350.69750894897</c:v>
                </c:pt>
                <c:pt idx="47">
                  <c:v>574989.23030226398</c:v>
                </c:pt>
                <c:pt idx="48">
                  <c:v>581514.54424488358</c:v>
                </c:pt>
                <c:pt idx="49">
                  <c:v>588240.97173753928</c:v>
                </c:pt>
                <c:pt idx="50">
                  <c:v>595354.66775871161</c:v>
                </c:pt>
                <c:pt idx="51">
                  <c:v>602766.46752508765</c:v>
                </c:pt>
                <c:pt idx="52">
                  <c:v>610447.25658498309</c:v>
                </c:pt>
                <c:pt idx="53">
                  <c:v>618408.31983814121</c:v>
                </c:pt>
                <c:pt idx="54">
                  <c:v>626650.72934843751</c:v>
                </c:pt>
                <c:pt idx="55">
                  <c:v>635248.55071213946</c:v>
                </c:pt>
                <c:pt idx="56">
                  <c:v>643278.87576739409</c:v>
                </c:pt>
                <c:pt idx="57">
                  <c:v>651625.12126751139</c:v>
                </c:pt>
                <c:pt idx="58">
                  <c:v>660356.24188561703</c:v>
                </c:pt>
                <c:pt idx="59">
                  <c:v>669507.49823446188</c:v>
                </c:pt>
                <c:pt idx="60">
                  <c:v>679296.0949472955</c:v>
                </c:pt>
              </c:numCache>
              <c:extLst xmlns:c15="http://schemas.microsoft.com/office/drawing/2012/chart"/>
            </c:numRef>
          </c:val>
          <c:extLst xmlns:c15="http://schemas.microsoft.com/office/drawing/2012/chart">
            <c:ext xmlns:c16="http://schemas.microsoft.com/office/drawing/2014/chart" uri="{C3380CC4-5D6E-409C-BE32-E72D297353CC}">
              <c16:uniqueId val="{00000003-3B16-45B8-89BE-5AE640BDA9C0}"/>
            </c:ext>
          </c:extLst>
        </c:ser>
        <c:ser>
          <c:idx val="4"/>
          <c:order val="2"/>
          <c:tx>
            <c:strRef>
              <c:f>'Activity data'!$D$7:$F$7</c:f>
              <c:strCache>
                <c:ptCount val="3"/>
                <c:pt idx="0">
                  <c:v>Non-lactating</c:v>
                </c:pt>
                <c:pt idx="1">
                  <c:v>Population</c:v>
                </c:pt>
                <c:pt idx="2">
                  <c:v>Head</c:v>
                </c:pt>
              </c:strCache>
              <c:extLst xmlns:c15="http://schemas.microsoft.com/office/drawing/2012/chart"/>
            </c:strRef>
          </c:tx>
          <c:spPr>
            <a:solidFill>
              <a:schemeClr val="accent5"/>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extLst xmlns:c15="http://schemas.microsoft.com/office/drawing/2012/chart"/>
            </c:numRef>
          </c:cat>
          <c:val>
            <c:numRef>
              <c:f>'Activity data'!$H$7:$BP$7</c:f>
              <c:numCache>
                <c:formatCode>#,##0</c:formatCode>
                <c:ptCount val="61"/>
                <c:pt idx="0">
                  <c:v>585792.9</c:v>
                </c:pt>
                <c:pt idx="1">
                  <c:v>665847.14000000013</c:v>
                </c:pt>
                <c:pt idx="2">
                  <c:v>575959.50999999989</c:v>
                </c:pt>
                <c:pt idx="3">
                  <c:v>602759.85000000009</c:v>
                </c:pt>
                <c:pt idx="4">
                  <c:v>536625.95000000007</c:v>
                </c:pt>
                <c:pt idx="5">
                  <c:v>583093.06999999995</c:v>
                </c:pt>
                <c:pt idx="6">
                  <c:v>592926.46</c:v>
                </c:pt>
                <c:pt idx="7">
                  <c:v>572912.89999999991</c:v>
                </c:pt>
                <c:pt idx="8">
                  <c:v>543412.73</c:v>
                </c:pt>
                <c:pt idx="9">
                  <c:v>572566.12</c:v>
                </c:pt>
                <c:pt idx="10">
                  <c:v>709614.43</c:v>
                </c:pt>
                <c:pt idx="11">
                  <c:v>699781.04</c:v>
                </c:pt>
                <c:pt idx="12">
                  <c:v>642440.19000000006</c:v>
                </c:pt>
                <c:pt idx="13">
                  <c:v>543412.73</c:v>
                </c:pt>
                <c:pt idx="14">
                  <c:v>507125.77999999997</c:v>
                </c:pt>
                <c:pt idx="15">
                  <c:v>553592.9</c:v>
                </c:pt>
                <c:pt idx="16">
                  <c:v>546806.12</c:v>
                </c:pt>
                <c:pt idx="17">
                  <c:v>553246.12</c:v>
                </c:pt>
                <c:pt idx="18">
                  <c:v>647220.70000000019</c:v>
                </c:pt>
                <c:pt idx="19">
                  <c:v>673674.26</c:v>
                </c:pt>
                <c:pt idx="20">
                  <c:v>673674.26</c:v>
                </c:pt>
                <c:pt idx="21">
                  <c:v>633993.92000000016</c:v>
                </c:pt>
                <c:pt idx="22">
                  <c:v>607562.91644691292</c:v>
                </c:pt>
                <c:pt idx="23">
                  <c:v>611967.52445910231</c:v>
                </c:pt>
                <c:pt idx="24">
                  <c:v>614786.86185701797</c:v>
                </c:pt>
                <c:pt idx="25">
                  <c:v>616359.59017189883</c:v>
                </c:pt>
                <c:pt idx="26">
                  <c:v>617219.31641015073</c:v>
                </c:pt>
                <c:pt idx="27">
                  <c:v>619070.60876719444</c:v>
                </c:pt>
                <c:pt idx="28">
                  <c:v>621525.42252055358</c:v>
                </c:pt>
                <c:pt idx="29">
                  <c:v>624044.09288574418</c:v>
                </c:pt>
                <c:pt idx="30">
                  <c:v>603695.58447457815</c:v>
                </c:pt>
                <c:pt idx="31">
                  <c:v>608400.49864714337</c:v>
                </c:pt>
                <c:pt idx="32">
                  <c:v>613036.02319420106</c:v>
                </c:pt>
                <c:pt idx="33">
                  <c:v>618065.71289248555</c:v>
                </c:pt>
                <c:pt idx="34">
                  <c:v>623449.41277464491</c:v>
                </c:pt>
                <c:pt idx="35">
                  <c:v>628754.81010492472</c:v>
                </c:pt>
                <c:pt idx="36">
                  <c:v>634880.68754479953</c:v>
                </c:pt>
                <c:pt idx="37">
                  <c:v>641214.76354303013</c:v>
                </c:pt>
                <c:pt idx="38">
                  <c:v>647874.08247120015</c:v>
                </c:pt>
                <c:pt idx="39">
                  <c:v>654737.31390458473</c:v>
                </c:pt>
                <c:pt idx="40">
                  <c:v>660480.34809560527</c:v>
                </c:pt>
                <c:pt idx="41">
                  <c:v>667753.295371174</c:v>
                </c:pt>
                <c:pt idx="42">
                  <c:v>675153.06823820807</c:v>
                </c:pt>
                <c:pt idx="43">
                  <c:v>682725.17741605791</c:v>
                </c:pt>
                <c:pt idx="44">
                  <c:v>689941.60789167404</c:v>
                </c:pt>
                <c:pt idx="45">
                  <c:v>697543.95064008911</c:v>
                </c:pt>
                <c:pt idx="46">
                  <c:v>705538.7969076609</c:v>
                </c:pt>
                <c:pt idx="47">
                  <c:v>713779.73416832788</c:v>
                </c:pt>
                <c:pt idx="48">
                  <c:v>721880.12389020051</c:v>
                </c:pt>
                <c:pt idx="49">
                  <c:v>730230.17181211791</c:v>
                </c:pt>
                <c:pt idx="50">
                  <c:v>739060.96687288349</c:v>
                </c:pt>
                <c:pt idx="51">
                  <c:v>748261.8217552813</c:v>
                </c:pt>
                <c:pt idx="52">
                  <c:v>757796.59438135836</c:v>
                </c:pt>
                <c:pt idx="53">
                  <c:v>767679.29359217547</c:v>
                </c:pt>
                <c:pt idx="54">
                  <c:v>777911.25022564665</c:v>
                </c:pt>
                <c:pt idx="55">
                  <c:v>788584.40778058709</c:v>
                </c:pt>
                <c:pt idx="56">
                  <c:v>798553.08715952386</c:v>
                </c:pt>
                <c:pt idx="57">
                  <c:v>808913.94364242814</c:v>
                </c:pt>
                <c:pt idx="58">
                  <c:v>819752.57613386959</c:v>
                </c:pt>
                <c:pt idx="59">
                  <c:v>831112.75642898725</c:v>
                </c:pt>
                <c:pt idx="60">
                  <c:v>843264.11786560831</c:v>
                </c:pt>
              </c:numCache>
              <c:extLst xmlns:c15="http://schemas.microsoft.com/office/drawing/2012/chart"/>
            </c:numRef>
          </c:val>
          <c:extLst xmlns:c15="http://schemas.microsoft.com/office/drawing/2012/chart">
            <c:ext xmlns:c16="http://schemas.microsoft.com/office/drawing/2014/chart" uri="{C3380CC4-5D6E-409C-BE32-E72D297353CC}">
              <c16:uniqueId val="{00000004-3B16-45B8-89BE-5AE640BDA9C0}"/>
            </c:ext>
          </c:extLst>
        </c:ser>
        <c:ser>
          <c:idx val="5"/>
          <c:order val="3"/>
          <c:tx>
            <c:strRef>
              <c:f>'Activity data'!$D$8:$F$8</c:f>
              <c:strCache>
                <c:ptCount val="3"/>
                <c:pt idx="0">
                  <c:v>Commercial</c:v>
                </c:pt>
                <c:pt idx="1">
                  <c:v>Population</c:v>
                </c:pt>
                <c:pt idx="2">
                  <c:v>Head</c:v>
                </c:pt>
              </c:strCache>
              <c:extLst xmlns:c15="http://schemas.microsoft.com/office/drawing/2012/chart"/>
            </c:strRef>
          </c:tx>
          <c:spPr>
            <a:solidFill>
              <a:schemeClr val="accent6"/>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data'!$H$8:$BP$8</c:f>
              <c:numCache>
                <c:formatCode>#,##0</c:formatCode>
                <c:ptCount val="61"/>
                <c:pt idx="0">
                  <c:v>6817100</c:v>
                </c:pt>
                <c:pt idx="1">
                  <c:v>6522860</c:v>
                </c:pt>
                <c:pt idx="2">
                  <c:v>6520490</c:v>
                </c:pt>
                <c:pt idx="3">
                  <c:v>6100150</c:v>
                </c:pt>
                <c:pt idx="4">
                  <c:v>6284050</c:v>
                </c:pt>
                <c:pt idx="5">
                  <c:v>6426930</c:v>
                </c:pt>
                <c:pt idx="6">
                  <c:v>6693540</c:v>
                </c:pt>
                <c:pt idx="7">
                  <c:v>6947100</c:v>
                </c:pt>
                <c:pt idx="8">
                  <c:v>7007270</c:v>
                </c:pt>
                <c:pt idx="9">
                  <c:v>6893880</c:v>
                </c:pt>
                <c:pt idx="10">
                  <c:v>6425570</c:v>
                </c:pt>
                <c:pt idx="11">
                  <c:v>6458960</c:v>
                </c:pt>
                <c:pt idx="12">
                  <c:v>6019810</c:v>
                </c:pt>
                <c:pt idx="13">
                  <c:v>6177270</c:v>
                </c:pt>
                <c:pt idx="14">
                  <c:v>6234220</c:v>
                </c:pt>
                <c:pt idx="15">
                  <c:v>6287100</c:v>
                </c:pt>
                <c:pt idx="16">
                  <c:v>6143880</c:v>
                </c:pt>
                <c:pt idx="17">
                  <c:v>6323880</c:v>
                </c:pt>
                <c:pt idx="18">
                  <c:v>6148152.25</c:v>
                </c:pt>
                <c:pt idx="19">
                  <c:v>6044920.583333333</c:v>
                </c:pt>
                <c:pt idx="20">
                  <c:v>6025917.666666667</c:v>
                </c:pt>
                <c:pt idx="21">
                  <c:v>6004279.833333333</c:v>
                </c:pt>
                <c:pt idx="22">
                  <c:v>5987560.9168448756</c:v>
                </c:pt>
                <c:pt idx="23">
                  <c:v>5966351.906934524</c:v>
                </c:pt>
                <c:pt idx="24">
                  <c:v>5888308.5341337323</c:v>
                </c:pt>
                <c:pt idx="25">
                  <c:v>5767595.7744421698</c:v>
                </c:pt>
                <c:pt idx="26">
                  <c:v>5622432.9586588927</c:v>
                </c:pt>
                <c:pt idx="27">
                  <c:v>5500725.1419406272</c:v>
                </c:pt>
                <c:pt idx="28">
                  <c:v>5393139.9758480648</c:v>
                </c:pt>
                <c:pt idx="29">
                  <c:v>5284773.636318502</c:v>
                </c:pt>
                <c:pt idx="30">
                  <c:v>4606924.5055552442</c:v>
                </c:pt>
                <c:pt idx="31">
                  <c:v>4633259.0416614609</c:v>
                </c:pt>
                <c:pt idx="32">
                  <c:v>4659582.3597973334</c:v>
                </c:pt>
                <c:pt idx="33">
                  <c:v>4697085.0528301038</c:v>
                </c:pt>
                <c:pt idx="34">
                  <c:v>4740998.8220209582</c:v>
                </c:pt>
                <c:pt idx="35">
                  <c:v>4781169.2522685258</c:v>
                </c:pt>
                <c:pt idx="36">
                  <c:v>4838225.3324030684</c:v>
                </c:pt>
                <c:pt idx="37">
                  <c:v>4897794.9218685627</c:v>
                </c:pt>
                <c:pt idx="38">
                  <c:v>4962387.3499308415</c:v>
                </c:pt>
                <c:pt idx="39">
                  <c:v>5028778.2179419193</c:v>
                </c:pt>
                <c:pt idx="40">
                  <c:v>5068546.2621198529</c:v>
                </c:pt>
                <c:pt idx="41">
                  <c:v>5095588.9600736601</c:v>
                </c:pt>
                <c:pt idx="42">
                  <c:v>5120677.4354948224</c:v>
                </c:pt>
                <c:pt idx="43">
                  <c:v>5144659.3184120441</c:v>
                </c:pt>
                <c:pt idx="44">
                  <c:v>5156996.849436908</c:v>
                </c:pt>
                <c:pt idx="45">
                  <c:v>5172418.0672800476</c:v>
                </c:pt>
                <c:pt idx="46">
                  <c:v>5190612.4984570295</c:v>
                </c:pt>
                <c:pt idx="47">
                  <c:v>5208484.7384388931</c:v>
                </c:pt>
                <c:pt idx="48">
                  <c:v>5218947.2868561791</c:v>
                </c:pt>
                <c:pt idx="49">
                  <c:v>5228914.5397842331</c:v>
                </c:pt>
                <c:pt idx="50">
                  <c:v>5242038.2710351618</c:v>
                </c:pt>
                <c:pt idx="51">
                  <c:v>5282781.234788104</c:v>
                </c:pt>
                <c:pt idx="52">
                  <c:v>5324621.8977270694</c:v>
                </c:pt>
                <c:pt idx="53">
                  <c:v>5367516.7456353968</c:v>
                </c:pt>
                <c:pt idx="54">
                  <c:v>5411206.5144604836</c:v>
                </c:pt>
                <c:pt idx="55">
                  <c:v>5456812.5771805048</c:v>
                </c:pt>
                <c:pt idx="56">
                  <c:v>5486952.5850192551</c:v>
                </c:pt>
                <c:pt idx="57">
                  <c:v>5518311.5627374789</c:v>
                </c:pt>
                <c:pt idx="58">
                  <c:v>5551791.6220012493</c:v>
                </c:pt>
                <c:pt idx="59">
                  <c:v>5587620.9402933326</c:v>
                </c:pt>
                <c:pt idx="60">
                  <c:v>5629041.0697912751</c:v>
                </c:pt>
              </c:numCache>
            </c:numRef>
          </c:val>
          <c:extLst xmlns:c15="http://schemas.microsoft.com/office/drawing/2012/chart">
            <c:ext xmlns:c16="http://schemas.microsoft.com/office/drawing/2014/chart" uri="{C3380CC4-5D6E-409C-BE32-E72D297353CC}">
              <c16:uniqueId val="{00000005-3B16-45B8-89BE-5AE640BDA9C0}"/>
            </c:ext>
          </c:extLst>
        </c:ser>
        <c:ser>
          <c:idx val="6"/>
          <c:order val="4"/>
          <c:tx>
            <c:strRef>
              <c:f>'Activity data'!$D$9:$F$9</c:f>
              <c:strCache>
                <c:ptCount val="3"/>
                <c:pt idx="0">
                  <c:v>Subsistence</c:v>
                </c:pt>
                <c:pt idx="1">
                  <c:v>Population</c:v>
                </c:pt>
                <c:pt idx="2">
                  <c:v>Head</c:v>
                </c:pt>
              </c:strCache>
              <c:extLst xmlns:c15="http://schemas.microsoft.com/office/drawing/2012/chart"/>
            </c:strRef>
          </c:tx>
          <c:spPr>
            <a:solidFill>
              <a:schemeClr val="accent1">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data'!$H$9:$BP$9</c:f>
              <c:numCache>
                <c:formatCode>#,##0</c:formatCode>
                <c:ptCount val="61"/>
                <c:pt idx="0">
                  <c:v>4590000</c:v>
                </c:pt>
                <c:pt idx="1">
                  <c:v>4870000</c:v>
                </c:pt>
                <c:pt idx="2">
                  <c:v>5100000</c:v>
                </c:pt>
                <c:pt idx="3">
                  <c:v>5040000</c:v>
                </c:pt>
                <c:pt idx="4">
                  <c:v>4390000</c:v>
                </c:pt>
                <c:pt idx="5">
                  <c:v>4240000</c:v>
                </c:pt>
                <c:pt idx="6">
                  <c:v>4360000</c:v>
                </c:pt>
                <c:pt idx="7">
                  <c:v>4560000</c:v>
                </c:pt>
                <c:pt idx="8">
                  <c:v>4840000</c:v>
                </c:pt>
                <c:pt idx="9">
                  <c:v>5040000</c:v>
                </c:pt>
                <c:pt idx="10">
                  <c:v>4920000</c:v>
                </c:pt>
                <c:pt idx="11">
                  <c:v>4800000</c:v>
                </c:pt>
                <c:pt idx="12">
                  <c:v>5440000</c:v>
                </c:pt>
                <c:pt idx="13">
                  <c:v>5570000</c:v>
                </c:pt>
                <c:pt idx="14">
                  <c:v>5480000</c:v>
                </c:pt>
                <c:pt idx="15">
                  <c:v>5320000</c:v>
                </c:pt>
                <c:pt idx="16">
                  <c:v>5490000</c:v>
                </c:pt>
                <c:pt idx="17">
                  <c:v>5710000</c:v>
                </c:pt>
                <c:pt idx="18">
                  <c:v>5620000</c:v>
                </c:pt>
                <c:pt idx="19">
                  <c:v>5560000</c:v>
                </c:pt>
                <c:pt idx="20">
                  <c:v>5480000</c:v>
                </c:pt>
                <c:pt idx="21">
                  <c:v>5520000</c:v>
                </c:pt>
                <c:pt idx="22">
                  <c:v>5309723.8319190396</c:v>
                </c:pt>
                <c:pt idx="23">
                  <c:v>5290915.8419985399</c:v>
                </c:pt>
                <c:pt idx="24">
                  <c:v>5221707.5680053849</c:v>
                </c:pt>
                <c:pt idx="25">
                  <c:v>5114660.4037506022</c:v>
                </c:pt>
                <c:pt idx="26">
                  <c:v>4985931.1142824143</c:v>
                </c:pt>
                <c:pt idx="27">
                  <c:v>4878001.5409662165</c:v>
                </c:pt>
                <c:pt idx="28">
                  <c:v>4782595.8276388487</c:v>
                </c:pt>
                <c:pt idx="29">
                  <c:v>4686497.3756031999</c:v>
                </c:pt>
                <c:pt idx="30">
                  <c:v>4085385.8822848387</c:v>
                </c:pt>
                <c:pt idx="31">
                  <c:v>4108739.1501526157</c:v>
                </c:pt>
                <c:pt idx="32">
                  <c:v>4132082.4700089553</c:v>
                </c:pt>
                <c:pt idx="33">
                  <c:v>4165339.5751512237</c:v>
                </c:pt>
                <c:pt idx="34">
                  <c:v>4204281.9742449997</c:v>
                </c:pt>
                <c:pt idx="35">
                  <c:v>4239904.8086154843</c:v>
                </c:pt>
                <c:pt idx="36">
                  <c:v>4290501.7098668711</c:v>
                </c:pt>
                <c:pt idx="37">
                  <c:v>4343327.5722230654</c:v>
                </c:pt>
                <c:pt idx="38">
                  <c:v>4400607.6499386709</c:v>
                </c:pt>
                <c:pt idx="39">
                  <c:v>4459482.5706277397</c:v>
                </c:pt>
                <c:pt idx="40">
                  <c:v>4494748.5720685488</c:v>
                </c:pt>
                <c:pt idx="41">
                  <c:v>4518729.8325181501</c:v>
                </c:pt>
                <c:pt idx="42">
                  <c:v>4540978.1031746538</c:v>
                </c:pt>
                <c:pt idx="43">
                  <c:v>4562245.0559503036</c:v>
                </c:pt>
                <c:pt idx="44">
                  <c:v>4573185.8853497105</c:v>
                </c:pt>
                <c:pt idx="45">
                  <c:v>4586861.304946457</c:v>
                </c:pt>
                <c:pt idx="46">
                  <c:v>4602995.9891977422</c:v>
                </c:pt>
                <c:pt idx="47">
                  <c:v>4618844.9567288291</c:v>
                </c:pt>
                <c:pt idx="48">
                  <c:v>4628123.0657026498</c:v>
                </c:pt>
                <c:pt idx="49">
                  <c:v>4636961.9503746973</c:v>
                </c:pt>
                <c:pt idx="50">
                  <c:v>4648599.9762009913</c:v>
                </c:pt>
                <c:pt idx="51">
                  <c:v>4684730.5289630359</c:v>
                </c:pt>
                <c:pt idx="52">
                  <c:v>4721834.5130787222</c:v>
                </c:pt>
                <c:pt idx="53">
                  <c:v>4759873.3404691247</c:v>
                </c:pt>
                <c:pt idx="54">
                  <c:v>4798617.0977291074</c:v>
                </c:pt>
                <c:pt idx="55">
                  <c:v>4839060.2099525221</c:v>
                </c:pt>
                <c:pt idx="56">
                  <c:v>4865788.1414321698</c:v>
                </c:pt>
                <c:pt idx="57">
                  <c:v>4893597.0462011592</c:v>
                </c:pt>
                <c:pt idx="58">
                  <c:v>4923286.9100765791</c:v>
                </c:pt>
                <c:pt idx="59">
                  <c:v>4955060.0791280493</c:v>
                </c:pt>
                <c:pt idx="60">
                  <c:v>4991791.1373620732</c:v>
                </c:pt>
              </c:numCache>
            </c:numRef>
          </c:val>
          <c:extLst xmlns:c15="http://schemas.microsoft.com/office/drawing/2012/chart">
            <c:ext xmlns:c16="http://schemas.microsoft.com/office/drawing/2014/chart" uri="{C3380CC4-5D6E-409C-BE32-E72D297353CC}">
              <c16:uniqueId val="{00000006-3B16-45B8-89BE-5AE640BDA9C0}"/>
            </c:ext>
          </c:extLst>
        </c:ser>
        <c:ser>
          <c:idx val="7"/>
          <c:order val="5"/>
          <c:tx>
            <c:strRef>
              <c:f>'Activity data'!$D$10:$F$10</c:f>
              <c:strCache>
                <c:ptCount val="3"/>
                <c:pt idx="0">
                  <c:v>Feedlot</c:v>
                </c:pt>
                <c:pt idx="1">
                  <c:v>Population</c:v>
                </c:pt>
                <c:pt idx="2">
                  <c:v>Head</c:v>
                </c:pt>
              </c:strCache>
              <c:extLst xmlns:c15="http://schemas.microsoft.com/office/drawing/2012/chart"/>
            </c:strRef>
          </c:tx>
          <c:spPr>
            <a:solidFill>
              <a:schemeClr val="accent2">
                <a:lumMod val="60000"/>
              </a:schemeClr>
            </a:solidFill>
            <a:ln>
              <a:noFill/>
            </a:ln>
            <a:effectLst/>
          </c:spPr>
          <c:cat>
            <c:numRef>
              <c:f>'Activity data'!$H$3:$BP$3</c:f>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f>'Activity data'!$H$10:$BP$10</c:f>
              <c:numCache>
                <c:formatCode>#,##0</c:formatCode>
                <c:ptCount val="61"/>
                <c:pt idx="0">
                  <c:v>420000</c:v>
                </c:pt>
                <c:pt idx="1">
                  <c:v>420000</c:v>
                </c:pt>
                <c:pt idx="2">
                  <c:v>420000</c:v>
                </c:pt>
                <c:pt idx="3">
                  <c:v>420000</c:v>
                </c:pt>
                <c:pt idx="4">
                  <c:v>420000</c:v>
                </c:pt>
                <c:pt idx="5">
                  <c:v>420000</c:v>
                </c:pt>
                <c:pt idx="6">
                  <c:v>420000</c:v>
                </c:pt>
                <c:pt idx="7">
                  <c:v>420000</c:v>
                </c:pt>
                <c:pt idx="8">
                  <c:v>420000</c:v>
                </c:pt>
                <c:pt idx="9">
                  <c:v>420000</c:v>
                </c:pt>
                <c:pt idx="10">
                  <c:v>420000</c:v>
                </c:pt>
                <c:pt idx="11">
                  <c:v>420000</c:v>
                </c:pt>
                <c:pt idx="12">
                  <c:v>420000</c:v>
                </c:pt>
                <c:pt idx="13">
                  <c:v>420000</c:v>
                </c:pt>
                <c:pt idx="14">
                  <c:v>420000</c:v>
                </c:pt>
                <c:pt idx="15">
                  <c:v>420000</c:v>
                </c:pt>
                <c:pt idx="16">
                  <c:v>420000</c:v>
                </c:pt>
                <c:pt idx="17">
                  <c:v>420000</c:v>
                </c:pt>
                <c:pt idx="18">
                  <c:v>391147.75</c:v>
                </c:pt>
                <c:pt idx="19">
                  <c:v>400819.41666666669</c:v>
                </c:pt>
                <c:pt idx="20">
                  <c:v>399822.33333333331</c:v>
                </c:pt>
                <c:pt idx="21">
                  <c:v>461800.16666666669</c:v>
                </c:pt>
                <c:pt idx="22">
                  <c:v>543254.05095723283</c:v>
                </c:pt>
                <c:pt idx="23">
                  <c:v>564392.92961005413</c:v>
                </c:pt>
                <c:pt idx="24">
                  <c:v>580422.98528695328</c:v>
                </c:pt>
                <c:pt idx="25">
                  <c:v>592150.90926920029</c:v>
                </c:pt>
                <c:pt idx="26">
                  <c:v>601011.56743827322</c:v>
                </c:pt>
                <c:pt idx="27">
                  <c:v>612023.22559456096</c:v>
                </c:pt>
                <c:pt idx="28">
                  <c:v>624417.71708592214</c:v>
                </c:pt>
                <c:pt idx="29">
                  <c:v>636600.0390834409</c:v>
                </c:pt>
                <c:pt idx="30">
                  <c:v>577300.82196282782</c:v>
                </c:pt>
                <c:pt idx="31">
                  <c:v>594513.61506419233</c:v>
                </c:pt>
                <c:pt idx="32">
                  <c:v>612021.7794488431</c:v>
                </c:pt>
                <c:pt idx="33">
                  <c:v>631343.35900149622</c:v>
                </c:pt>
                <c:pt idx="34">
                  <c:v>651940.37501954101</c:v>
                </c:pt>
                <c:pt idx="35">
                  <c:v>672459.81459591386</c:v>
                </c:pt>
                <c:pt idx="36">
                  <c:v>695848.58091767842</c:v>
                </c:pt>
                <c:pt idx="37">
                  <c:v>720171.67306973075</c:v>
                </c:pt>
                <c:pt idx="38">
                  <c:v>745848.52098211809</c:v>
                </c:pt>
                <c:pt idx="39">
                  <c:v>772452.04958265088</c:v>
                </c:pt>
                <c:pt idx="40">
                  <c:v>795558.89463722939</c:v>
                </c:pt>
                <c:pt idx="41">
                  <c:v>826234.08023670339</c:v>
                </c:pt>
                <c:pt idx="42">
                  <c:v>857794.13685758808</c:v>
                </c:pt>
                <c:pt idx="43">
                  <c:v>890420.75135807449</c:v>
                </c:pt>
                <c:pt idx="44">
                  <c:v>922281.24901180761</c:v>
                </c:pt>
                <c:pt idx="45">
                  <c:v>955964.12951806723</c:v>
                </c:pt>
                <c:pt idx="46">
                  <c:v>991540.31117466872</c:v>
                </c:pt>
                <c:pt idx="47">
                  <c:v>1028532.5410875604</c:v>
                </c:pt>
                <c:pt idx="48">
                  <c:v>1065575.7824211873</c:v>
                </c:pt>
                <c:pt idx="49">
                  <c:v>1104070.0756068542</c:v>
                </c:pt>
                <c:pt idx="50">
                  <c:v>1144898.3861421891</c:v>
                </c:pt>
                <c:pt idx="51">
                  <c:v>1186226.7620209754</c:v>
                </c:pt>
                <c:pt idx="52">
                  <c:v>1229344.5644118139</c:v>
                </c:pt>
                <c:pt idx="53">
                  <c:v>1274338.510259619</c:v>
                </c:pt>
                <c:pt idx="54">
                  <c:v>1321247.6402217082</c:v>
                </c:pt>
                <c:pt idx="55">
                  <c:v>1370457.1321314599</c:v>
                </c:pt>
                <c:pt idx="56">
                  <c:v>1417610.7155503752</c:v>
                </c:pt>
                <c:pt idx="57">
                  <c:v>1466898.1845319418</c:v>
                </c:pt>
                <c:pt idx="58">
                  <c:v>1518690.0436115768</c:v>
                </c:pt>
                <c:pt idx="59">
                  <c:v>1573204.521058775</c:v>
                </c:pt>
                <c:pt idx="60">
                  <c:v>1631551.7687170182</c:v>
                </c:pt>
              </c:numCache>
            </c:numRef>
          </c:val>
          <c:extLst xmlns:c15="http://schemas.microsoft.com/office/drawing/2012/chart">
            <c:ext xmlns:c16="http://schemas.microsoft.com/office/drawing/2014/chart" uri="{C3380CC4-5D6E-409C-BE32-E72D297353CC}">
              <c16:uniqueId val="{00000007-3B16-45B8-89BE-5AE640BDA9C0}"/>
            </c:ext>
          </c:extLst>
        </c:ser>
        <c:dLbls>
          <c:showLegendKey val="0"/>
          <c:showVal val="0"/>
          <c:showCatName val="0"/>
          <c:showSerName val="0"/>
          <c:showPercent val="0"/>
          <c:showBubbleSize val="0"/>
        </c:dLbls>
        <c:axId val="789136943"/>
        <c:axId val="789159823"/>
        <c:extLst>
          <c:ext xmlns:c15="http://schemas.microsoft.com/office/drawing/2012/chart" uri="{02D57815-91ED-43cb-92C2-25804820EDAC}">
            <c15:filteredAreaSeries>
              <c15:ser>
                <c:idx val="8"/>
                <c:order val="6"/>
                <c:tx>
                  <c:strRef>
                    <c:extLst>
                      <c:ext uri="{02D57815-91ED-43cb-92C2-25804820EDAC}">
                        <c15:formulaRef>
                          <c15:sqref>'Activity data'!$D$11:$F$11</c15:sqref>
                        </c15:formulaRef>
                      </c:ext>
                    </c:extLst>
                    <c:strCache>
                      <c:ptCount val="3"/>
                      <c:pt idx="0">
                        <c:v>Commercial</c:v>
                      </c:pt>
                      <c:pt idx="1">
                        <c:v>Population</c:v>
                      </c:pt>
                      <c:pt idx="2">
                        <c:v>Head</c:v>
                      </c:pt>
                    </c:strCache>
                  </c:strRef>
                </c:tx>
                <c:spPr>
                  <a:solidFill>
                    <a:schemeClr val="accent3">
                      <a:lumMod val="60000"/>
                    </a:schemeClr>
                  </a:solidFill>
                  <a:ln>
                    <a:noFill/>
                  </a:ln>
                  <a:effectLst/>
                </c:spPr>
                <c:cat>
                  <c:numRef>
                    <c:extLst>
                      <c:ex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c:ext uri="{02D57815-91ED-43cb-92C2-25804820EDAC}">
                        <c15:formulaRef>
                          <c15:sqref>'Activity data'!$H$11:$BP$11</c15:sqref>
                        </c15:formulaRef>
                      </c:ext>
                    </c:extLst>
                    <c:numCache>
                      <c:formatCode>#,##0</c:formatCode>
                      <c:ptCount val="61"/>
                      <c:pt idx="0">
                        <c:v>29979000</c:v>
                      </c:pt>
                      <c:pt idx="1">
                        <c:v>28631000</c:v>
                      </c:pt>
                      <c:pt idx="2">
                        <c:v>27448000</c:v>
                      </c:pt>
                      <c:pt idx="3">
                        <c:v>25670000</c:v>
                      </c:pt>
                      <c:pt idx="4">
                        <c:v>25851000</c:v>
                      </c:pt>
                      <c:pt idx="5">
                        <c:v>25481000</c:v>
                      </c:pt>
                      <c:pt idx="6">
                        <c:v>25566000</c:v>
                      </c:pt>
                      <c:pt idx="7">
                        <c:v>25010000</c:v>
                      </c:pt>
                      <c:pt idx="8">
                        <c:v>25079000</c:v>
                      </c:pt>
                      <c:pt idx="9">
                        <c:v>24463000</c:v>
                      </c:pt>
                      <c:pt idx="10">
                        <c:v>23586000</c:v>
                      </c:pt>
                      <c:pt idx="11">
                        <c:v>22998000</c:v>
                      </c:pt>
                      <c:pt idx="12">
                        <c:v>22614000</c:v>
                      </c:pt>
                      <c:pt idx="13">
                        <c:v>22693000</c:v>
                      </c:pt>
                      <c:pt idx="14">
                        <c:v>22289000</c:v>
                      </c:pt>
                      <c:pt idx="15">
                        <c:v>22236000</c:v>
                      </c:pt>
                      <c:pt idx="16">
                        <c:v>21945000</c:v>
                      </c:pt>
                      <c:pt idx="17">
                        <c:v>21924000</c:v>
                      </c:pt>
                      <c:pt idx="18">
                        <c:v>21995000</c:v>
                      </c:pt>
                      <c:pt idx="19">
                        <c:v>21917000</c:v>
                      </c:pt>
                      <c:pt idx="20">
                        <c:v>21493000</c:v>
                      </c:pt>
                      <c:pt idx="21">
                        <c:v>21325000</c:v>
                      </c:pt>
                      <c:pt idx="22">
                        <c:v>19017937.685529642</c:v>
                      </c:pt>
                      <c:pt idx="23">
                        <c:v>19028630.781799436</c:v>
                      </c:pt>
                      <c:pt idx="24">
                        <c:v>19051995.520255629</c:v>
                      </c:pt>
                      <c:pt idx="25">
                        <c:v>19087407.561648134</c:v>
                      </c:pt>
                      <c:pt idx="26">
                        <c:v>19134514.994467065</c:v>
                      </c:pt>
                      <c:pt idx="27">
                        <c:v>19193714.750779159</c:v>
                      </c:pt>
                      <c:pt idx="28">
                        <c:v>19259756.016990528</c:v>
                      </c:pt>
                      <c:pt idx="29">
                        <c:v>19332457.106098488</c:v>
                      </c:pt>
                      <c:pt idx="30">
                        <c:v>19399481.16972369</c:v>
                      </c:pt>
                      <c:pt idx="31">
                        <c:v>19449824.41055809</c:v>
                      </c:pt>
                      <c:pt idx="32">
                        <c:v>19493475.774346877</c:v>
                      </c:pt>
                      <c:pt idx="33">
                        <c:v>19530166.506865036</c:v>
                      </c:pt>
                      <c:pt idx="34">
                        <c:v>19567006.652455553</c:v>
                      </c:pt>
                      <c:pt idx="35">
                        <c:v>19603474.526880424</c:v>
                      </c:pt>
                      <c:pt idx="36">
                        <c:v>19639766.416138858</c:v>
                      </c:pt>
                      <c:pt idx="37">
                        <c:v>19675313.089787524</c:v>
                      </c:pt>
                      <c:pt idx="38">
                        <c:v>19709944.30701784</c:v>
                      </c:pt>
                      <c:pt idx="39">
                        <c:v>19744309.720770203</c:v>
                      </c:pt>
                      <c:pt idx="40">
                        <c:v>19777534.504531682</c:v>
                      </c:pt>
                      <c:pt idx="41">
                        <c:v>19810824.498222753</c:v>
                      </c:pt>
                      <c:pt idx="42">
                        <c:v>19843288.201142434</c:v>
                      </c:pt>
                      <c:pt idx="43">
                        <c:v>19874798.389929008</c:v>
                      </c:pt>
                      <c:pt idx="44">
                        <c:v>19905203.363711353</c:v>
                      </c:pt>
                      <c:pt idx="45">
                        <c:v>19934759.200362347</c:v>
                      </c:pt>
                      <c:pt idx="46">
                        <c:v>19963347.55642952</c:v>
                      </c:pt>
                      <c:pt idx="47">
                        <c:v>19990777.780227147</c:v>
                      </c:pt>
                      <c:pt idx="48">
                        <c:v>20016741.145491518</c:v>
                      </c:pt>
                      <c:pt idx="49">
                        <c:v>20041618.160643794</c:v>
                      </c:pt>
                      <c:pt idx="50">
                        <c:v>20065435.523120638</c:v>
                      </c:pt>
                      <c:pt idx="51">
                        <c:v>20088047.587040287</c:v>
                      </c:pt>
                      <c:pt idx="52">
                        <c:v>20109352.288255397</c:v>
                      </c:pt>
                      <c:pt idx="53">
                        <c:v>20129278.167533312</c:v>
                      </c:pt>
                      <c:pt idx="54">
                        <c:v>20147762.906348765</c:v>
                      </c:pt>
                      <c:pt idx="55">
                        <c:v>20164783.968664229</c:v>
                      </c:pt>
                      <c:pt idx="56">
                        <c:v>20179680.746632453</c:v>
                      </c:pt>
                      <c:pt idx="57">
                        <c:v>20192959.619039711</c:v>
                      </c:pt>
                      <c:pt idx="58">
                        <c:v>20204605.912413754</c:v>
                      </c:pt>
                      <c:pt idx="59">
                        <c:v>20214549.049028173</c:v>
                      </c:pt>
                      <c:pt idx="60">
                        <c:v>20222876.276679169</c:v>
                      </c:pt>
                    </c:numCache>
                  </c:numRef>
                </c:val>
                <c:extLst>
                  <c:ext xmlns:c16="http://schemas.microsoft.com/office/drawing/2014/chart" uri="{C3380CC4-5D6E-409C-BE32-E72D297353CC}">
                    <c16:uniqueId val="{00000008-3B16-45B8-89BE-5AE640BDA9C0}"/>
                  </c:ext>
                </c:extLst>
              </c15:ser>
            </c15:filteredAreaSeries>
            <c15:filteredAreaSeries>
              <c15:ser>
                <c:idx val="9"/>
                <c:order val="7"/>
                <c:tx>
                  <c:strRef>
                    <c:extLst xmlns:c15="http://schemas.microsoft.com/office/drawing/2012/chart">
                      <c:ext xmlns:c15="http://schemas.microsoft.com/office/drawing/2012/chart" uri="{02D57815-91ED-43cb-92C2-25804820EDAC}">
                        <c15:formulaRef>
                          <c15:sqref>'Activity data'!$D$12:$F$12</c15:sqref>
                        </c15:formulaRef>
                      </c:ext>
                    </c:extLst>
                    <c:strCache>
                      <c:ptCount val="3"/>
                      <c:pt idx="0">
                        <c:v>Subsistence</c:v>
                      </c:pt>
                      <c:pt idx="1">
                        <c:v>Population</c:v>
                      </c:pt>
                      <c:pt idx="2">
                        <c:v>Head</c:v>
                      </c:pt>
                    </c:strCache>
                  </c:strRef>
                </c:tx>
                <c:spPr>
                  <a:solidFill>
                    <a:schemeClr val="accent4">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data'!$H$12:$BP$12</c15:sqref>
                        </c15:formulaRef>
                      </c:ext>
                    </c:extLst>
                    <c:numCache>
                      <c:formatCode>#,##0</c:formatCode>
                      <c:ptCount val="61"/>
                      <c:pt idx="0">
                        <c:v>4183862.7657327019</c:v>
                      </c:pt>
                      <c:pt idx="1">
                        <c:v>3995736.1768468926</c:v>
                      </c:pt>
                      <c:pt idx="2">
                        <c:v>3830636.9523276691</c:v>
                      </c:pt>
                      <c:pt idx="3">
                        <c:v>3582499.6563046952</c:v>
                      </c:pt>
                      <c:pt idx="4">
                        <c:v>3607759.9772159201</c:v>
                      </c:pt>
                      <c:pt idx="5">
                        <c:v>3556122.8571211509</c:v>
                      </c:pt>
                      <c:pt idx="6">
                        <c:v>3567985.4387645437</c:v>
                      </c:pt>
                      <c:pt idx="7">
                        <c:v>3490390.1988383494</c:v>
                      </c:pt>
                      <c:pt idx="8">
                        <c:v>3500019.8239371148</c:v>
                      </c:pt>
                      <c:pt idx="9">
                        <c:v>3414050.996968525</c:v>
                      </c:pt>
                      <c:pt idx="10">
                        <c:v>3291657.0663655167</c:v>
                      </c:pt>
                      <c:pt idx="11">
                        <c:v>3209595.9133500443</c:v>
                      </c:pt>
                      <c:pt idx="12">
                        <c:v>3156004.9562787157</c:v>
                      </c:pt>
                      <c:pt idx="13">
                        <c:v>3167030.1792178694</c:v>
                      </c:pt>
                      <c:pt idx="14">
                        <c:v>3110648.0264657419</c:v>
                      </c:pt>
                      <c:pt idx="15">
                        <c:v>3103251.3579116268</c:v>
                      </c:pt>
                      <c:pt idx="16">
                        <c:v>3062639.4607560104</c:v>
                      </c:pt>
                      <c:pt idx="17">
                        <c:v>3059708.705291172</c:v>
                      </c:pt>
                      <c:pt idx="18">
                        <c:v>3069617.4499580064</c:v>
                      </c:pt>
                      <c:pt idx="19">
                        <c:v>3058731.7868028926</c:v>
                      </c:pt>
                      <c:pt idx="20">
                        <c:v>2999558.4383699675</c:v>
                      </c:pt>
                      <c:pt idx="21">
                        <c:v>2976112.3946512612</c:v>
                      </c:pt>
                      <c:pt idx="22">
                        <c:v>2841760.803584889</c:v>
                      </c:pt>
                      <c:pt idx="23">
                        <c:v>2843358.6225677319</c:v>
                      </c:pt>
                      <c:pt idx="24">
                        <c:v>2846849.9053255538</c:v>
                      </c:pt>
                      <c:pt idx="25">
                        <c:v>2852141.359786503</c:v>
                      </c:pt>
                      <c:pt idx="26">
                        <c:v>2859180.4014720903</c:v>
                      </c:pt>
                      <c:pt idx="27">
                        <c:v>2868026.3420704491</c:v>
                      </c:pt>
                      <c:pt idx="28">
                        <c:v>2877894.5772514581</c:v>
                      </c:pt>
                      <c:pt idx="29">
                        <c:v>2888757.9583825325</c:v>
                      </c:pt>
                      <c:pt idx="30">
                        <c:v>2898773.0483495169</c:v>
                      </c:pt>
                      <c:pt idx="31">
                        <c:v>2906295.6015776456</c:v>
                      </c:pt>
                      <c:pt idx="32">
                        <c:v>2912818.2191552809</c:v>
                      </c:pt>
                      <c:pt idx="33">
                        <c:v>2918300.7424051203</c:v>
                      </c:pt>
                      <c:pt idx="34">
                        <c:v>2923805.5917462325</c:v>
                      </c:pt>
                      <c:pt idx="35">
                        <c:v>2929254.8143614428</c:v>
                      </c:pt>
                      <c:pt idx="36">
                        <c:v>2934677.7403425877</c:v>
                      </c:pt>
                      <c:pt idx="37">
                        <c:v>2939989.3122671014</c:v>
                      </c:pt>
                      <c:pt idx="38">
                        <c:v>2945164.091853241</c:v>
                      </c:pt>
                      <c:pt idx="39">
                        <c:v>2950299.1536783059</c:v>
                      </c:pt>
                      <c:pt idx="40">
                        <c:v>2955263.7765392172</c:v>
                      </c:pt>
                      <c:pt idx="41">
                        <c:v>2960238.1434125951</c:v>
                      </c:pt>
                      <c:pt idx="42">
                        <c:v>2965089.0415500188</c:v>
                      </c:pt>
                      <c:pt idx="43">
                        <c:v>2969797.4605641044</c:v>
                      </c:pt>
                      <c:pt idx="44">
                        <c:v>2974340.7325085932</c:v>
                      </c:pt>
                      <c:pt idx="45">
                        <c:v>2978757.1218932243</c:v>
                      </c:pt>
                      <c:pt idx="46">
                        <c:v>2983028.945213607</c:v>
                      </c:pt>
                      <c:pt idx="47">
                        <c:v>2987127.7142868154</c:v>
                      </c:pt>
                      <c:pt idx="48">
                        <c:v>2991007.2976021809</c:v>
                      </c:pt>
                      <c:pt idx="49">
                        <c:v>2994724.5527398773</c:v>
                      </c:pt>
                      <c:pt idx="50">
                        <c:v>2998283.4689720497</c:v>
                      </c:pt>
                      <c:pt idx="51">
                        <c:v>3001662.2831209628</c:v>
                      </c:pt>
                      <c:pt idx="52">
                        <c:v>3004845.744222071</c:v>
                      </c:pt>
                      <c:pt idx="53">
                        <c:v>3007823.1744590006</c:v>
                      </c:pt>
                      <c:pt idx="54">
                        <c:v>3010585.2618682063</c:v>
                      </c:pt>
                      <c:pt idx="55">
                        <c:v>3013128.6389958044</c:v>
                      </c:pt>
                      <c:pt idx="56">
                        <c:v>3015354.5943243895</c:v>
                      </c:pt>
                      <c:pt idx="57">
                        <c:v>3017338.7936496125</c:v>
                      </c:pt>
                      <c:pt idx="58">
                        <c:v>3019079.0443836641</c:v>
                      </c:pt>
                      <c:pt idx="59">
                        <c:v>3020564.8004294974</c:v>
                      </c:pt>
                      <c:pt idx="60">
                        <c:v>3021809.0988141289</c:v>
                      </c:pt>
                    </c:numCache>
                  </c:numRef>
                </c:val>
                <c:extLst xmlns:c15="http://schemas.microsoft.com/office/drawing/2012/chart">
                  <c:ext xmlns:c16="http://schemas.microsoft.com/office/drawing/2014/chart" uri="{C3380CC4-5D6E-409C-BE32-E72D297353CC}">
                    <c16:uniqueId val="{00000009-3B16-45B8-89BE-5AE640BDA9C0}"/>
                  </c:ext>
                </c:extLst>
              </c15:ser>
            </c15:filteredAreaSeries>
            <c15:filteredAreaSeries>
              <c15:ser>
                <c:idx val="10"/>
                <c:order val="8"/>
                <c:tx>
                  <c:strRef>
                    <c:extLst xmlns:c15="http://schemas.microsoft.com/office/drawing/2012/chart">
                      <c:ext xmlns:c15="http://schemas.microsoft.com/office/drawing/2012/chart" uri="{02D57815-91ED-43cb-92C2-25804820EDAC}">
                        <c15:formulaRef>
                          <c15:sqref>'Activity data'!$D$13:$F$13</c15:sqref>
                        </c15:formulaRef>
                      </c:ext>
                    </c:extLst>
                    <c:strCache>
                      <c:ptCount val="3"/>
                      <c:pt idx="0">
                        <c:v>Commercial</c:v>
                      </c:pt>
                      <c:pt idx="1">
                        <c:v>Population</c:v>
                      </c:pt>
                      <c:pt idx="2">
                        <c:v>Head</c:v>
                      </c:pt>
                    </c:strCache>
                  </c:strRef>
                </c:tx>
                <c:spPr>
                  <a:solidFill>
                    <a:schemeClr val="accent5">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data'!$H$13:$BP$13</c15:sqref>
                        </c15:formulaRef>
                      </c:ext>
                    </c:extLst>
                    <c:numCache>
                      <c:formatCode>#,##0</c:formatCode>
                      <c:ptCount val="61"/>
                      <c:pt idx="0">
                        <c:v>2774000.0000000005</c:v>
                      </c:pt>
                      <c:pt idx="1">
                        <c:v>2453000.0000000009</c:v>
                      </c:pt>
                      <c:pt idx="2">
                        <c:v>2284999.9999999995</c:v>
                      </c:pt>
                      <c:pt idx="3">
                        <c:v>2158999.9999999995</c:v>
                      </c:pt>
                      <c:pt idx="4">
                        <c:v>2336999.9999999995</c:v>
                      </c:pt>
                      <c:pt idx="5">
                        <c:v>2369000</c:v>
                      </c:pt>
                      <c:pt idx="6">
                        <c:v>2405999.9999999995</c:v>
                      </c:pt>
                      <c:pt idx="7">
                        <c:v>2394000</c:v>
                      </c:pt>
                      <c:pt idx="8">
                        <c:v>2360000</c:v>
                      </c:pt>
                      <c:pt idx="9">
                        <c:v>2325000.0000000005</c:v>
                      </c:pt>
                      <c:pt idx="10">
                        <c:v>2355000</c:v>
                      </c:pt>
                      <c:pt idx="11">
                        <c:v>2427000.0000000005</c:v>
                      </c:pt>
                      <c:pt idx="12">
                        <c:v>2216000.0000000005</c:v>
                      </c:pt>
                      <c:pt idx="13">
                        <c:v>2160000</c:v>
                      </c:pt>
                      <c:pt idx="14">
                        <c:v>2164000.0000000005</c:v>
                      </c:pt>
                      <c:pt idx="15">
                        <c:v>2136000</c:v>
                      </c:pt>
                      <c:pt idx="16">
                        <c:v>2181000</c:v>
                      </c:pt>
                      <c:pt idx="17">
                        <c:v>2116000</c:v>
                      </c:pt>
                      <c:pt idx="18">
                        <c:v>2114000.0000000005</c:v>
                      </c:pt>
                      <c:pt idx="19">
                        <c:v>2077000</c:v>
                      </c:pt>
                      <c:pt idx="20">
                        <c:v>2052000.0000000002</c:v>
                      </c:pt>
                      <c:pt idx="21">
                        <c:v>2033000.0000000002</c:v>
                      </c:pt>
                      <c:pt idx="22">
                        <c:v>2067953.0260103957</c:v>
                      </c:pt>
                      <c:pt idx="23">
                        <c:v>2073400.0355919176</c:v>
                      </c:pt>
                      <c:pt idx="24">
                        <c:v>2080606.6208786785</c:v>
                      </c:pt>
                      <c:pt idx="25">
                        <c:v>2089498.2378470728</c:v>
                      </c:pt>
                      <c:pt idx="26">
                        <c:v>2100040.6141557125</c:v>
                      </c:pt>
                      <c:pt idx="27">
                        <c:v>2112321.6125408038</c:v>
                      </c:pt>
                      <c:pt idx="28">
                        <c:v>2125466.4956838726</c:v>
                      </c:pt>
                      <c:pt idx="29">
                        <c:v>2139463.4775215802</c:v>
                      </c:pt>
                      <c:pt idx="30">
                        <c:v>2152248.7615241366</c:v>
                      </c:pt>
                      <c:pt idx="31">
                        <c:v>2162001.518309684</c:v>
                      </c:pt>
                      <c:pt idx="32">
                        <c:v>2170437.0156397861</c:v>
                      </c:pt>
                      <c:pt idx="33">
                        <c:v>2177534.4870213354</c:v>
                      </c:pt>
                      <c:pt idx="34">
                        <c:v>2184502.7127905963</c:v>
                      </c:pt>
                      <c:pt idx="35">
                        <c:v>2191266.6383574707</c:v>
                      </c:pt>
                      <c:pt idx="36">
                        <c:v>2197869.9427810907</c:v>
                      </c:pt>
                      <c:pt idx="37">
                        <c:v>2204227.9619653495</c:v>
                      </c:pt>
                      <c:pt idx="38">
                        <c:v>2210321.8449087366</c:v>
                      </c:pt>
                      <c:pt idx="39">
                        <c:v>2216267.3884518649</c:v>
                      </c:pt>
                      <c:pt idx="40">
                        <c:v>2221927.6495087235</c:v>
                      </c:pt>
                      <c:pt idx="41">
                        <c:v>2227508.137909194</c:v>
                      </c:pt>
                      <c:pt idx="42">
                        <c:v>2232868.1669980898</c:v>
                      </c:pt>
                      <c:pt idx="43">
                        <c:v>2237992.8076058943</c:v>
                      </c:pt>
                      <c:pt idx="44">
                        <c:v>2242862.8181947316</c:v>
                      </c:pt>
                      <c:pt idx="45">
                        <c:v>2247525.200908293</c:v>
                      </c:pt>
                      <c:pt idx="46">
                        <c:v>2251965.3237035288</c:v>
                      </c:pt>
                      <c:pt idx="47">
                        <c:v>2256156.6137641435</c:v>
                      </c:pt>
                      <c:pt idx="48">
                        <c:v>2260053.2745091398</c:v>
                      </c:pt>
                      <c:pt idx="49">
                        <c:v>2263721.1239091274</c:v>
                      </c:pt>
                      <c:pt idx="50">
                        <c:v>2267168.1191702797</c:v>
                      </c:pt>
                      <c:pt idx="51">
                        <c:v>2270374.1650069882</c:v>
                      </c:pt>
                      <c:pt idx="52">
                        <c:v>2273326.1353659625</c:v>
                      </c:pt>
                      <c:pt idx="53">
                        <c:v>2276015.740448196</c:v>
                      </c:pt>
                      <c:pt idx="54">
                        <c:v>2278436.0544526144</c:v>
                      </c:pt>
                      <c:pt idx="55">
                        <c:v>2280586.423087962</c:v>
                      </c:pt>
                      <c:pt idx="56">
                        <c:v>2282364.0420392533</c:v>
                      </c:pt>
                      <c:pt idx="57">
                        <c:v>2283852.9362849784</c:v>
                      </c:pt>
                      <c:pt idx="58">
                        <c:v>2285053.4243932972</c:v>
                      </c:pt>
                      <c:pt idx="59">
                        <c:v>2285956.8207486738</c:v>
                      </c:pt>
                      <c:pt idx="60">
                        <c:v>2286579.4682117272</c:v>
                      </c:pt>
                    </c:numCache>
                  </c:numRef>
                </c:val>
                <c:extLst xmlns:c15="http://schemas.microsoft.com/office/drawing/2012/chart">
                  <c:ext xmlns:c16="http://schemas.microsoft.com/office/drawing/2014/chart" uri="{C3380CC4-5D6E-409C-BE32-E72D297353CC}">
                    <c16:uniqueId val="{0000000A-3B16-45B8-89BE-5AE640BDA9C0}"/>
                  </c:ext>
                </c:extLst>
              </c15:ser>
            </c15:filteredAreaSeries>
            <c15:filteredAreaSeries>
              <c15:ser>
                <c:idx val="11"/>
                <c:order val="9"/>
                <c:tx>
                  <c:strRef>
                    <c:extLst xmlns:c15="http://schemas.microsoft.com/office/drawing/2012/chart">
                      <c:ext xmlns:c15="http://schemas.microsoft.com/office/drawing/2012/chart" uri="{02D57815-91ED-43cb-92C2-25804820EDAC}">
                        <c15:formulaRef>
                          <c15:sqref>'Activity data'!$D$14:$F$14</c15:sqref>
                        </c15:formulaRef>
                      </c:ext>
                    </c:extLst>
                    <c:strCache>
                      <c:ptCount val="3"/>
                      <c:pt idx="0">
                        <c:v>Subsistence</c:v>
                      </c:pt>
                      <c:pt idx="1">
                        <c:v>Population</c:v>
                      </c:pt>
                      <c:pt idx="2">
                        <c:v>Head</c:v>
                      </c:pt>
                    </c:strCache>
                  </c:strRef>
                </c:tx>
                <c:spPr>
                  <a:solidFill>
                    <a:schemeClr val="accent6">
                      <a:lumMod val="6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data'!$H$14:$BP$14</c15:sqref>
                        </c15:formulaRef>
                      </c:ext>
                    </c:extLst>
                    <c:numCache>
                      <c:formatCode>#,##0</c:formatCode>
                      <c:ptCount val="61"/>
                      <c:pt idx="0">
                        <c:v>5479284.9120494025</c:v>
                      </c:pt>
                      <c:pt idx="1">
                        <c:v>4845236.4416932901</c:v>
                      </c:pt>
                      <c:pt idx="2">
                        <c:v>4513397.9899181286</c:v>
                      </c:pt>
                      <c:pt idx="3">
                        <c:v>4264519.151086757</c:v>
                      </c:pt>
                      <c:pt idx="4">
                        <c:v>4616109.8916580593</c:v>
                      </c:pt>
                      <c:pt idx="5">
                        <c:v>4679317.2158057094</c:v>
                      </c:pt>
                      <c:pt idx="6">
                        <c:v>4752400.6843514293</c:v>
                      </c:pt>
                      <c:pt idx="7">
                        <c:v>4728697.9377960609</c:v>
                      </c:pt>
                      <c:pt idx="8">
                        <c:v>4661540.1558891824</c:v>
                      </c:pt>
                      <c:pt idx="9">
                        <c:v>4592407.1451026909</c:v>
                      </c:pt>
                      <c:pt idx="10">
                        <c:v>4651664.0114911124</c:v>
                      </c:pt>
                      <c:pt idx="11">
                        <c:v>4793880.4908233248</c:v>
                      </c:pt>
                      <c:pt idx="12">
                        <c:v>4377107.1972247576</c:v>
                      </c:pt>
                      <c:pt idx="13">
                        <c:v>4266494.3799663708</c:v>
                      </c:pt>
                      <c:pt idx="14">
                        <c:v>4274395.2954848269</c:v>
                      </c:pt>
                      <c:pt idx="15">
                        <c:v>4219088.886855633</c:v>
                      </c:pt>
                      <c:pt idx="16">
                        <c:v>4307974.1864382662</c:v>
                      </c:pt>
                      <c:pt idx="17">
                        <c:v>4179584.3092633518</c:v>
                      </c:pt>
                      <c:pt idx="18">
                        <c:v>4175633.8515041238</c:v>
                      </c:pt>
                      <c:pt idx="19">
                        <c:v>4102550.3829584038</c:v>
                      </c:pt>
                      <c:pt idx="20">
                        <c:v>4053169.6609680522</c:v>
                      </c:pt>
                      <c:pt idx="21">
                        <c:v>4015640.3122553849</c:v>
                      </c:pt>
                      <c:pt idx="22">
                        <c:v>4014261.7563731205</c:v>
                      </c:pt>
                      <c:pt idx="23">
                        <c:v>4024835.3632078394</c:v>
                      </c:pt>
                      <c:pt idx="24">
                        <c:v>4038824.6169997873</c:v>
                      </c:pt>
                      <c:pt idx="25">
                        <c:v>4056084.8146443171</c:v>
                      </c:pt>
                      <c:pt idx="26">
                        <c:v>4076549.4274787349</c:v>
                      </c:pt>
                      <c:pt idx="27">
                        <c:v>4100389.0125792064</c:v>
                      </c:pt>
                      <c:pt idx="28">
                        <c:v>4125905.5504451636</c:v>
                      </c:pt>
                      <c:pt idx="29">
                        <c:v>4153076.1622477723</c:v>
                      </c:pt>
                      <c:pt idx="30">
                        <c:v>4177894.654723323</c:v>
                      </c:pt>
                      <c:pt idx="31">
                        <c:v>4196826.4767187973</c:v>
                      </c:pt>
                      <c:pt idx="32">
                        <c:v>4213201.2656537015</c:v>
                      </c:pt>
                      <c:pt idx="33">
                        <c:v>4226978.7101002382</c:v>
                      </c:pt>
                      <c:pt idx="34">
                        <c:v>4240505.2660052748</c:v>
                      </c:pt>
                      <c:pt idx="35">
                        <c:v>4253635.2391645014</c:v>
                      </c:pt>
                      <c:pt idx="36">
                        <c:v>4266453.4183397638</c:v>
                      </c:pt>
                      <c:pt idx="37">
                        <c:v>4278795.4555797949</c:v>
                      </c:pt>
                      <c:pt idx="38">
                        <c:v>4290624.7577640172</c:v>
                      </c:pt>
                      <c:pt idx="39">
                        <c:v>4302166.1069947956</c:v>
                      </c:pt>
                      <c:pt idx="40">
                        <c:v>4313153.6725757569</c:v>
                      </c:pt>
                      <c:pt idx="41">
                        <c:v>4323986.3853531405</c:v>
                      </c:pt>
                      <c:pt idx="42">
                        <c:v>4334391.1477021733</c:v>
                      </c:pt>
                      <c:pt idx="43">
                        <c:v>4344338.9794702651</c:v>
                      </c:pt>
                      <c:pt idx="44">
                        <c:v>4353792.5294368304</c:v>
                      </c:pt>
                      <c:pt idx="45">
                        <c:v>4362843.037057274</c:v>
                      </c:pt>
                      <c:pt idx="46">
                        <c:v>4371462.0989539083</c:v>
                      </c:pt>
                      <c:pt idx="47">
                        <c:v>4379598.1326009836</c:v>
                      </c:pt>
                      <c:pt idx="48">
                        <c:v>4387162.2387530347</c:v>
                      </c:pt>
                      <c:pt idx="49">
                        <c:v>4394282.1817059526</c:v>
                      </c:pt>
                      <c:pt idx="50">
                        <c:v>4400973.4078011308</c:v>
                      </c:pt>
                      <c:pt idx="51">
                        <c:v>4407196.9085429767</c:v>
                      </c:pt>
                      <c:pt idx="52">
                        <c:v>4412927.2039456908</c:v>
                      </c:pt>
                      <c:pt idx="53">
                        <c:v>4418148.2020464977</c:v>
                      </c:pt>
                      <c:pt idx="54">
                        <c:v>4422846.4586433098</c:v>
                      </c:pt>
                      <c:pt idx="55">
                        <c:v>4427020.7036413373</c:v>
                      </c:pt>
                      <c:pt idx="56">
                        <c:v>4430471.3757232549</c:v>
                      </c:pt>
                      <c:pt idx="57">
                        <c:v>4433361.5822002506</c:v>
                      </c:pt>
                      <c:pt idx="58">
                        <c:v>4435691.9414693406</c:v>
                      </c:pt>
                      <c:pt idx="59">
                        <c:v>4437445.5932180127</c:v>
                      </c:pt>
                      <c:pt idx="60">
                        <c:v>4438654.2618227638</c:v>
                      </c:pt>
                    </c:numCache>
                  </c:numRef>
                </c:val>
                <c:extLst xmlns:c15="http://schemas.microsoft.com/office/drawing/2012/chart">
                  <c:ext xmlns:c16="http://schemas.microsoft.com/office/drawing/2014/chart" uri="{C3380CC4-5D6E-409C-BE32-E72D297353CC}">
                    <c16:uniqueId val="{0000000B-3B16-45B8-89BE-5AE640BDA9C0}"/>
                  </c:ext>
                </c:extLst>
              </c15:ser>
            </c15:filteredAreaSeries>
            <c15:filteredAreaSeries>
              <c15:ser>
                <c:idx val="12"/>
                <c:order val="10"/>
                <c:tx>
                  <c:strRef>
                    <c:extLst xmlns:c15="http://schemas.microsoft.com/office/drawing/2012/chart">
                      <c:ext xmlns:c15="http://schemas.microsoft.com/office/drawing/2012/chart" uri="{02D57815-91ED-43cb-92C2-25804820EDAC}">
                        <c15:formulaRef>
                          <c15:sqref>'Activity data'!$D$15:$F$15</c15:sqref>
                        </c15:formulaRef>
                      </c:ext>
                    </c:extLst>
                    <c:strCache>
                      <c:ptCount val="3"/>
                      <c:pt idx="0">
                        <c:v>Horses</c:v>
                      </c:pt>
                      <c:pt idx="1">
                        <c:v>Population</c:v>
                      </c:pt>
                      <c:pt idx="2">
                        <c:v>Head</c:v>
                      </c:pt>
                    </c:strCache>
                  </c:strRef>
                </c:tx>
                <c:spPr>
                  <a:solidFill>
                    <a:schemeClr val="accent1">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data'!$H$15:$BP$15</c15:sqref>
                        </c15:formulaRef>
                      </c:ext>
                    </c:extLst>
                    <c:numCache>
                      <c:formatCode>#,##0</c:formatCode>
                      <c:ptCount val="61"/>
                      <c:pt idx="0">
                        <c:v>230000</c:v>
                      </c:pt>
                      <c:pt idx="1">
                        <c:v>230000</c:v>
                      </c:pt>
                      <c:pt idx="2">
                        <c:v>230000</c:v>
                      </c:pt>
                      <c:pt idx="3">
                        <c:v>235000</c:v>
                      </c:pt>
                      <c:pt idx="4">
                        <c:v>240000</c:v>
                      </c:pt>
                      <c:pt idx="5">
                        <c:v>245000</c:v>
                      </c:pt>
                      <c:pt idx="6">
                        <c:v>250000</c:v>
                      </c:pt>
                      <c:pt idx="7">
                        <c:v>255000</c:v>
                      </c:pt>
                      <c:pt idx="8">
                        <c:v>260000</c:v>
                      </c:pt>
                      <c:pt idx="9">
                        <c:v>258000</c:v>
                      </c:pt>
                      <c:pt idx="10">
                        <c:v>270000</c:v>
                      </c:pt>
                      <c:pt idx="11">
                        <c:v>270000</c:v>
                      </c:pt>
                      <c:pt idx="12">
                        <c:v>270000</c:v>
                      </c:pt>
                      <c:pt idx="13">
                        <c:v>270000</c:v>
                      </c:pt>
                      <c:pt idx="14">
                        <c:v>270000</c:v>
                      </c:pt>
                      <c:pt idx="15">
                        <c:v>270000</c:v>
                      </c:pt>
                      <c:pt idx="16">
                        <c:v>280000</c:v>
                      </c:pt>
                      <c:pt idx="17">
                        <c:v>290000</c:v>
                      </c:pt>
                      <c:pt idx="18">
                        <c:v>298000</c:v>
                      </c:pt>
                      <c:pt idx="19">
                        <c:v>300000</c:v>
                      </c:pt>
                      <c:pt idx="20">
                        <c:v>300000</c:v>
                      </c:pt>
                      <c:pt idx="21">
                        <c:v>305000</c:v>
                      </c:pt>
                      <c:pt idx="22">
                        <c:v>309055.76507502049</c:v>
                      </c:pt>
                      <c:pt idx="23">
                        <c:v>311387.78207621013</c:v>
                      </c:pt>
                      <c:pt idx="24">
                        <c:v>312013.89969468454</c:v>
                      </c:pt>
                      <c:pt idx="25">
                        <c:v>311262.80474279413</c:v>
                      </c:pt>
                      <c:pt idx="26">
                        <c:v>309613.20396037714</c:v>
                      </c:pt>
                      <c:pt idx="27">
                        <c:v>308466.60450079432</c:v>
                      </c:pt>
                      <c:pt idx="28">
                        <c:v>307654.80900097272</c:v>
                      </c:pt>
                      <c:pt idx="29">
                        <c:v>306738.89543228212</c:v>
                      </c:pt>
                      <c:pt idx="30">
                        <c:v>287893.90853691363</c:v>
                      </c:pt>
                      <c:pt idx="31">
                        <c:v>289582.25391660811</c:v>
                      </c:pt>
                      <c:pt idx="32">
                        <c:v>291403.7960269748</c:v>
                      </c:pt>
                      <c:pt idx="33">
                        <c:v>293725.9583509739</c:v>
                      </c:pt>
                      <c:pt idx="34">
                        <c:v>296309.64300277736</c:v>
                      </c:pt>
                      <c:pt idx="35">
                        <c:v>298832.36732626555</c:v>
                      </c:pt>
                      <c:pt idx="36">
                        <c:v>301976.75529882463</c:v>
                      </c:pt>
                      <c:pt idx="37">
                        <c:v>305283.39927760407</c:v>
                      </c:pt>
                      <c:pt idx="38">
                        <c:v>308843.85269684152</c:v>
                      </c:pt>
                      <c:pt idx="39">
                        <c:v>312544.8185477932</c:v>
                      </c:pt>
                      <c:pt idx="40">
                        <c:v>315416.31704333425</c:v>
                      </c:pt>
                      <c:pt idx="41">
                        <c:v>319415.03702462954</c:v>
                      </c:pt>
                      <c:pt idx="42">
                        <c:v>323508.59179312934</c:v>
                      </c:pt>
                      <c:pt idx="43">
                        <c:v>327734.12675835204</c:v>
                      </c:pt>
                      <c:pt idx="44">
                        <c:v>331705.83361547941</c:v>
                      </c:pt>
                      <c:pt idx="45">
                        <c:v>335965.35557621182</c:v>
                      </c:pt>
                      <c:pt idx="46">
                        <c:v>340518.78117852157</c:v>
                      </c:pt>
                      <c:pt idx="47">
                        <c:v>345262.98516490421</c:v>
                      </c:pt>
                      <c:pt idx="48">
                        <c:v>349925.48659312259</c:v>
                      </c:pt>
                      <c:pt idx="49">
                        <c:v>354780.05181233212</c:v>
                      </c:pt>
                      <c:pt idx="50">
                        <c:v>359992.5514202409</c:v>
                      </c:pt>
                      <c:pt idx="51">
                        <c:v>365485.99236300343</c:v>
                      </c:pt>
                      <c:pt idx="52">
                        <c:v>371236.95668441697</c:v>
                      </c:pt>
                      <c:pt idx="53">
                        <c:v>377257.66362168104</c:v>
                      </c:pt>
                      <c:pt idx="54">
                        <c:v>383551.18036931992</c:v>
                      </c:pt>
                      <c:pt idx="55">
                        <c:v>390184.32837534085</c:v>
                      </c:pt>
                      <c:pt idx="56">
                        <c:v>396362.31230247213</c:v>
                      </c:pt>
                      <c:pt idx="57">
                        <c:v>402854.48270739877</c:v>
                      </c:pt>
                      <c:pt idx="58">
                        <c:v>409723.01566738414</c:v>
                      </c:pt>
                      <c:pt idx="59">
                        <c:v>417002.3058693856</c:v>
                      </c:pt>
                      <c:pt idx="60">
                        <c:v>424881.66154966131</c:v>
                      </c:pt>
                    </c:numCache>
                  </c:numRef>
                </c:val>
                <c:extLst xmlns:c15="http://schemas.microsoft.com/office/drawing/2012/chart">
                  <c:ext xmlns:c16="http://schemas.microsoft.com/office/drawing/2014/chart" uri="{C3380CC4-5D6E-409C-BE32-E72D297353CC}">
                    <c16:uniqueId val="{0000000C-3B16-45B8-89BE-5AE640BDA9C0}"/>
                  </c:ext>
                </c:extLst>
              </c15:ser>
            </c15:filteredAreaSeries>
            <c15:filteredAreaSeries>
              <c15:ser>
                <c:idx val="13"/>
                <c:order val="11"/>
                <c:tx>
                  <c:strRef>
                    <c:extLst xmlns:c15="http://schemas.microsoft.com/office/drawing/2012/chart">
                      <c:ext xmlns:c15="http://schemas.microsoft.com/office/drawing/2012/chart" uri="{02D57815-91ED-43cb-92C2-25804820EDAC}">
                        <c15:formulaRef>
                          <c15:sqref>'Activity data'!$D$16:$F$16</c15:sqref>
                        </c15:formulaRef>
                      </c:ext>
                    </c:extLst>
                    <c:strCache>
                      <c:ptCount val="3"/>
                      <c:pt idx="0">
                        <c:v>Mules &amp; Asses</c:v>
                      </c:pt>
                      <c:pt idx="1">
                        <c:v>Population</c:v>
                      </c:pt>
                      <c:pt idx="2">
                        <c:v>Head</c:v>
                      </c:pt>
                    </c:strCache>
                  </c:strRef>
                </c:tx>
                <c:spPr>
                  <a:solidFill>
                    <a:schemeClr val="accent2">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data'!$H$16:$BP$16</c15:sqref>
                        </c15:formulaRef>
                      </c:ext>
                    </c:extLst>
                    <c:numCache>
                      <c:formatCode>#,##0</c:formatCode>
                      <c:ptCount val="61"/>
                      <c:pt idx="0">
                        <c:v>224000</c:v>
                      </c:pt>
                      <c:pt idx="1">
                        <c:v>224000</c:v>
                      </c:pt>
                      <c:pt idx="2">
                        <c:v>224000</c:v>
                      </c:pt>
                      <c:pt idx="3">
                        <c:v>224000</c:v>
                      </c:pt>
                      <c:pt idx="4">
                        <c:v>224000</c:v>
                      </c:pt>
                      <c:pt idx="5">
                        <c:v>224000</c:v>
                      </c:pt>
                      <c:pt idx="6">
                        <c:v>224000</c:v>
                      </c:pt>
                      <c:pt idx="7">
                        <c:v>224000</c:v>
                      </c:pt>
                      <c:pt idx="8">
                        <c:v>224000</c:v>
                      </c:pt>
                      <c:pt idx="9">
                        <c:v>224000</c:v>
                      </c:pt>
                      <c:pt idx="10">
                        <c:v>164000</c:v>
                      </c:pt>
                      <c:pt idx="11">
                        <c:v>164000</c:v>
                      </c:pt>
                      <c:pt idx="12">
                        <c:v>164000</c:v>
                      </c:pt>
                      <c:pt idx="13">
                        <c:v>164000</c:v>
                      </c:pt>
                      <c:pt idx="14">
                        <c:v>164000</c:v>
                      </c:pt>
                      <c:pt idx="15">
                        <c:v>164000</c:v>
                      </c:pt>
                      <c:pt idx="16">
                        <c:v>164050</c:v>
                      </c:pt>
                      <c:pt idx="17">
                        <c:v>164600</c:v>
                      </c:pt>
                      <c:pt idx="18">
                        <c:v>164700</c:v>
                      </c:pt>
                      <c:pt idx="19">
                        <c:v>164800</c:v>
                      </c:pt>
                      <c:pt idx="20">
                        <c:v>166300</c:v>
                      </c:pt>
                      <c:pt idx="21">
                        <c:v>167000</c:v>
                      </c:pt>
                      <c:pt idx="22">
                        <c:v>167000</c:v>
                      </c:pt>
                      <c:pt idx="23">
                        <c:v>167000</c:v>
                      </c:pt>
                      <c:pt idx="24">
                        <c:v>167000</c:v>
                      </c:pt>
                      <c:pt idx="25">
                        <c:v>167000</c:v>
                      </c:pt>
                      <c:pt idx="26">
                        <c:v>167000</c:v>
                      </c:pt>
                      <c:pt idx="27">
                        <c:v>167000</c:v>
                      </c:pt>
                      <c:pt idx="28">
                        <c:v>167000</c:v>
                      </c:pt>
                      <c:pt idx="29">
                        <c:v>167000</c:v>
                      </c:pt>
                      <c:pt idx="30">
                        <c:v>167000</c:v>
                      </c:pt>
                      <c:pt idx="31">
                        <c:v>167000</c:v>
                      </c:pt>
                      <c:pt idx="32">
                        <c:v>167000</c:v>
                      </c:pt>
                      <c:pt idx="33">
                        <c:v>167000</c:v>
                      </c:pt>
                      <c:pt idx="34">
                        <c:v>167000</c:v>
                      </c:pt>
                      <c:pt idx="35">
                        <c:v>167000</c:v>
                      </c:pt>
                      <c:pt idx="36">
                        <c:v>167000</c:v>
                      </c:pt>
                      <c:pt idx="37">
                        <c:v>167000</c:v>
                      </c:pt>
                      <c:pt idx="38">
                        <c:v>167000</c:v>
                      </c:pt>
                      <c:pt idx="39">
                        <c:v>167000</c:v>
                      </c:pt>
                      <c:pt idx="40">
                        <c:v>167000</c:v>
                      </c:pt>
                      <c:pt idx="41">
                        <c:v>167000</c:v>
                      </c:pt>
                      <c:pt idx="42">
                        <c:v>167000</c:v>
                      </c:pt>
                      <c:pt idx="43">
                        <c:v>167000</c:v>
                      </c:pt>
                      <c:pt idx="44">
                        <c:v>167000</c:v>
                      </c:pt>
                      <c:pt idx="45">
                        <c:v>167000</c:v>
                      </c:pt>
                      <c:pt idx="46">
                        <c:v>167000</c:v>
                      </c:pt>
                      <c:pt idx="47">
                        <c:v>167000</c:v>
                      </c:pt>
                      <c:pt idx="48">
                        <c:v>167000</c:v>
                      </c:pt>
                      <c:pt idx="49">
                        <c:v>167000</c:v>
                      </c:pt>
                      <c:pt idx="50">
                        <c:v>167000</c:v>
                      </c:pt>
                      <c:pt idx="51">
                        <c:v>167000</c:v>
                      </c:pt>
                      <c:pt idx="52">
                        <c:v>167000</c:v>
                      </c:pt>
                      <c:pt idx="53">
                        <c:v>167000</c:v>
                      </c:pt>
                      <c:pt idx="54">
                        <c:v>167000</c:v>
                      </c:pt>
                      <c:pt idx="55">
                        <c:v>167000</c:v>
                      </c:pt>
                      <c:pt idx="56">
                        <c:v>167000</c:v>
                      </c:pt>
                      <c:pt idx="57">
                        <c:v>167000</c:v>
                      </c:pt>
                      <c:pt idx="58">
                        <c:v>167000</c:v>
                      </c:pt>
                      <c:pt idx="59">
                        <c:v>167000</c:v>
                      </c:pt>
                      <c:pt idx="60">
                        <c:v>167000</c:v>
                      </c:pt>
                    </c:numCache>
                  </c:numRef>
                </c:val>
                <c:extLst xmlns:c15="http://schemas.microsoft.com/office/drawing/2012/chart">
                  <c:ext xmlns:c16="http://schemas.microsoft.com/office/drawing/2014/chart" uri="{C3380CC4-5D6E-409C-BE32-E72D297353CC}">
                    <c16:uniqueId val="{0000000D-3B16-45B8-89BE-5AE640BDA9C0}"/>
                  </c:ext>
                </c:extLst>
              </c15:ser>
            </c15:filteredAreaSeries>
            <c15:filteredAreaSeries>
              <c15:ser>
                <c:idx val="14"/>
                <c:order val="12"/>
                <c:tx>
                  <c:strRef>
                    <c:extLst xmlns:c15="http://schemas.microsoft.com/office/drawing/2012/chart">
                      <c:ext xmlns:c15="http://schemas.microsoft.com/office/drawing/2012/chart" uri="{02D57815-91ED-43cb-92C2-25804820EDAC}">
                        <c15:formulaRef>
                          <c15:sqref>'Activity data'!$D$17:$F$17</c15:sqref>
                        </c15:formulaRef>
                      </c:ext>
                    </c:extLst>
                    <c:strCache>
                      <c:ptCount val="3"/>
                      <c:pt idx="0">
                        <c:v>Commercial</c:v>
                      </c:pt>
                      <c:pt idx="1">
                        <c:v>Population</c:v>
                      </c:pt>
                      <c:pt idx="2">
                        <c:v>Head</c:v>
                      </c:pt>
                    </c:strCache>
                  </c:strRef>
                </c:tx>
                <c:spPr>
                  <a:solidFill>
                    <a:schemeClr val="accent3">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data'!$H$17:$BP$17</c15:sqref>
                        </c15:formulaRef>
                      </c:ext>
                    </c:extLst>
                    <c:numCache>
                      <c:formatCode>#,##0</c:formatCode>
                      <c:ptCount val="61"/>
                      <c:pt idx="0">
                        <c:v>1524000</c:v>
                      </c:pt>
                      <c:pt idx="1">
                        <c:v>1665000</c:v>
                      </c:pt>
                      <c:pt idx="2">
                        <c:v>1654000</c:v>
                      </c:pt>
                      <c:pt idx="3">
                        <c:v>1653000</c:v>
                      </c:pt>
                      <c:pt idx="4">
                        <c:v>1570000</c:v>
                      </c:pt>
                      <c:pt idx="5">
                        <c:v>1585000</c:v>
                      </c:pt>
                      <c:pt idx="6">
                        <c:v>1707000</c:v>
                      </c:pt>
                      <c:pt idx="7">
                        <c:v>1699000</c:v>
                      </c:pt>
                      <c:pt idx="8">
                        <c:v>1736000</c:v>
                      </c:pt>
                      <c:pt idx="9">
                        <c:v>1780000</c:v>
                      </c:pt>
                      <c:pt idx="10">
                        <c:v>1647000</c:v>
                      </c:pt>
                      <c:pt idx="11">
                        <c:v>1678000</c:v>
                      </c:pt>
                      <c:pt idx="12">
                        <c:v>1710000</c:v>
                      </c:pt>
                      <c:pt idx="13">
                        <c:v>1663000</c:v>
                      </c:pt>
                      <c:pt idx="14">
                        <c:v>1663000</c:v>
                      </c:pt>
                      <c:pt idx="15">
                        <c:v>1651000</c:v>
                      </c:pt>
                      <c:pt idx="16">
                        <c:v>1622000</c:v>
                      </c:pt>
                      <c:pt idx="17">
                        <c:v>1651000</c:v>
                      </c:pt>
                      <c:pt idx="18">
                        <c:v>1615000</c:v>
                      </c:pt>
                      <c:pt idx="19">
                        <c:v>1613000</c:v>
                      </c:pt>
                      <c:pt idx="20">
                        <c:v>1594000</c:v>
                      </c:pt>
                      <c:pt idx="21">
                        <c:v>1584000</c:v>
                      </c:pt>
                      <c:pt idx="22">
                        <c:v>1663967.1747437194</c:v>
                      </c:pt>
                      <c:pt idx="23">
                        <c:v>1663903.2514588479</c:v>
                      </c:pt>
                      <c:pt idx="24">
                        <c:v>1648256.1939797602</c:v>
                      </c:pt>
                      <c:pt idx="25">
                        <c:v>1620770.629628229</c:v>
                      </c:pt>
                      <c:pt idx="26">
                        <c:v>1586461.2372104044</c:v>
                      </c:pt>
                      <c:pt idx="27">
                        <c:v>1559244.9293810863</c:v>
                      </c:pt>
                      <c:pt idx="28">
                        <c:v>1536595.9076553709</c:v>
                      </c:pt>
                      <c:pt idx="29">
                        <c:v>1514086.8621358422</c:v>
                      </c:pt>
                      <c:pt idx="30">
                        <c:v>1319324.7567145489</c:v>
                      </c:pt>
                      <c:pt idx="31">
                        <c:v>1321514.7806758687</c:v>
                      </c:pt>
                      <c:pt idx="32">
                        <c:v>1324236.4804281357</c:v>
                      </c:pt>
                      <c:pt idx="33">
                        <c:v>1330839.3856870632</c:v>
                      </c:pt>
                      <c:pt idx="34">
                        <c:v>1339648.3641683741</c:v>
                      </c:pt>
                      <c:pt idx="35">
                        <c:v>1347592.7411156476</c:v>
                      </c:pt>
                      <c:pt idx="36">
                        <c:v>1360852.007780117</c:v>
                      </c:pt>
                      <c:pt idx="37">
                        <c:v>1375091.3066261373</c:v>
                      </c:pt>
                      <c:pt idx="38">
                        <c:v>1391049.6599332853</c:v>
                      </c:pt>
                      <c:pt idx="39">
                        <c:v>1407728.3078528345</c:v>
                      </c:pt>
                      <c:pt idx="40">
                        <c:v>1416644.6477437436</c:v>
                      </c:pt>
                      <c:pt idx="41">
                        <c:v>1434821.9791126575</c:v>
                      </c:pt>
                      <c:pt idx="42">
                        <c:v>1453152.4868887963</c:v>
                      </c:pt>
                      <c:pt idx="43">
                        <c:v>1471905.0087865861</c:v>
                      </c:pt>
                      <c:pt idx="44">
                        <c:v>1487851.0929154807</c:v>
                      </c:pt>
                      <c:pt idx="45">
                        <c:v>1505495.485546119</c:v>
                      </c:pt>
                      <c:pt idx="46">
                        <c:v>1524793.3240346494</c:v>
                      </c:pt>
                      <c:pt idx="47">
                        <c:v>1544822.1766602711</c:v>
                      </c:pt>
                      <c:pt idx="48">
                        <c:v>1563356.1256976028</c:v>
                      </c:pt>
                      <c:pt idx="49">
                        <c:v>1582582.9310882716</c:v>
                      </c:pt>
                      <c:pt idx="50">
                        <c:v>1603723.2670840959</c:v>
                      </c:pt>
                      <c:pt idx="51">
                        <c:v>1626078.875940989</c:v>
                      </c:pt>
                      <c:pt idx="52">
                        <c:v>1649385.5203215701</c:v>
                      </c:pt>
                      <c:pt idx="53">
                        <c:v>1673654.0674663081</c:v>
                      </c:pt>
                      <c:pt idx="54">
                        <c:v>1698825.1334456019</c:v>
                      </c:pt>
                      <c:pt idx="55">
                        <c:v>1725301.1435000452</c:v>
                      </c:pt>
                      <c:pt idx="56">
                        <c:v>1747271.255313253</c:v>
                      </c:pt>
                      <c:pt idx="57">
                        <c:v>1770310.5506276269</c:v>
                      </c:pt>
                      <c:pt idx="58">
                        <c:v>1794759.9170893494</c:v>
                      </c:pt>
                      <c:pt idx="59">
                        <c:v>1820740.8246877901</c:v>
                      </c:pt>
                      <c:pt idx="60">
                        <c:v>1849421.4072375568</c:v>
                      </c:pt>
                    </c:numCache>
                  </c:numRef>
                </c:val>
                <c:extLst xmlns:c15="http://schemas.microsoft.com/office/drawing/2012/chart">
                  <c:ext xmlns:c16="http://schemas.microsoft.com/office/drawing/2014/chart" uri="{C3380CC4-5D6E-409C-BE32-E72D297353CC}">
                    <c16:uniqueId val="{0000000E-3B16-45B8-89BE-5AE640BDA9C0}"/>
                  </c:ext>
                </c:extLst>
              </c15:ser>
            </c15:filteredAreaSeries>
            <c15:filteredAreaSeries>
              <c15:ser>
                <c:idx val="15"/>
                <c:order val="13"/>
                <c:tx>
                  <c:strRef>
                    <c:extLst xmlns:c15="http://schemas.microsoft.com/office/drawing/2012/chart">
                      <c:ext xmlns:c15="http://schemas.microsoft.com/office/drawing/2012/chart" uri="{02D57815-91ED-43cb-92C2-25804820EDAC}">
                        <c15:formulaRef>
                          <c15:sqref>'Activity data'!$D$18:$F$18</c15:sqref>
                        </c15:formulaRef>
                      </c:ext>
                    </c:extLst>
                    <c:strCache>
                      <c:ptCount val="3"/>
                      <c:pt idx="0">
                        <c:v>Subsistence</c:v>
                      </c:pt>
                      <c:pt idx="1">
                        <c:v>Population</c:v>
                      </c:pt>
                      <c:pt idx="2">
                        <c:v>Head</c:v>
                      </c:pt>
                    </c:strCache>
                  </c:strRef>
                </c:tx>
                <c:spPr>
                  <a:solidFill>
                    <a:schemeClr val="accent4">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data'!$H$18:$BP$18</c15:sqref>
                        </c15:formulaRef>
                      </c:ext>
                    </c:extLst>
                    <c:numCache>
                      <c:formatCode>#,##0</c:formatCode>
                      <c:ptCount val="61"/>
                      <c:pt idx="0">
                        <c:v>199009.99166888703</c:v>
                      </c:pt>
                      <c:pt idx="1">
                        <c:v>217422.33341778014</c:v>
                      </c:pt>
                      <c:pt idx="2">
                        <c:v>215985.90959339839</c:v>
                      </c:pt>
                      <c:pt idx="3">
                        <c:v>215855.3256093637</c:v>
                      </c:pt>
                      <c:pt idx="4">
                        <c:v>205016.85493448336</c:v>
                      </c:pt>
                      <c:pt idx="5">
                        <c:v>206975.6146950039</c:v>
                      </c:pt>
                      <c:pt idx="6">
                        <c:v>222906.86074723766</c:v>
                      </c:pt>
                      <c:pt idx="7">
                        <c:v>221862.18887496003</c:v>
                      </c:pt>
                      <c:pt idx="8">
                        <c:v>226693.79628424402</c:v>
                      </c:pt>
                      <c:pt idx="9">
                        <c:v>232439.49158177094</c:v>
                      </c:pt>
                      <c:pt idx="10">
                        <c:v>215071.82170515548</c:v>
                      </c:pt>
                      <c:pt idx="11">
                        <c:v>219119.92521023127</c:v>
                      </c:pt>
                      <c:pt idx="12">
                        <c:v>223298.61269934176</c:v>
                      </c:pt>
                      <c:pt idx="13">
                        <c:v>217161.16544971074</c:v>
                      </c:pt>
                      <c:pt idx="14">
                        <c:v>217161.16544971074</c:v>
                      </c:pt>
                      <c:pt idx="15">
                        <c:v>215594.1576412943</c:v>
                      </c:pt>
                      <c:pt idx="16">
                        <c:v>211807.22210428791</c:v>
                      </c:pt>
                      <c:pt idx="17">
                        <c:v>215594.1576412943</c:v>
                      </c:pt>
                      <c:pt idx="18">
                        <c:v>210893.134216045</c:v>
                      </c:pt>
                      <c:pt idx="19">
                        <c:v>210631.96624797559</c:v>
                      </c:pt>
                      <c:pt idx="20">
                        <c:v>208150.87055131624</c:v>
                      </c:pt>
                      <c:pt idx="21">
                        <c:v>206845.03071096921</c:v>
                      </c:pt>
                      <c:pt idx="22">
                        <c:v>226904.61473777989</c:v>
                      </c:pt>
                      <c:pt idx="23">
                        <c:v>226895.89792620653</c:v>
                      </c:pt>
                      <c:pt idx="24">
                        <c:v>224762.20826996729</c:v>
                      </c:pt>
                      <c:pt idx="25">
                        <c:v>221014.17676748574</c:v>
                      </c:pt>
                      <c:pt idx="26">
                        <c:v>216335.62325596422</c:v>
                      </c:pt>
                      <c:pt idx="27">
                        <c:v>212624.3085519663</c:v>
                      </c:pt>
                      <c:pt idx="28">
                        <c:v>209535.80558936874</c:v>
                      </c:pt>
                      <c:pt idx="29">
                        <c:v>206466.39029125121</c:v>
                      </c:pt>
                      <c:pt idx="30">
                        <c:v>179907.92137016574</c:v>
                      </c:pt>
                      <c:pt idx="31">
                        <c:v>180206.56100125483</c:v>
                      </c:pt>
                      <c:pt idx="32">
                        <c:v>180577.70187656395</c:v>
                      </c:pt>
                      <c:pt idx="33">
                        <c:v>181478.0980482359</c:v>
                      </c:pt>
                      <c:pt idx="34">
                        <c:v>182679.32238659647</c:v>
                      </c:pt>
                      <c:pt idx="35">
                        <c:v>183762.64651577012</c:v>
                      </c:pt>
                      <c:pt idx="36">
                        <c:v>185570.72833365231</c:v>
                      </c:pt>
                      <c:pt idx="37">
                        <c:v>187512.45090356417</c:v>
                      </c:pt>
                      <c:pt idx="38">
                        <c:v>189688.58999090252</c:v>
                      </c:pt>
                      <c:pt idx="39">
                        <c:v>191962.95107084108</c:v>
                      </c:pt>
                      <c:pt idx="40">
                        <c:v>193178.8156014196</c:v>
                      </c:pt>
                      <c:pt idx="41">
                        <c:v>195657.54260627148</c:v>
                      </c:pt>
                      <c:pt idx="42">
                        <c:v>198157.15730301765</c:v>
                      </c:pt>
                      <c:pt idx="43">
                        <c:v>200714.319379989</c:v>
                      </c:pt>
                      <c:pt idx="44">
                        <c:v>202888.78539756555</c:v>
                      </c:pt>
                      <c:pt idx="45">
                        <c:v>205294.83893810713</c:v>
                      </c:pt>
                      <c:pt idx="46">
                        <c:v>207926.36236836127</c:v>
                      </c:pt>
                      <c:pt idx="47">
                        <c:v>210657.56954458242</c:v>
                      </c:pt>
                      <c:pt idx="48">
                        <c:v>213184.92623149126</c:v>
                      </c:pt>
                      <c:pt idx="49">
                        <c:v>215806.76333021885</c:v>
                      </c:pt>
                      <c:pt idx="50">
                        <c:v>218689.53642055852</c:v>
                      </c:pt>
                      <c:pt idx="51">
                        <c:v>221738.02853740758</c:v>
                      </c:pt>
                      <c:pt idx="52">
                        <c:v>224916.20731657773</c:v>
                      </c:pt>
                      <c:pt idx="53">
                        <c:v>228225.55465449655</c:v>
                      </c:pt>
                      <c:pt idx="54">
                        <c:v>231657.97274258206</c:v>
                      </c:pt>
                      <c:pt idx="55">
                        <c:v>235268.33775000615</c:v>
                      </c:pt>
                      <c:pt idx="56">
                        <c:v>238264.26208817086</c:v>
                      </c:pt>
                      <c:pt idx="57">
                        <c:v>241405.98417649459</c:v>
                      </c:pt>
                      <c:pt idx="58">
                        <c:v>244739.98869400218</c:v>
                      </c:pt>
                      <c:pt idx="59">
                        <c:v>248282.83973015318</c:v>
                      </c:pt>
                      <c:pt idx="60">
                        <c:v>252193.82825966683</c:v>
                      </c:pt>
                    </c:numCache>
                  </c:numRef>
                </c:val>
                <c:extLst xmlns:c15="http://schemas.microsoft.com/office/drawing/2012/chart">
                  <c:ext xmlns:c16="http://schemas.microsoft.com/office/drawing/2014/chart" uri="{C3380CC4-5D6E-409C-BE32-E72D297353CC}">
                    <c16:uniqueId val="{0000000F-3B16-45B8-89BE-5AE640BDA9C0}"/>
                  </c:ext>
                </c:extLst>
              </c15:ser>
            </c15:filteredAreaSeries>
            <c15:filteredAreaSeries>
              <c15:ser>
                <c:idx val="16"/>
                <c:order val="14"/>
                <c:tx>
                  <c:strRef>
                    <c:extLst xmlns:c15="http://schemas.microsoft.com/office/drawing/2012/chart">
                      <c:ext xmlns:c15="http://schemas.microsoft.com/office/drawing/2012/chart" uri="{02D57815-91ED-43cb-92C2-25804820EDAC}">
                        <c15:formulaRef>
                          <c15:sqref>'Activity data'!$D$19:$F$19</c15:sqref>
                        </c15:formulaRef>
                      </c:ext>
                    </c:extLst>
                    <c:strCache>
                      <c:ptCount val="3"/>
                      <c:pt idx="0">
                        <c:v>Commercial layers</c:v>
                      </c:pt>
                      <c:pt idx="1">
                        <c:v>Population</c:v>
                      </c:pt>
                      <c:pt idx="2">
                        <c:v>Head</c:v>
                      </c:pt>
                    </c:strCache>
                  </c:strRef>
                </c:tx>
                <c:spPr>
                  <a:solidFill>
                    <a:schemeClr val="accent5">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data'!$H$19:$BP$19</c15:sqref>
                        </c15:formulaRef>
                      </c:ext>
                    </c:extLst>
                    <c:numCache>
                      <c:formatCode>#,##0</c:formatCode>
                      <c:ptCount val="61"/>
                      <c:pt idx="0">
                        <c:v>14643674.931267885</c:v>
                      </c:pt>
                      <c:pt idx="1">
                        <c:v>14226110.812328145</c:v>
                      </c:pt>
                      <c:pt idx="2">
                        <c:v>13492476.52712371</c:v>
                      </c:pt>
                      <c:pt idx="3">
                        <c:v>13280331.082668224</c:v>
                      </c:pt>
                      <c:pt idx="4">
                        <c:v>12702684.496371185</c:v>
                      </c:pt>
                      <c:pt idx="5">
                        <c:v>13860209.809151115</c:v>
                      </c:pt>
                      <c:pt idx="6">
                        <c:v>14640611.562802857</c:v>
                      </c:pt>
                      <c:pt idx="7">
                        <c:v>14688755.298092401</c:v>
                      </c:pt>
                      <c:pt idx="8">
                        <c:v>16538299.007411262</c:v>
                      </c:pt>
                      <c:pt idx="9">
                        <c:v>17730716.13950536</c:v>
                      </c:pt>
                      <c:pt idx="10">
                        <c:v>17355030.714458548</c:v>
                      </c:pt>
                      <c:pt idx="11">
                        <c:v>17818001.024886843</c:v>
                      </c:pt>
                      <c:pt idx="12">
                        <c:v>17678155.288284503</c:v>
                      </c:pt>
                      <c:pt idx="13">
                        <c:v>16972399.104253348</c:v>
                      </c:pt>
                      <c:pt idx="14">
                        <c:v>17587835.89054852</c:v>
                      </c:pt>
                      <c:pt idx="15">
                        <c:v>18648391.6209228</c:v>
                      </c:pt>
                      <c:pt idx="16">
                        <c:v>20580691.805783488</c:v>
                      </c:pt>
                      <c:pt idx="17">
                        <c:v>22776081.657241259</c:v>
                      </c:pt>
                      <c:pt idx="18">
                        <c:v>23076039.863330547</c:v>
                      </c:pt>
                      <c:pt idx="19">
                        <c:v>22225308.649488669</c:v>
                      </c:pt>
                      <c:pt idx="20">
                        <c:v>23091061.215630483</c:v>
                      </c:pt>
                      <c:pt idx="21">
                        <c:v>24156882.687047753</c:v>
                      </c:pt>
                      <c:pt idx="22">
                        <c:v>23738105.446203627</c:v>
                      </c:pt>
                      <c:pt idx="23">
                        <c:v>24294485.875165734</c:v>
                      </c:pt>
                      <c:pt idx="24">
                        <c:v>24724345.113816928</c:v>
                      </c:pt>
                      <c:pt idx="25">
                        <c:v>25050261.108625785</c:v>
                      </c:pt>
                      <c:pt idx="26">
                        <c:v>25309397.889475603</c:v>
                      </c:pt>
                      <c:pt idx="27">
                        <c:v>25623998.737484705</c:v>
                      </c:pt>
                      <c:pt idx="28">
                        <c:v>25971316.160231061</c:v>
                      </c:pt>
                      <c:pt idx="29">
                        <c:v>26313384.03519493</c:v>
                      </c:pt>
                      <c:pt idx="30">
                        <c:v>24972843.87591761</c:v>
                      </c:pt>
                      <c:pt idx="31">
                        <c:v>25471789.698040009</c:v>
                      </c:pt>
                      <c:pt idx="32">
                        <c:v>25968137.66574299</c:v>
                      </c:pt>
                      <c:pt idx="33">
                        <c:v>26496966.291208543</c:v>
                      </c:pt>
                      <c:pt idx="34">
                        <c:v>27051211.297945641</c:v>
                      </c:pt>
                      <c:pt idx="35">
                        <c:v>27599128.521845028</c:v>
                      </c:pt>
                      <c:pt idx="36">
                        <c:v>28208921.314263199</c:v>
                      </c:pt>
                      <c:pt idx="37">
                        <c:v>28835277.662537381</c:v>
                      </c:pt>
                      <c:pt idx="38">
                        <c:v>29487618.29602908</c:v>
                      </c:pt>
                      <c:pt idx="39">
                        <c:v>30156573.162110712</c:v>
                      </c:pt>
                      <c:pt idx="40">
                        <c:v>30740523.601076107</c:v>
                      </c:pt>
                      <c:pt idx="41">
                        <c:v>31443592.672923572</c:v>
                      </c:pt>
                      <c:pt idx="42">
                        <c:v>32158439.685173318</c:v>
                      </c:pt>
                      <c:pt idx="43">
                        <c:v>32888882.803879958</c:v>
                      </c:pt>
                      <c:pt idx="44">
                        <c:v>33593654.473819859</c:v>
                      </c:pt>
                      <c:pt idx="45">
                        <c:v>34330881.27703774</c:v>
                      </c:pt>
                      <c:pt idx="46">
                        <c:v>35101553.670108706</c:v>
                      </c:pt>
                      <c:pt idx="47">
                        <c:v>35894520.227138154</c:v>
                      </c:pt>
                      <c:pt idx="48">
                        <c:v>36679321.374250278</c:v>
                      </c:pt>
                      <c:pt idx="49">
                        <c:v>37486878.933489829</c:v>
                      </c:pt>
                      <c:pt idx="50">
                        <c:v>38336004.850093313</c:v>
                      </c:pt>
                      <c:pt idx="51">
                        <c:v>39218269.038926423</c:v>
                      </c:pt>
                      <c:pt idx="52">
                        <c:v>40131119.26120273</c:v>
                      </c:pt>
                      <c:pt idx="53">
                        <c:v>41076012.966131739</c:v>
                      </c:pt>
                      <c:pt idx="54">
                        <c:v>42053373.333156817</c:v>
                      </c:pt>
                      <c:pt idx="55">
                        <c:v>43071009.5253148</c:v>
                      </c:pt>
                      <c:pt idx="56">
                        <c:v>44035602.085458778</c:v>
                      </c:pt>
                      <c:pt idx="57">
                        <c:v>45036599.377814703</c:v>
                      </c:pt>
                      <c:pt idx="58">
                        <c:v>46081374.230523288</c:v>
                      </c:pt>
                      <c:pt idx="59">
                        <c:v>47173951.095084533</c:v>
                      </c:pt>
                      <c:pt idx="60">
                        <c:v>48337058.179255992</c:v>
                      </c:pt>
                    </c:numCache>
                  </c:numRef>
                </c:val>
                <c:extLst xmlns:c15="http://schemas.microsoft.com/office/drawing/2012/chart">
                  <c:ext xmlns:c16="http://schemas.microsoft.com/office/drawing/2014/chart" uri="{C3380CC4-5D6E-409C-BE32-E72D297353CC}">
                    <c16:uniqueId val="{00000010-3B16-45B8-89BE-5AE640BDA9C0}"/>
                  </c:ext>
                </c:extLst>
              </c15:ser>
            </c15:filteredAreaSeries>
            <c15:filteredAreaSeries>
              <c15:ser>
                <c:idx val="17"/>
                <c:order val="15"/>
                <c:tx>
                  <c:strRef>
                    <c:extLst xmlns:c15="http://schemas.microsoft.com/office/drawing/2012/chart">
                      <c:ext xmlns:c15="http://schemas.microsoft.com/office/drawing/2012/chart" uri="{02D57815-91ED-43cb-92C2-25804820EDAC}">
                        <c15:formulaRef>
                          <c15:sqref>'Activity data'!$D$20:$F$20</c15:sqref>
                        </c15:formulaRef>
                      </c:ext>
                    </c:extLst>
                    <c:strCache>
                      <c:ptCount val="3"/>
                      <c:pt idx="0">
                        <c:v>Commercial broilers</c:v>
                      </c:pt>
                      <c:pt idx="1">
                        <c:v>Population</c:v>
                      </c:pt>
                      <c:pt idx="2">
                        <c:v>Head</c:v>
                      </c:pt>
                    </c:strCache>
                  </c:strRef>
                </c:tx>
                <c:spPr>
                  <a:solidFill>
                    <a:schemeClr val="accent6">
                      <a:lumMod val="80000"/>
                      <a:lumOff val="2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data'!$H$20:$BP$20</c15:sqref>
                        </c15:formulaRef>
                      </c:ext>
                    </c:extLst>
                    <c:numCache>
                      <c:formatCode>#,##0</c:formatCode>
                      <c:ptCount val="61"/>
                      <c:pt idx="0">
                        <c:v>40304488.125775687</c:v>
                      </c:pt>
                      <c:pt idx="1">
                        <c:v>37886218.887128815</c:v>
                      </c:pt>
                      <c:pt idx="2">
                        <c:v>35805187.036307976</c:v>
                      </c:pt>
                      <c:pt idx="3">
                        <c:v>40268107.368938237</c:v>
                      </c:pt>
                      <c:pt idx="4">
                        <c:v>39890443.299430735</c:v>
                      </c:pt>
                      <c:pt idx="5">
                        <c:v>45660443.796231762</c:v>
                      </c:pt>
                      <c:pt idx="6">
                        <c:v>53091326.838711366</c:v>
                      </c:pt>
                      <c:pt idx="7">
                        <c:v>54040901.985378392</c:v>
                      </c:pt>
                      <c:pt idx="8">
                        <c:v>59214394.697576575</c:v>
                      </c:pt>
                      <c:pt idx="9">
                        <c:v>61819163.842046939</c:v>
                      </c:pt>
                      <c:pt idx="10">
                        <c:v>66512864.907880791</c:v>
                      </c:pt>
                      <c:pt idx="11">
                        <c:v>64225159.968942329</c:v>
                      </c:pt>
                      <c:pt idx="12">
                        <c:v>71182309.580183759</c:v>
                      </c:pt>
                      <c:pt idx="13">
                        <c:v>67705122.244331256</c:v>
                      </c:pt>
                      <c:pt idx="14">
                        <c:v>69339582.95804137</c:v>
                      </c:pt>
                      <c:pt idx="15">
                        <c:v>76722494.212373629</c:v>
                      </c:pt>
                      <c:pt idx="16">
                        <c:v>82061878.307196394</c:v>
                      </c:pt>
                      <c:pt idx="17">
                        <c:v>85859218.536646262</c:v>
                      </c:pt>
                      <c:pt idx="18">
                        <c:v>91416754.470852047</c:v>
                      </c:pt>
                      <c:pt idx="19">
                        <c:v>86261715.79298</c:v>
                      </c:pt>
                      <c:pt idx="20">
                        <c:v>88431266.728296682</c:v>
                      </c:pt>
                      <c:pt idx="21">
                        <c:v>91461113.859690607</c:v>
                      </c:pt>
                      <c:pt idx="22">
                        <c:v>94735374.647455543</c:v>
                      </c:pt>
                      <c:pt idx="23">
                        <c:v>96713123.838980854</c:v>
                      </c:pt>
                      <c:pt idx="24">
                        <c:v>97323279.603248179</c:v>
                      </c:pt>
                      <c:pt idx="25">
                        <c:v>96834139.775411025</c:v>
                      </c:pt>
                      <c:pt idx="26">
                        <c:v>95642117.652288869</c:v>
                      </c:pt>
                      <c:pt idx="27">
                        <c:v>94951048.481715515</c:v>
                      </c:pt>
                      <c:pt idx="28">
                        <c:v>94582925.11230357</c:v>
                      </c:pt>
                      <c:pt idx="29">
                        <c:v>94155595.103140652</c:v>
                      </c:pt>
                      <c:pt idx="30">
                        <c:v>77861288.111331731</c:v>
                      </c:pt>
                      <c:pt idx="31">
                        <c:v>79511552.457533404</c:v>
                      </c:pt>
                      <c:pt idx="32">
                        <c:v>81253049.076920778</c:v>
                      </c:pt>
                      <c:pt idx="33">
                        <c:v>83410260.197388381</c:v>
                      </c:pt>
                      <c:pt idx="34">
                        <c:v>85810789.395515233</c:v>
                      </c:pt>
                      <c:pt idx="35">
                        <c:v>88164328.170320511</c:v>
                      </c:pt>
                      <c:pt idx="36">
                        <c:v>91083280.818024933</c:v>
                      </c:pt>
                      <c:pt idx="37">
                        <c:v>94154316.25217171</c:v>
                      </c:pt>
                      <c:pt idx="38">
                        <c:v>97458740.9843674</c:v>
                      </c:pt>
                      <c:pt idx="39">
                        <c:v>100899133.71012914</c:v>
                      </c:pt>
                      <c:pt idx="40">
                        <c:v>103593977.16198817</c:v>
                      </c:pt>
                      <c:pt idx="41">
                        <c:v>107316390.50296284</c:v>
                      </c:pt>
                      <c:pt idx="42">
                        <c:v>111129423.93429124</c:v>
                      </c:pt>
                      <c:pt idx="43">
                        <c:v>115065220.72292848</c:v>
                      </c:pt>
                      <c:pt idx="44">
                        <c:v>118771951.95186205</c:v>
                      </c:pt>
                      <c:pt idx="45">
                        <c:v>122741899.52979867</c:v>
                      </c:pt>
                      <c:pt idx="46">
                        <c:v>126979530.4548738</c:v>
                      </c:pt>
                      <c:pt idx="47">
                        <c:v>131389046.94921318</c:v>
                      </c:pt>
                      <c:pt idx="48">
                        <c:v>135718754.64770624</c:v>
                      </c:pt>
                      <c:pt idx="49">
                        <c:v>140220033.36130556</c:v>
                      </c:pt>
                      <c:pt idx="50">
                        <c:v>145043464.16075924</c:v>
                      </c:pt>
                      <c:pt idx="51">
                        <c:v>150116627.829117</c:v>
                      </c:pt>
                      <c:pt idx="52">
                        <c:v>155415959.92592019</c:v>
                      </c:pt>
                      <c:pt idx="53">
                        <c:v>160950412.82650921</c:v>
                      </c:pt>
                      <c:pt idx="54">
                        <c:v>166720438.49982879</c:v>
                      </c:pt>
                      <c:pt idx="55">
                        <c:v>172784793.98891759</c:v>
                      </c:pt>
                      <c:pt idx="56">
                        <c:v>178409363.82968283</c:v>
                      </c:pt>
                      <c:pt idx="57">
                        <c:v>184298929.11087543</c:v>
                      </c:pt>
                      <c:pt idx="58">
                        <c:v>190507433.33988291</c:v>
                      </c:pt>
                      <c:pt idx="59">
                        <c:v>197062400.41472313</c:v>
                      </c:pt>
                      <c:pt idx="60">
                        <c:v>204133669.9129785</c:v>
                      </c:pt>
                    </c:numCache>
                  </c:numRef>
                </c:val>
                <c:extLst xmlns:c15="http://schemas.microsoft.com/office/drawing/2012/chart">
                  <c:ext xmlns:c16="http://schemas.microsoft.com/office/drawing/2014/chart" uri="{C3380CC4-5D6E-409C-BE32-E72D297353CC}">
                    <c16:uniqueId val="{00000011-3B16-45B8-89BE-5AE640BDA9C0}"/>
                  </c:ext>
                </c:extLst>
              </c15:ser>
            </c15:filteredAreaSeries>
            <c15:filteredAreaSeries>
              <c15:ser>
                <c:idx val="18"/>
                <c:order val="16"/>
                <c:tx>
                  <c:strRef>
                    <c:extLst xmlns:c15="http://schemas.microsoft.com/office/drawing/2012/chart">
                      <c:ext xmlns:c15="http://schemas.microsoft.com/office/drawing/2012/chart" uri="{02D57815-91ED-43cb-92C2-25804820EDAC}">
                        <c15:formulaRef>
                          <c15:sqref>'Activity data'!$D$21:$F$21</c15:sqref>
                        </c15:formulaRef>
                      </c:ext>
                    </c:extLst>
                    <c:strCache>
                      <c:ptCount val="3"/>
                      <c:pt idx="0">
                        <c:v>Subsistence layers</c:v>
                      </c:pt>
                      <c:pt idx="1">
                        <c:v>Population</c:v>
                      </c:pt>
                      <c:pt idx="2">
                        <c:v>Head</c:v>
                      </c:pt>
                    </c:strCache>
                  </c:strRef>
                </c:tx>
                <c:spPr>
                  <a:solidFill>
                    <a:schemeClr val="accent1">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data'!$H$21:$BP$21</c15:sqref>
                        </c15:formulaRef>
                      </c:ext>
                    </c:extLst>
                    <c:numCache>
                      <c:formatCode>#,##0</c:formatCode>
                      <c:ptCount val="61"/>
                      <c:pt idx="0">
                        <c:v>615034.34711325122</c:v>
                      </c:pt>
                      <c:pt idx="1">
                        <c:v>597496.65411778213</c:v>
                      </c:pt>
                      <c:pt idx="2">
                        <c:v>566684.0141391959</c:v>
                      </c:pt>
                      <c:pt idx="3">
                        <c:v>557773.90547206544</c:v>
                      </c:pt>
                      <c:pt idx="4">
                        <c:v>533512.74884758983</c:v>
                      </c:pt>
                      <c:pt idx="5">
                        <c:v>582128.81198434683</c:v>
                      </c:pt>
                      <c:pt idx="6">
                        <c:v>614905.68563772005</c:v>
                      </c:pt>
                      <c:pt idx="7">
                        <c:v>616927.72251988086</c:v>
                      </c:pt>
                      <c:pt idx="8">
                        <c:v>694608.55831127299</c:v>
                      </c:pt>
                      <c:pt idx="9">
                        <c:v>744690.07785922522</c:v>
                      </c:pt>
                      <c:pt idx="10">
                        <c:v>728911.290007259</c:v>
                      </c:pt>
                      <c:pt idx="11">
                        <c:v>748356.04304524744</c:v>
                      </c:pt>
                      <c:pt idx="12">
                        <c:v>742482.52210794913</c:v>
                      </c:pt>
                      <c:pt idx="13">
                        <c:v>712840.76237864071</c:v>
                      </c:pt>
                      <c:pt idx="14">
                        <c:v>738689.10740303784</c:v>
                      </c:pt>
                      <c:pt idx="15">
                        <c:v>783232.44807875762</c:v>
                      </c:pt>
                      <c:pt idx="16">
                        <c:v>864389.05584290659</c:v>
                      </c:pt>
                      <c:pt idx="17">
                        <c:v>956595.42960413289</c:v>
                      </c:pt>
                      <c:pt idx="18">
                        <c:v>969193.674259883</c:v>
                      </c:pt>
                      <c:pt idx="19">
                        <c:v>933462.96327852411</c:v>
                      </c:pt>
                      <c:pt idx="20">
                        <c:v>969824.57105648029</c:v>
                      </c:pt>
                      <c:pt idx="21">
                        <c:v>1014589.0728560057</c:v>
                      </c:pt>
                      <c:pt idx="22">
                        <c:v>989087.72692515212</c:v>
                      </c:pt>
                      <c:pt idx="23">
                        <c:v>1012270.2447985733</c:v>
                      </c:pt>
                      <c:pt idx="24">
                        <c:v>1030181.0464090396</c:v>
                      </c:pt>
                      <c:pt idx="25">
                        <c:v>1043760.8795260753</c:v>
                      </c:pt>
                      <c:pt idx="26">
                        <c:v>1054558.2453948178</c:v>
                      </c:pt>
                      <c:pt idx="27">
                        <c:v>1067666.6140618636</c:v>
                      </c:pt>
                      <c:pt idx="28">
                        <c:v>1082138.1733429618</c:v>
                      </c:pt>
                      <c:pt idx="29">
                        <c:v>1096391.0014664563</c:v>
                      </c:pt>
                      <c:pt idx="30">
                        <c:v>1040535.161496568</c:v>
                      </c:pt>
                      <c:pt idx="31">
                        <c:v>1061324.570751668</c:v>
                      </c:pt>
                      <c:pt idx="32">
                        <c:v>1082005.7360726255</c:v>
                      </c:pt>
                      <c:pt idx="33">
                        <c:v>1104040.2621336903</c:v>
                      </c:pt>
                      <c:pt idx="34">
                        <c:v>1127133.8040810695</c:v>
                      </c:pt>
                      <c:pt idx="35">
                        <c:v>1149963.6884102107</c:v>
                      </c:pt>
                      <c:pt idx="36">
                        <c:v>1175371.7214276344</c:v>
                      </c:pt>
                      <c:pt idx="37">
                        <c:v>1201469.9026057252</c:v>
                      </c:pt>
                      <c:pt idx="38">
                        <c:v>1228650.7623345463</c:v>
                      </c:pt>
                      <c:pt idx="39">
                        <c:v>1256523.8817546142</c:v>
                      </c:pt>
                      <c:pt idx="40">
                        <c:v>1280855.1500448391</c:v>
                      </c:pt>
                      <c:pt idx="41">
                        <c:v>1310149.6947051501</c:v>
                      </c:pt>
                      <c:pt idx="42">
                        <c:v>1339934.9868822228</c:v>
                      </c:pt>
                      <c:pt idx="43">
                        <c:v>1370370.1168283329</c:v>
                      </c:pt>
                      <c:pt idx="44">
                        <c:v>1399735.6030758289</c:v>
                      </c:pt>
                      <c:pt idx="45">
                        <c:v>1430453.3865432406</c:v>
                      </c:pt>
                      <c:pt idx="46">
                        <c:v>1462564.7362545307</c:v>
                      </c:pt>
                      <c:pt idx="47">
                        <c:v>1495605.0094640912</c:v>
                      </c:pt>
                      <c:pt idx="48">
                        <c:v>1528305.0572604297</c:v>
                      </c:pt>
                      <c:pt idx="49">
                        <c:v>1561953.2888954112</c:v>
                      </c:pt>
                      <c:pt idx="50">
                        <c:v>1597333.5354205563</c:v>
                      </c:pt>
                      <c:pt idx="51">
                        <c:v>1634094.5432886025</c:v>
                      </c:pt>
                      <c:pt idx="52">
                        <c:v>1672129.9692167819</c:v>
                      </c:pt>
                      <c:pt idx="53">
                        <c:v>1711500.5402554909</c:v>
                      </c:pt>
                      <c:pt idx="54">
                        <c:v>1752223.8888815355</c:v>
                      </c:pt>
                      <c:pt idx="55">
                        <c:v>1794625.3968881182</c:v>
                      </c:pt>
                      <c:pt idx="56">
                        <c:v>1834816.753560784</c:v>
                      </c:pt>
                      <c:pt idx="57">
                        <c:v>1876524.9740756145</c:v>
                      </c:pt>
                      <c:pt idx="58">
                        <c:v>1920057.2596051388</c:v>
                      </c:pt>
                      <c:pt idx="59">
                        <c:v>1965581.2956285242</c:v>
                      </c:pt>
                      <c:pt idx="60">
                        <c:v>2014044.0908023349</c:v>
                      </c:pt>
                    </c:numCache>
                  </c:numRef>
                </c:val>
                <c:extLst xmlns:c15="http://schemas.microsoft.com/office/drawing/2012/chart">
                  <c:ext xmlns:c16="http://schemas.microsoft.com/office/drawing/2014/chart" uri="{C3380CC4-5D6E-409C-BE32-E72D297353CC}">
                    <c16:uniqueId val="{00000012-3B16-45B8-89BE-5AE640BDA9C0}"/>
                  </c:ext>
                </c:extLst>
              </c15:ser>
            </c15:filteredAreaSeries>
            <c15:filteredAreaSeries>
              <c15:ser>
                <c:idx val="19"/>
                <c:order val="17"/>
                <c:tx>
                  <c:strRef>
                    <c:extLst xmlns:c15="http://schemas.microsoft.com/office/drawing/2012/chart">
                      <c:ext xmlns:c15="http://schemas.microsoft.com/office/drawing/2012/chart" uri="{02D57815-91ED-43cb-92C2-25804820EDAC}">
                        <c15:formulaRef>
                          <c15:sqref>'Activity data'!$D$22:$F$22</c15:sqref>
                        </c15:formulaRef>
                      </c:ext>
                    </c:extLst>
                    <c:strCache>
                      <c:ptCount val="3"/>
                      <c:pt idx="0">
                        <c:v>Subsistence broilers</c:v>
                      </c:pt>
                      <c:pt idx="1">
                        <c:v>Population</c:v>
                      </c:pt>
                      <c:pt idx="2">
                        <c:v>Head</c:v>
                      </c:pt>
                    </c:strCache>
                  </c:strRef>
                </c:tx>
                <c:spPr>
                  <a:solidFill>
                    <a:schemeClr val="accent2">
                      <a:lumMod val="80000"/>
                    </a:schemeClr>
                  </a:solidFill>
                  <a:ln>
                    <a:noFill/>
                  </a:ln>
                  <a:effectLst/>
                </c:spPr>
                <c:cat>
                  <c:numRef>
                    <c:extLst xmlns:c15="http://schemas.microsoft.com/office/drawing/2012/chart">
                      <c:ext xmlns:c15="http://schemas.microsoft.com/office/drawing/2012/chart" uri="{02D57815-91ED-43cb-92C2-25804820EDAC}">
                        <c15:formulaRef>
                          <c15:sqref>'Activity data'!$H$3:$BP$3</c15:sqref>
                        </c15:formulaRef>
                      </c:ext>
                    </c:extLst>
                    <c:numCache>
                      <c:formatCode>General</c:formatCode>
                      <c:ptCount val="61"/>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pt idx="33">
                        <c:v>2023</c:v>
                      </c:pt>
                      <c:pt idx="34">
                        <c:v>2024</c:v>
                      </c:pt>
                      <c:pt idx="35">
                        <c:v>2025</c:v>
                      </c:pt>
                      <c:pt idx="36">
                        <c:v>2026</c:v>
                      </c:pt>
                      <c:pt idx="37">
                        <c:v>2027</c:v>
                      </c:pt>
                      <c:pt idx="38">
                        <c:v>2028</c:v>
                      </c:pt>
                      <c:pt idx="39">
                        <c:v>2029</c:v>
                      </c:pt>
                      <c:pt idx="40">
                        <c:v>2030</c:v>
                      </c:pt>
                      <c:pt idx="41">
                        <c:v>2031</c:v>
                      </c:pt>
                      <c:pt idx="42">
                        <c:v>2032</c:v>
                      </c:pt>
                      <c:pt idx="43">
                        <c:v>2033</c:v>
                      </c:pt>
                      <c:pt idx="44">
                        <c:v>2034</c:v>
                      </c:pt>
                      <c:pt idx="45">
                        <c:v>2035</c:v>
                      </c:pt>
                      <c:pt idx="46">
                        <c:v>2036</c:v>
                      </c:pt>
                      <c:pt idx="47">
                        <c:v>2037</c:v>
                      </c:pt>
                      <c:pt idx="48">
                        <c:v>2038</c:v>
                      </c:pt>
                      <c:pt idx="49">
                        <c:v>2039</c:v>
                      </c:pt>
                      <c:pt idx="50">
                        <c:v>2040</c:v>
                      </c:pt>
                      <c:pt idx="51">
                        <c:v>2041</c:v>
                      </c:pt>
                      <c:pt idx="52">
                        <c:v>2042</c:v>
                      </c:pt>
                      <c:pt idx="53">
                        <c:v>2043</c:v>
                      </c:pt>
                      <c:pt idx="54">
                        <c:v>2044</c:v>
                      </c:pt>
                      <c:pt idx="55">
                        <c:v>2045</c:v>
                      </c:pt>
                      <c:pt idx="56">
                        <c:v>2046</c:v>
                      </c:pt>
                      <c:pt idx="57">
                        <c:v>2047</c:v>
                      </c:pt>
                      <c:pt idx="58">
                        <c:v>2048</c:v>
                      </c:pt>
                      <c:pt idx="59">
                        <c:v>2049</c:v>
                      </c:pt>
                      <c:pt idx="60">
                        <c:v>2050</c:v>
                      </c:pt>
                    </c:numCache>
                  </c:numRef>
                </c:cat>
                <c:val>
                  <c:numRef>
                    <c:extLst xmlns:c15="http://schemas.microsoft.com/office/drawing/2012/chart">
                      <c:ext xmlns:c15="http://schemas.microsoft.com/office/drawing/2012/chart" uri="{02D57815-91ED-43cb-92C2-25804820EDAC}">
                        <c15:formulaRef>
                          <c15:sqref>'Activity data'!$H$22:$BP$22</c15:sqref>
                        </c15:formulaRef>
                      </c:ext>
                    </c:extLst>
                    <c:numCache>
                      <c:formatCode>#,##0</c:formatCode>
                      <c:ptCount val="61"/>
                      <c:pt idx="0">
                        <c:v>1692788.501282579</c:v>
                      </c:pt>
                      <c:pt idx="1">
                        <c:v>1591221.1932594103</c:v>
                      </c:pt>
                      <c:pt idx="2">
                        <c:v>1503817.8555249351</c:v>
                      </c:pt>
                      <c:pt idx="3">
                        <c:v>1691260.5094954062</c:v>
                      </c:pt>
                      <c:pt idx="4">
                        <c:v>1675398.618576091</c:v>
                      </c:pt>
                      <c:pt idx="5">
                        <c:v>1917738.6394417342</c:v>
                      </c:pt>
                      <c:pt idx="6">
                        <c:v>2229835.7272258773</c:v>
                      </c:pt>
                      <c:pt idx="7">
                        <c:v>2269717.8833858925</c:v>
                      </c:pt>
                      <c:pt idx="8">
                        <c:v>2487004.5772982165</c:v>
                      </c:pt>
                      <c:pt idx="9">
                        <c:v>2596404.8813659716</c:v>
                      </c:pt>
                      <c:pt idx="10">
                        <c:v>2793540.3261309932</c:v>
                      </c:pt>
                      <c:pt idx="11">
                        <c:v>2697456.7186955782</c:v>
                      </c:pt>
                      <c:pt idx="12">
                        <c:v>2989657.0023677181</c:v>
                      </c:pt>
                      <c:pt idx="13">
                        <c:v>2843615.1342619131</c:v>
                      </c:pt>
                      <c:pt idx="14">
                        <c:v>2912262.4842377375</c:v>
                      </c:pt>
                      <c:pt idx="15">
                        <c:v>3222344.7569196927</c:v>
                      </c:pt>
                      <c:pt idx="16">
                        <c:v>3446598.8889022488</c:v>
                      </c:pt>
                      <c:pt idx="17">
                        <c:v>3606087.1785391434</c:v>
                      </c:pt>
                      <c:pt idx="18">
                        <c:v>3839503.687775786</c:v>
                      </c:pt>
                      <c:pt idx="19">
                        <c:v>3622992.06330516</c:v>
                      </c:pt>
                      <c:pt idx="20">
                        <c:v>3714113.2025884609</c:v>
                      </c:pt>
                      <c:pt idx="21">
                        <c:v>3841366.7821070058</c:v>
                      </c:pt>
                      <c:pt idx="22">
                        <c:v>3947307.2769773179</c:v>
                      </c:pt>
                      <c:pt idx="23">
                        <c:v>4029713.4932908728</c:v>
                      </c:pt>
                      <c:pt idx="24">
                        <c:v>4055136.6501353444</c:v>
                      </c:pt>
                      <c:pt idx="25">
                        <c:v>4034755.8239754629</c:v>
                      </c:pt>
                      <c:pt idx="26">
                        <c:v>3985088.2355120396</c:v>
                      </c:pt>
                      <c:pt idx="27">
                        <c:v>3956293.6867381502</c:v>
                      </c:pt>
                      <c:pt idx="28">
                        <c:v>3940955.2130126525</c:v>
                      </c:pt>
                      <c:pt idx="29">
                        <c:v>3923149.7959641973</c:v>
                      </c:pt>
                      <c:pt idx="30">
                        <c:v>3244220.3379721586</c:v>
                      </c:pt>
                      <c:pt idx="31">
                        <c:v>3312981.3523972286</c:v>
                      </c:pt>
                      <c:pt idx="32">
                        <c:v>3385543.7115383693</c:v>
                      </c:pt>
                      <c:pt idx="33">
                        <c:v>3475427.508224519</c:v>
                      </c:pt>
                      <c:pt idx="34">
                        <c:v>3575449.5581464716</c:v>
                      </c:pt>
                      <c:pt idx="35">
                        <c:v>3673513.6737633585</c:v>
                      </c:pt>
                      <c:pt idx="36">
                        <c:v>3795136.700751042</c:v>
                      </c:pt>
                      <c:pt idx="37">
                        <c:v>3923096.510507158</c:v>
                      </c:pt>
                      <c:pt idx="38">
                        <c:v>4060780.8743486451</c:v>
                      </c:pt>
                      <c:pt idx="39">
                        <c:v>4204130.5712553849</c:v>
                      </c:pt>
                      <c:pt idx="40">
                        <c:v>4316415.7150828438</c:v>
                      </c:pt>
                      <c:pt idx="41">
                        <c:v>4471516.2709567891</c:v>
                      </c:pt>
                      <c:pt idx="42">
                        <c:v>4630392.6639288059</c:v>
                      </c:pt>
                      <c:pt idx="43">
                        <c:v>4794384.196788691</c:v>
                      </c:pt>
                      <c:pt idx="44">
                        <c:v>4948831.3313275902</c:v>
                      </c:pt>
                      <c:pt idx="45">
                        <c:v>5114245.813741616</c:v>
                      </c:pt>
                      <c:pt idx="46">
                        <c:v>5290813.7689530803</c:v>
                      </c:pt>
                      <c:pt idx="47">
                        <c:v>5474543.622883887</c:v>
                      </c:pt>
                      <c:pt idx="48">
                        <c:v>5654948.1103210989</c:v>
                      </c:pt>
                      <c:pt idx="49">
                        <c:v>5842501.3900544038</c:v>
                      </c:pt>
                      <c:pt idx="50">
                        <c:v>6043477.6733649736</c:v>
                      </c:pt>
                      <c:pt idx="51">
                        <c:v>6254859.4928798806</c:v>
                      </c:pt>
                      <c:pt idx="52">
                        <c:v>6475664.9969133474</c:v>
                      </c:pt>
                      <c:pt idx="53">
                        <c:v>6706267.2011045562</c:v>
                      </c:pt>
                      <c:pt idx="54">
                        <c:v>6946684.9374928726</c:v>
                      </c:pt>
                      <c:pt idx="55">
                        <c:v>7199366.4162049061</c:v>
                      </c:pt>
                      <c:pt idx="56">
                        <c:v>7433723.4929034589</c:v>
                      </c:pt>
                      <c:pt idx="57">
                        <c:v>7679122.0462864833</c:v>
                      </c:pt>
                      <c:pt idx="58">
                        <c:v>7937809.7224951293</c:v>
                      </c:pt>
                      <c:pt idx="59">
                        <c:v>8210933.3506134711</c:v>
                      </c:pt>
                      <c:pt idx="60">
                        <c:v>8505569.5797074456</c:v>
                      </c:pt>
                    </c:numCache>
                  </c:numRef>
                </c:val>
                <c:extLst xmlns:c15="http://schemas.microsoft.com/office/drawing/2012/chart">
                  <c:ext xmlns:c16="http://schemas.microsoft.com/office/drawing/2014/chart" uri="{C3380CC4-5D6E-409C-BE32-E72D297353CC}">
                    <c16:uniqueId val="{00000013-3B16-45B8-89BE-5AE640BDA9C0}"/>
                  </c:ext>
                </c:extLst>
              </c15:ser>
            </c15:filteredAreaSeries>
          </c:ext>
        </c:extLst>
      </c:areaChart>
      <c:catAx>
        <c:axId val="789136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59823"/>
        <c:crosses val="autoZero"/>
        <c:auto val="1"/>
        <c:lblAlgn val="ctr"/>
        <c:lblOffset val="100"/>
        <c:noMultiLvlLbl val="0"/>
      </c:catAx>
      <c:valAx>
        <c:axId val="7891598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913694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'Emissions summary'!$C$58</c:f>
              <c:strCache>
                <c:ptCount val="1"/>
                <c:pt idx="0">
                  <c:v>Enteric</c:v>
                </c:pt>
              </c:strCache>
            </c:strRef>
          </c:tx>
          <c:spPr>
            <a:solidFill>
              <a:schemeClr val="accent1"/>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summary'!$F$58:$BN$58</c15:sqref>
                  </c15:fullRef>
                </c:ext>
              </c:extLst>
              <c:f>'Emissions summary'!$P$58:$BN$58</c:f>
              <c:numCache>
                <c:formatCode>General</c:formatCode>
                <c:ptCount val="51"/>
                <c:pt idx="0">
                  <c:v>25777.048269375533</c:v>
                </c:pt>
                <c:pt idx="1">
                  <c:v>25591.757983541553</c:v>
                </c:pt>
                <c:pt idx="2">
                  <c:v>25147.122199522513</c:v>
                </c:pt>
                <c:pt idx="3">
                  <c:v>25249.466602835961</c:v>
                </c:pt>
                <c:pt idx="4">
                  <c:v>25051.703011381145</c:v>
                </c:pt>
                <c:pt idx="5">
                  <c:v>25106.486522987332</c:v>
                </c:pt>
                <c:pt idx="6">
                  <c:v>25009.71607093593</c:v>
                </c:pt>
                <c:pt idx="7">
                  <c:v>25554.935614001963</c:v>
                </c:pt>
                <c:pt idx="8">
                  <c:v>25721.077232963253</c:v>
                </c:pt>
                <c:pt idx="9">
                  <c:v>25553.033374236744</c:v>
                </c:pt>
                <c:pt idx="10">
                  <c:v>25338.814721466922</c:v>
                </c:pt>
                <c:pt idx="11">
                  <c:v>25260.558978491663</c:v>
                </c:pt>
                <c:pt idx="12">
                  <c:v>24693.49752552525</c:v>
                </c:pt>
                <c:pt idx="13">
                  <c:v>24689.087303220273</c:v>
                </c:pt>
                <c:pt idx="14">
                  <c:v>24513.23546805626</c:v>
                </c:pt>
                <c:pt idx="15">
                  <c:v>24208.298398205901</c:v>
                </c:pt>
                <c:pt idx="16">
                  <c:v>23829.899931366926</c:v>
                </c:pt>
                <c:pt idx="17">
                  <c:v>23527.820288479015</c:v>
                </c:pt>
                <c:pt idx="18">
                  <c:v>23271.715928271838</c:v>
                </c:pt>
                <c:pt idx="19">
                  <c:v>23014.888960206175</c:v>
                </c:pt>
                <c:pt idx="20">
                  <c:v>20947.938725067022</c:v>
                </c:pt>
                <c:pt idx="21">
                  <c:v>21080.544554574288</c:v>
                </c:pt>
                <c:pt idx="22">
                  <c:v>21211.586509216984</c:v>
                </c:pt>
                <c:pt idx="23">
                  <c:v>21376.777421417493</c:v>
                </c:pt>
                <c:pt idx="24">
                  <c:v>21563.439354012</c:v>
                </c:pt>
                <c:pt idx="25">
                  <c:v>21738.976723876272</c:v>
                </c:pt>
                <c:pt idx="26">
                  <c:v>21969.791764338526</c:v>
                </c:pt>
                <c:pt idx="27">
                  <c:v>22209.757939129675</c:v>
                </c:pt>
                <c:pt idx="28">
                  <c:v>22467.031756619992</c:v>
                </c:pt>
                <c:pt idx="29">
                  <c:v>22731.532964359769</c:v>
                </c:pt>
                <c:pt idx="30">
                  <c:v>22910.726181383092</c:v>
                </c:pt>
                <c:pt idx="31">
                  <c:v>23072.772512864554</c:v>
                </c:pt>
                <c:pt idx="32">
                  <c:v>23230.980000676791</c:v>
                </c:pt>
                <c:pt idx="33">
                  <c:v>23388.173895192114</c:v>
                </c:pt>
                <c:pt idx="34">
                  <c:v>23509.634174536979</c:v>
                </c:pt>
                <c:pt idx="35">
                  <c:v>23643.955612328624</c:v>
                </c:pt>
                <c:pt idx="36">
                  <c:v>23790.37352914031</c:v>
                </c:pt>
                <c:pt idx="37">
                  <c:v>23938.784497845059</c:v>
                </c:pt>
                <c:pt idx="38">
                  <c:v>24065.450055225872</c:v>
                </c:pt>
                <c:pt idx="39">
                  <c:v>24193.70806427324</c:v>
                </c:pt>
                <c:pt idx="40">
                  <c:v>24336.168153773553</c:v>
                </c:pt>
                <c:pt idx="41">
                  <c:v>24557.988216602327</c:v>
                </c:pt>
                <c:pt idx="42">
                  <c:v>24786.69548366142</c:v>
                </c:pt>
                <c:pt idx="43">
                  <c:v>25022.341920130661</c:v>
                </c:pt>
                <c:pt idx="44">
                  <c:v>25264.248057371104</c:v>
                </c:pt>
                <c:pt idx="45">
                  <c:v>25516.541006631382</c:v>
                </c:pt>
                <c:pt idx="46">
                  <c:v>25718.649314485163</c:v>
                </c:pt>
                <c:pt idx="47">
                  <c:v>25928.68425509677</c:v>
                </c:pt>
                <c:pt idx="48">
                  <c:v>26150.108350498809</c:v>
                </c:pt>
                <c:pt idx="49">
                  <c:v>26384.064737541623</c:v>
                </c:pt>
                <c:pt idx="50">
                  <c:v>26642.530755233518</c:v>
                </c:pt>
              </c:numCache>
            </c:numRef>
          </c:val>
          <c:extLst>
            <c:ext xmlns:c16="http://schemas.microsoft.com/office/drawing/2014/chart" uri="{C3380CC4-5D6E-409C-BE32-E72D297353CC}">
              <c16:uniqueId val="{00000000-2D26-4177-8A16-4D1FE8C89A7C}"/>
            </c:ext>
          </c:extLst>
        </c:ser>
        <c:ser>
          <c:idx val="1"/>
          <c:order val="1"/>
          <c:tx>
            <c:strRef>
              <c:f>'Emissions summary'!$C$59</c:f>
              <c:strCache>
                <c:ptCount val="1"/>
                <c:pt idx="0">
                  <c:v>Manure CH4</c:v>
                </c:pt>
              </c:strCache>
            </c:strRef>
          </c:tx>
          <c:spPr>
            <a:solidFill>
              <a:schemeClr val="accent2"/>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summary'!$F$59:$BN$59</c15:sqref>
                  </c15:fullRef>
                </c:ext>
              </c:extLst>
              <c:f>'Emissions summary'!$P$59:$BN$59</c:f>
              <c:numCache>
                <c:formatCode>General</c:formatCode>
                <c:ptCount val="51"/>
                <c:pt idx="0">
                  <c:v>762.23830549258651</c:v>
                </c:pt>
                <c:pt idx="1">
                  <c:v>769.66043942752947</c:v>
                </c:pt>
                <c:pt idx="2">
                  <c:v>755.24670561009475</c:v>
                </c:pt>
                <c:pt idx="3">
                  <c:v>721.45490015224073</c:v>
                </c:pt>
                <c:pt idx="4">
                  <c:v>716.39216959899204</c:v>
                </c:pt>
                <c:pt idx="5">
                  <c:v>729.01852866445677</c:v>
                </c:pt>
                <c:pt idx="6">
                  <c:v>720.39066924724523</c:v>
                </c:pt>
                <c:pt idx="7">
                  <c:v>731.06474952281167</c:v>
                </c:pt>
                <c:pt idx="8">
                  <c:v>761.20306942751586</c:v>
                </c:pt>
                <c:pt idx="9">
                  <c:v>763.02344219117026</c:v>
                </c:pt>
                <c:pt idx="10">
                  <c:v>758.88138838781094</c:v>
                </c:pt>
                <c:pt idx="11">
                  <c:v>751.05641756570367</c:v>
                </c:pt>
                <c:pt idx="12">
                  <c:v>776.6477346637638</c:v>
                </c:pt>
                <c:pt idx="13">
                  <c:v>779.81437714952654</c:v>
                </c:pt>
                <c:pt idx="14">
                  <c:v>776.9301246706134</c:v>
                </c:pt>
                <c:pt idx="15">
                  <c:v>769.3923559422044</c:v>
                </c:pt>
                <c:pt idx="16">
                  <c:v>759.12851181838062</c:v>
                </c:pt>
                <c:pt idx="17">
                  <c:v>751.64482438842413</c:v>
                </c:pt>
                <c:pt idx="18">
                  <c:v>745.9372473420824</c:v>
                </c:pt>
                <c:pt idx="19">
                  <c:v>740.25612412309738</c:v>
                </c:pt>
                <c:pt idx="20">
                  <c:v>665.0762625626104</c:v>
                </c:pt>
                <c:pt idx="21">
                  <c:v>668.77455572988447</c:v>
                </c:pt>
                <c:pt idx="22">
                  <c:v>672.65673337500732</c:v>
                </c:pt>
                <c:pt idx="23">
                  <c:v>678.09246919820669</c:v>
                </c:pt>
                <c:pt idx="24">
                  <c:v>684.46780661334913</c:v>
                </c:pt>
                <c:pt idx="25">
                  <c:v>690.52917755336614</c:v>
                </c:pt>
                <c:pt idx="26">
                  <c:v>698.82996847148604</c:v>
                </c:pt>
                <c:pt idx="27">
                  <c:v>707.59732379797413</c:v>
                </c:pt>
                <c:pt idx="28">
                  <c:v>717.14590588903184</c:v>
                </c:pt>
                <c:pt idx="29">
                  <c:v>727.07390117794432</c:v>
                </c:pt>
                <c:pt idx="30">
                  <c:v>733.81323121346134</c:v>
                </c:pt>
                <c:pt idx="31">
                  <c:v>744.53910251766388</c:v>
                </c:pt>
                <c:pt idx="32">
                  <c:v>755.42125824758295</c:v>
                </c:pt>
                <c:pt idx="33">
                  <c:v>766.57717597718965</c:v>
                </c:pt>
                <c:pt idx="34">
                  <c:v>776.62836095158627</c:v>
                </c:pt>
                <c:pt idx="35">
                  <c:v>787.50149759162707</c:v>
                </c:pt>
                <c:pt idx="36">
                  <c:v>799.18946227214178</c:v>
                </c:pt>
                <c:pt idx="37">
                  <c:v>811.30345689813919</c:v>
                </c:pt>
                <c:pt idx="38">
                  <c:v>822.87783633320544</c:v>
                </c:pt>
                <c:pt idx="39">
                  <c:v>834.86879035391792</c:v>
                </c:pt>
                <c:pt idx="40">
                  <c:v>847.82223230307022</c:v>
                </c:pt>
                <c:pt idx="41">
                  <c:v>861.4326070717733</c:v>
                </c:pt>
                <c:pt idx="42">
                  <c:v>875.60402106821061</c:v>
                </c:pt>
                <c:pt idx="43">
                  <c:v>890.35138831877134</c:v>
                </c:pt>
                <c:pt idx="44">
                  <c:v>905.65858286350897</c:v>
                </c:pt>
                <c:pt idx="45">
                  <c:v>921.71814828752872</c:v>
                </c:pt>
                <c:pt idx="46">
                  <c:v>935.90207603841566</c:v>
                </c:pt>
                <c:pt idx="47">
                  <c:v>950.73125144242988</c:v>
                </c:pt>
                <c:pt idx="48">
                  <c:v>966.37472832797232</c:v>
                </c:pt>
                <c:pt idx="49">
                  <c:v>982.90378567719256</c:v>
                </c:pt>
                <c:pt idx="50">
                  <c:v>1000.8777884471914</c:v>
                </c:pt>
              </c:numCache>
            </c:numRef>
          </c:val>
          <c:extLst>
            <c:ext xmlns:c16="http://schemas.microsoft.com/office/drawing/2014/chart" uri="{C3380CC4-5D6E-409C-BE32-E72D297353CC}">
              <c16:uniqueId val="{00000001-2D26-4177-8A16-4D1FE8C89A7C}"/>
            </c:ext>
          </c:extLst>
        </c:ser>
        <c:ser>
          <c:idx val="2"/>
          <c:order val="2"/>
          <c:tx>
            <c:strRef>
              <c:f>'Emissions summary'!$C$60</c:f>
              <c:strCache>
                <c:ptCount val="1"/>
                <c:pt idx="0">
                  <c:v>Manure N2O</c:v>
                </c:pt>
              </c:strCache>
            </c:strRef>
          </c:tx>
          <c:spPr>
            <a:solidFill>
              <a:schemeClr val="accent3"/>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summary'!$F$60:$BN$60</c15:sqref>
                  </c15:fullRef>
                </c:ext>
              </c:extLst>
              <c:f>'Emissions summary'!$P$60:$BN$60</c:f>
              <c:numCache>
                <c:formatCode>General</c:formatCode>
                <c:ptCount val="51"/>
                <c:pt idx="0">
                  <c:v>1372.4487383044614</c:v>
                </c:pt>
                <c:pt idx="1">
                  <c:v>1356.5221314435626</c:v>
                </c:pt>
                <c:pt idx="2">
                  <c:v>1396.8463052232266</c:v>
                </c:pt>
                <c:pt idx="3">
                  <c:v>1373.0665004626433</c:v>
                </c:pt>
                <c:pt idx="4">
                  <c:v>1378.5802594390798</c:v>
                </c:pt>
                <c:pt idx="5">
                  <c:v>1425.1971500061302</c:v>
                </c:pt>
                <c:pt idx="6">
                  <c:v>1466.623959325211</c:v>
                </c:pt>
                <c:pt idx="7">
                  <c:v>1512.7966811111032</c:v>
                </c:pt>
                <c:pt idx="8">
                  <c:v>1539.5804780764847</c:v>
                </c:pt>
                <c:pt idx="9">
                  <c:v>1507.0434874225361</c:v>
                </c:pt>
                <c:pt idx="10">
                  <c:v>1516.5605848321243</c:v>
                </c:pt>
                <c:pt idx="11">
                  <c:v>1570.0225026545761</c:v>
                </c:pt>
                <c:pt idx="12">
                  <c:v>1619.8140604338403</c:v>
                </c:pt>
                <c:pt idx="13">
                  <c:v>1645.1249737133139</c:v>
                </c:pt>
                <c:pt idx="14">
                  <c:v>1654.4871675886652</c:v>
                </c:pt>
                <c:pt idx="15">
                  <c:v>1651.1513725240186</c:v>
                </c:pt>
                <c:pt idx="16">
                  <c:v>1639.8818790512419</c:v>
                </c:pt>
                <c:pt idx="17">
                  <c:v>1635.0345137568779</c:v>
                </c:pt>
                <c:pt idx="18">
                  <c:v>1634.2284631626871</c:v>
                </c:pt>
                <c:pt idx="19">
                  <c:v>1632.9303392624972</c:v>
                </c:pt>
                <c:pt idx="20">
                  <c:v>1443.6046605757774</c:v>
                </c:pt>
                <c:pt idx="21">
                  <c:v>1468.1428011855119</c:v>
                </c:pt>
                <c:pt idx="22">
                  <c:v>1493.3238179478201</c:v>
                </c:pt>
                <c:pt idx="23">
                  <c:v>1522.9888041474055</c:v>
                </c:pt>
                <c:pt idx="24">
                  <c:v>1555.4620503436133</c:v>
                </c:pt>
                <c:pt idx="25">
                  <c:v>1587.2895178723763</c:v>
                </c:pt>
                <c:pt idx="26">
                  <c:v>1625.7455420365363</c:v>
                </c:pt>
                <c:pt idx="27">
                  <c:v>1665.9153634383381</c:v>
                </c:pt>
                <c:pt idx="28">
                  <c:v>1708.7628097008037</c:v>
                </c:pt>
                <c:pt idx="29">
                  <c:v>1753.1722971787035</c:v>
                </c:pt>
                <c:pt idx="30">
                  <c:v>1788.6459841289497</c:v>
                </c:pt>
                <c:pt idx="31">
                  <c:v>1834.512108181234</c:v>
                </c:pt>
                <c:pt idx="32">
                  <c:v>1881.3399425170965</c:v>
                </c:pt>
                <c:pt idx="33">
                  <c:v>1929.5088026226754</c:v>
                </c:pt>
                <c:pt idx="34">
                  <c:v>1974.8490494748271</c:v>
                </c:pt>
                <c:pt idx="35">
                  <c:v>2023.2096999746132</c:v>
                </c:pt>
                <c:pt idx="36">
                  <c:v>2074.6389028809167</c:v>
                </c:pt>
                <c:pt idx="37">
                  <c:v>2127.9958530911254</c:v>
                </c:pt>
                <c:pt idx="38">
                  <c:v>2180.2938258920185</c:v>
                </c:pt>
                <c:pt idx="39">
                  <c:v>2234.5276524083547</c:v>
                </c:pt>
                <c:pt idx="40">
                  <c:v>2292.4795760965462</c:v>
                </c:pt>
                <c:pt idx="41">
                  <c:v>2354.3166711018184</c:v>
                </c:pt>
                <c:pt idx="42">
                  <c:v>2418.7633532259051</c:v>
                </c:pt>
                <c:pt idx="43">
                  <c:v>2485.9263390421725</c:v>
                </c:pt>
                <c:pt idx="44">
                  <c:v>2555.8125049953956</c:v>
                </c:pt>
                <c:pt idx="45">
                  <c:v>2629.1194116257589</c:v>
                </c:pt>
                <c:pt idx="46">
                  <c:v>2697.1487671239861</c:v>
                </c:pt>
                <c:pt idx="47">
                  <c:v>2768.2534228402151</c:v>
                </c:pt>
                <c:pt idx="48">
                  <c:v>2843.0748606420816</c:v>
                </c:pt>
                <c:pt idx="49">
                  <c:v>2921.9401844845543</c:v>
                </c:pt>
                <c:pt idx="50">
                  <c:v>3006.8662035190314</c:v>
                </c:pt>
              </c:numCache>
            </c:numRef>
          </c:val>
          <c:extLst>
            <c:ext xmlns:c16="http://schemas.microsoft.com/office/drawing/2014/chart" uri="{C3380CC4-5D6E-409C-BE32-E72D297353CC}">
              <c16:uniqueId val="{00000002-2D26-4177-8A16-4D1FE8C89A7C}"/>
            </c:ext>
          </c:extLst>
        </c:ser>
        <c:ser>
          <c:idx val="3"/>
          <c:order val="3"/>
          <c:tx>
            <c:strRef>
              <c:f>'Emissions summary'!$C$61</c:f>
              <c:strCache>
                <c:ptCount val="1"/>
                <c:pt idx="0">
                  <c:v>Biomass burning CH4</c:v>
                </c:pt>
              </c:strCache>
            </c:strRef>
          </c:tx>
          <c:spPr>
            <a:solidFill>
              <a:schemeClr val="accent4"/>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summary'!$F$61:$BN$61</c15:sqref>
                  </c15:fullRef>
                </c:ext>
              </c:extLst>
              <c:f>'Emissions summary'!$P$61:$BN$61</c:f>
              <c:numCache>
                <c:formatCode>General</c:formatCode>
                <c:ptCount val="51"/>
                <c:pt idx="0">
                  <c:v>1103.4776992955053</c:v>
                </c:pt>
                <c:pt idx="1">
                  <c:v>1282.5517441798665</c:v>
                </c:pt>
                <c:pt idx="2">
                  <c:v>1288.9176046937982</c:v>
                </c:pt>
                <c:pt idx="3">
                  <c:v>1011.4345809085878</c:v>
                </c:pt>
                <c:pt idx="4">
                  <c:v>883.38003872679235</c:v>
                </c:pt>
                <c:pt idx="5">
                  <c:v>1412.334298727088</c:v>
                </c:pt>
                <c:pt idx="6">
                  <c:v>1236.8838978672777</c:v>
                </c:pt>
                <c:pt idx="7">
                  <c:v>1218.5771221263838</c:v>
                </c:pt>
                <c:pt idx="8">
                  <c:v>1139.8644942847</c:v>
                </c:pt>
                <c:pt idx="9">
                  <c:v>1078.8713756473658</c:v>
                </c:pt>
                <c:pt idx="10">
                  <c:v>1107.055106514</c:v>
                </c:pt>
                <c:pt idx="11">
                  <c:v>1093.3943713178221</c:v>
                </c:pt>
                <c:pt idx="12">
                  <c:v>916.39904428073066</c:v>
                </c:pt>
                <c:pt idx="13">
                  <c:v>957.70927900519757</c:v>
                </c:pt>
                <c:pt idx="14">
                  <c:v>944.27038684966465</c:v>
                </c:pt>
                <c:pt idx="15">
                  <c:v>931.78327853413111</c:v>
                </c:pt>
                <c:pt idx="16">
                  <c:v>941.79408509859809</c:v>
                </c:pt>
                <c:pt idx="17">
                  <c:v>950.68729182306481</c:v>
                </c:pt>
                <c:pt idx="18">
                  <c:v>953.20321518753167</c:v>
                </c:pt>
                <c:pt idx="19">
                  <c:v>956.763261286947</c:v>
                </c:pt>
                <c:pt idx="20">
                  <c:v>960.32330738636199</c:v>
                </c:pt>
                <c:pt idx="21">
                  <c:v>963.88335348577709</c:v>
                </c:pt>
                <c:pt idx="22">
                  <c:v>967.44339958519208</c:v>
                </c:pt>
                <c:pt idx="23">
                  <c:v>971.0034456846073</c:v>
                </c:pt>
                <c:pt idx="24">
                  <c:v>974.56349178402229</c:v>
                </c:pt>
                <c:pt idx="25">
                  <c:v>978.12353788343751</c:v>
                </c:pt>
                <c:pt idx="26">
                  <c:v>981.68358398285261</c:v>
                </c:pt>
                <c:pt idx="27">
                  <c:v>985.2436300822676</c:v>
                </c:pt>
                <c:pt idx="28">
                  <c:v>988.8036761816827</c:v>
                </c:pt>
                <c:pt idx="29">
                  <c:v>992.36372228109781</c:v>
                </c:pt>
                <c:pt idx="30">
                  <c:v>995.92376838051302</c:v>
                </c:pt>
                <c:pt idx="31">
                  <c:v>999.27215253115673</c:v>
                </c:pt>
                <c:pt idx="32">
                  <c:v>1002.6205366818004</c:v>
                </c:pt>
                <c:pt idx="33">
                  <c:v>1005.9689208324443</c:v>
                </c:pt>
                <c:pt idx="34">
                  <c:v>1009.317304983088</c:v>
                </c:pt>
                <c:pt idx="35">
                  <c:v>1012.6656891337318</c:v>
                </c:pt>
                <c:pt idx="36">
                  <c:v>1016.0140732843756</c:v>
                </c:pt>
                <c:pt idx="37">
                  <c:v>1019.3624574350195</c:v>
                </c:pt>
                <c:pt idx="38">
                  <c:v>1022.710841585663</c:v>
                </c:pt>
                <c:pt idx="39">
                  <c:v>1025.7736963097952</c:v>
                </c:pt>
                <c:pt idx="40">
                  <c:v>1028.836551033927</c:v>
                </c:pt>
                <c:pt idx="41">
                  <c:v>1031.8994057580592</c:v>
                </c:pt>
                <c:pt idx="42">
                  <c:v>1034.9622604821907</c:v>
                </c:pt>
                <c:pt idx="43">
                  <c:v>1038.0251152063229</c:v>
                </c:pt>
                <c:pt idx="44">
                  <c:v>1041.0879699304548</c:v>
                </c:pt>
                <c:pt idx="45">
                  <c:v>1044.1508246545868</c:v>
                </c:pt>
                <c:pt idx="46">
                  <c:v>1047.2136793787188</c:v>
                </c:pt>
                <c:pt idx="47">
                  <c:v>1050.2765341028507</c:v>
                </c:pt>
                <c:pt idx="48">
                  <c:v>1053.3393888269827</c:v>
                </c:pt>
                <c:pt idx="49">
                  <c:v>1056.4022435511147</c:v>
                </c:pt>
                <c:pt idx="50">
                  <c:v>1059.4650982752464</c:v>
                </c:pt>
              </c:numCache>
            </c:numRef>
          </c:val>
          <c:extLst>
            <c:ext xmlns:c16="http://schemas.microsoft.com/office/drawing/2014/chart" uri="{C3380CC4-5D6E-409C-BE32-E72D297353CC}">
              <c16:uniqueId val="{00000003-2D26-4177-8A16-4D1FE8C89A7C}"/>
            </c:ext>
          </c:extLst>
        </c:ser>
        <c:ser>
          <c:idx val="4"/>
          <c:order val="4"/>
          <c:tx>
            <c:strRef>
              <c:f>'Emissions summary'!$C$62</c:f>
              <c:strCache>
                <c:ptCount val="1"/>
                <c:pt idx="0">
                  <c:v>Biomass burning N2O</c:v>
                </c:pt>
              </c:strCache>
            </c:strRef>
          </c:tx>
          <c:spPr>
            <a:solidFill>
              <a:schemeClr val="accent5"/>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summary'!$F$62:$BN$62</c15:sqref>
                  </c15:fullRef>
                </c:ext>
              </c:extLst>
              <c:f>'Emissions summary'!$P$62:$BN$62</c:f>
              <c:numCache>
                <c:formatCode>General</c:formatCode>
                <c:ptCount val="51"/>
                <c:pt idx="0">
                  <c:v>1138.2881924240246</c:v>
                </c:pt>
                <c:pt idx="1">
                  <c:v>1347.8625366593228</c:v>
                </c:pt>
                <c:pt idx="2">
                  <c:v>1328.3690110437451</c:v>
                </c:pt>
                <c:pt idx="3">
                  <c:v>1017.5651134275211</c:v>
                </c:pt>
                <c:pt idx="4">
                  <c:v>914.67644691903695</c:v>
                </c:pt>
                <c:pt idx="5">
                  <c:v>1447.9112474339306</c:v>
                </c:pt>
                <c:pt idx="6">
                  <c:v>1263.4019893034997</c:v>
                </c:pt>
                <c:pt idx="7">
                  <c:v>1217.4357899565925</c:v>
                </c:pt>
                <c:pt idx="8">
                  <c:v>1180.1818937292605</c:v>
                </c:pt>
                <c:pt idx="9">
                  <c:v>1108.1395844539597</c:v>
                </c:pt>
                <c:pt idx="10">
                  <c:v>1121.7567904983002</c:v>
                </c:pt>
                <c:pt idx="11">
                  <c:v>1111.0832034573957</c:v>
                </c:pt>
                <c:pt idx="12">
                  <c:v>957.90428313424388</c:v>
                </c:pt>
                <c:pt idx="13">
                  <c:v>993.12814482495412</c:v>
                </c:pt>
                <c:pt idx="14">
                  <c:v>983.64299307566409</c:v>
                </c:pt>
                <c:pt idx="15">
                  <c:v>974.93508324637412</c:v>
                </c:pt>
                <c:pt idx="16">
                  <c:v>984.5993308570844</c:v>
                </c:pt>
                <c:pt idx="17">
                  <c:v>993.3509285477943</c:v>
                </c:pt>
                <c:pt idx="18">
                  <c:v>996.89473455850464</c:v>
                </c:pt>
                <c:pt idx="19">
                  <c:v>1001.6941603201909</c:v>
                </c:pt>
                <c:pt idx="20">
                  <c:v>1006.4935860818769</c:v>
                </c:pt>
                <c:pt idx="21">
                  <c:v>1011.2930118435631</c:v>
                </c:pt>
                <c:pt idx="22">
                  <c:v>1016.092437605249</c:v>
                </c:pt>
                <c:pt idx="23">
                  <c:v>1020.8918633669354</c:v>
                </c:pt>
                <c:pt idx="24">
                  <c:v>1025.6912891286215</c:v>
                </c:pt>
                <c:pt idx="25">
                  <c:v>1030.4907148903073</c:v>
                </c:pt>
                <c:pt idx="26">
                  <c:v>1035.2901406519936</c:v>
                </c:pt>
                <c:pt idx="27">
                  <c:v>1040.0895664136797</c:v>
                </c:pt>
                <c:pt idx="28">
                  <c:v>1044.888992175366</c:v>
                </c:pt>
                <c:pt idx="29">
                  <c:v>1049.688417937052</c:v>
                </c:pt>
                <c:pt idx="30">
                  <c:v>1054.4878436987378</c:v>
                </c:pt>
                <c:pt idx="31">
                  <c:v>1059.1536620734259</c:v>
                </c:pt>
                <c:pt idx="32">
                  <c:v>1063.8194804481134</c:v>
                </c:pt>
                <c:pt idx="33">
                  <c:v>1068.4852988228013</c:v>
                </c:pt>
                <c:pt idx="34">
                  <c:v>1073.1511171974894</c:v>
                </c:pt>
                <c:pt idx="35">
                  <c:v>1077.816935572177</c:v>
                </c:pt>
                <c:pt idx="36">
                  <c:v>1082.4827539468647</c:v>
                </c:pt>
                <c:pt idx="37">
                  <c:v>1087.1485723215524</c:v>
                </c:pt>
                <c:pt idx="38">
                  <c:v>1091.8143906962403</c:v>
                </c:pt>
                <c:pt idx="39">
                  <c:v>1096.2470411704533</c:v>
                </c:pt>
                <c:pt idx="40">
                  <c:v>1100.6796916446663</c:v>
                </c:pt>
                <c:pt idx="41">
                  <c:v>1105.1123421188793</c:v>
                </c:pt>
                <c:pt idx="42">
                  <c:v>1109.5449925930925</c:v>
                </c:pt>
                <c:pt idx="43">
                  <c:v>1113.9776430673055</c:v>
                </c:pt>
                <c:pt idx="44">
                  <c:v>1118.4102935415185</c:v>
                </c:pt>
                <c:pt idx="45">
                  <c:v>1122.8429440157317</c:v>
                </c:pt>
                <c:pt idx="46">
                  <c:v>1127.2755944899448</c:v>
                </c:pt>
                <c:pt idx="47">
                  <c:v>1131.7082449641578</c:v>
                </c:pt>
                <c:pt idx="48">
                  <c:v>1136.1408954383708</c:v>
                </c:pt>
                <c:pt idx="49">
                  <c:v>1140.5735459125838</c:v>
                </c:pt>
                <c:pt idx="50">
                  <c:v>1145.0061963867968</c:v>
                </c:pt>
              </c:numCache>
            </c:numRef>
          </c:val>
          <c:extLst>
            <c:ext xmlns:c16="http://schemas.microsoft.com/office/drawing/2014/chart" uri="{C3380CC4-5D6E-409C-BE32-E72D297353CC}">
              <c16:uniqueId val="{00000004-2D26-4177-8A16-4D1FE8C89A7C}"/>
            </c:ext>
          </c:extLst>
        </c:ser>
        <c:ser>
          <c:idx val="5"/>
          <c:order val="5"/>
          <c:tx>
            <c:strRef>
              <c:f>'Emissions summary'!$C$63</c:f>
              <c:strCache>
                <c:ptCount val="1"/>
                <c:pt idx="0">
                  <c:v>Liming</c:v>
                </c:pt>
              </c:strCache>
            </c:strRef>
          </c:tx>
          <c:spPr>
            <a:solidFill>
              <a:schemeClr val="accent6"/>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summary'!$F$63:$BN$63</c15:sqref>
                  </c15:fullRef>
                </c:ext>
              </c:extLst>
              <c:f>'Emissions summary'!$P$63:$BN$63</c:f>
              <c:numCache>
                <c:formatCode>General</c:formatCode>
                <c:ptCount val="51"/>
                <c:pt idx="0">
                  <c:v>378.2405</c:v>
                </c:pt>
                <c:pt idx="1">
                  <c:v>489.66362500000002</c:v>
                </c:pt>
                <c:pt idx="2">
                  <c:v>672.79437500000006</c:v>
                </c:pt>
                <c:pt idx="3">
                  <c:v>580.13175000000001</c:v>
                </c:pt>
                <c:pt idx="4">
                  <c:v>579.7403333333333</c:v>
                </c:pt>
                <c:pt idx="5">
                  <c:v>266.03683333333333</c:v>
                </c:pt>
                <c:pt idx="6">
                  <c:v>441.42908333333332</c:v>
                </c:pt>
                <c:pt idx="7">
                  <c:v>521.42108333333329</c:v>
                </c:pt>
                <c:pt idx="8">
                  <c:v>655.32637499999998</c:v>
                </c:pt>
                <c:pt idx="9">
                  <c:v>695.56775237855516</c:v>
                </c:pt>
                <c:pt idx="10">
                  <c:v>653.23730656422072</c:v>
                </c:pt>
                <c:pt idx="11">
                  <c:v>722.61220387104663</c:v>
                </c:pt>
                <c:pt idx="12">
                  <c:v>886.46691832724639</c:v>
                </c:pt>
                <c:pt idx="13">
                  <c:v>888.57220041675475</c:v>
                </c:pt>
                <c:pt idx="14">
                  <c:v>892.19156964654962</c:v>
                </c:pt>
                <c:pt idx="15">
                  <c:v>894.68344635299957</c:v>
                </c:pt>
                <c:pt idx="16">
                  <c:v>896.27078676473502</c:v>
                </c:pt>
                <c:pt idx="17">
                  <c:v>897.27224451810355</c:v>
                </c:pt>
                <c:pt idx="18">
                  <c:v>898.67094870860296</c:v>
                </c:pt>
                <c:pt idx="19">
                  <c:v>900.30367420709717</c:v>
                </c:pt>
                <c:pt idx="20">
                  <c:v>901.86406343716328</c:v>
                </c:pt>
                <c:pt idx="21">
                  <c:v>889.86106938580019</c:v>
                </c:pt>
                <c:pt idx="22">
                  <c:v>892.97507388479505</c:v>
                </c:pt>
                <c:pt idx="23">
                  <c:v>896.07553395869502</c:v>
                </c:pt>
                <c:pt idx="24">
                  <c:v>899.44305778392913</c:v>
                </c:pt>
                <c:pt idx="25">
                  <c:v>902.96637712116114</c:v>
                </c:pt>
                <c:pt idx="26">
                  <c:v>906.3941358876524</c:v>
                </c:pt>
                <c:pt idx="27">
                  <c:v>910.24311454774499</c:v>
                </c:pt>
                <c:pt idx="28">
                  <c:v>914.15546308071282</c:v>
                </c:pt>
                <c:pt idx="29">
                  <c:v>918.19441534035502</c:v>
                </c:pt>
                <c:pt idx="30">
                  <c:v>922.28021422526683</c:v>
                </c:pt>
                <c:pt idx="31">
                  <c:v>925.70605472938325</c:v>
                </c:pt>
                <c:pt idx="32">
                  <c:v>929.89417531547485</c:v>
                </c:pt>
                <c:pt idx="33">
                  <c:v>934.08462665778677</c:v>
                </c:pt>
                <c:pt idx="34">
                  <c:v>938.30058756617461</c:v>
                </c:pt>
                <c:pt idx="35">
                  <c:v>942.27527137080324</c:v>
                </c:pt>
                <c:pt idx="36">
                  <c:v>946.3841630491163</c:v>
                </c:pt>
                <c:pt idx="37">
                  <c:v>950.62363015955998</c:v>
                </c:pt>
                <c:pt idx="38">
                  <c:v>954.91732759988372</c:v>
                </c:pt>
                <c:pt idx="39">
                  <c:v>959.08241762760497</c:v>
                </c:pt>
                <c:pt idx="40">
                  <c:v>963.30072797715457</c:v>
                </c:pt>
                <c:pt idx="41">
                  <c:v>967.67231460968992</c:v>
                </c:pt>
                <c:pt idx="42">
                  <c:v>972.13931979124197</c:v>
                </c:pt>
                <c:pt idx="43">
                  <c:v>976.67976000342844</c:v>
                </c:pt>
                <c:pt idx="44">
                  <c:v>981.29410526182983</c:v>
                </c:pt>
                <c:pt idx="45">
                  <c:v>985.97710395450372</c:v>
                </c:pt>
                <c:pt idx="46">
                  <c:v>990.76029770884224</c:v>
                </c:pt>
                <c:pt idx="47">
                  <c:v>995.1821554033088</c:v>
                </c:pt>
                <c:pt idx="48">
                  <c:v>999.68860839302522</c:v>
                </c:pt>
                <c:pt idx="49">
                  <c:v>1004.3059319994804</c:v>
                </c:pt>
                <c:pt idx="50">
                  <c:v>1009.0424822129</c:v>
                </c:pt>
              </c:numCache>
            </c:numRef>
          </c:val>
          <c:extLst>
            <c:ext xmlns:c16="http://schemas.microsoft.com/office/drawing/2014/chart" uri="{C3380CC4-5D6E-409C-BE32-E72D297353CC}">
              <c16:uniqueId val="{00000005-2D26-4177-8A16-4D1FE8C89A7C}"/>
            </c:ext>
          </c:extLst>
        </c:ser>
        <c:ser>
          <c:idx val="6"/>
          <c:order val="6"/>
          <c:tx>
            <c:strRef>
              <c:f>'Emissions summary'!$C$64</c:f>
              <c:strCache>
                <c:ptCount val="1"/>
                <c:pt idx="0">
                  <c:v>Urea</c:v>
                </c:pt>
              </c:strCache>
            </c:strRef>
          </c:tx>
          <c:spPr>
            <a:solidFill>
              <a:schemeClr val="accent1">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summary'!$F$64:$BN$64</c15:sqref>
                  </c15:fullRef>
                </c:ext>
              </c:extLst>
              <c:f>'Emissions summary'!$P$64:$BN$64</c:f>
              <c:numCache>
                <c:formatCode>General</c:formatCode>
                <c:ptCount val="51"/>
                <c:pt idx="0">
                  <c:v>297.31791253242642</c:v>
                </c:pt>
                <c:pt idx="1">
                  <c:v>317.95024703732088</c:v>
                </c:pt>
                <c:pt idx="2">
                  <c:v>338.58258154220977</c:v>
                </c:pt>
                <c:pt idx="3">
                  <c:v>359.21491604710423</c:v>
                </c:pt>
                <c:pt idx="4">
                  <c:v>435.89846666666671</c:v>
                </c:pt>
                <c:pt idx="5">
                  <c:v>355.08659999999998</c:v>
                </c:pt>
                <c:pt idx="6">
                  <c:v>393.08573333333334</c:v>
                </c:pt>
                <c:pt idx="7">
                  <c:v>484.55366666666663</c:v>
                </c:pt>
                <c:pt idx="8">
                  <c:v>480.19253333333336</c:v>
                </c:pt>
                <c:pt idx="9">
                  <c:v>380.54426666666666</c:v>
                </c:pt>
                <c:pt idx="10">
                  <c:v>501.48046666666664</c:v>
                </c:pt>
                <c:pt idx="11">
                  <c:v>571.19113333333337</c:v>
                </c:pt>
                <c:pt idx="12">
                  <c:v>470.0955092083982</c:v>
                </c:pt>
                <c:pt idx="13">
                  <c:v>470.04246487127125</c:v>
                </c:pt>
                <c:pt idx="14">
                  <c:v>469.95127184656036</c:v>
                </c:pt>
                <c:pt idx="15">
                  <c:v>469.8884869358094</c:v>
                </c:pt>
                <c:pt idx="16">
                  <c:v>469.84849257099012</c:v>
                </c:pt>
                <c:pt idx="17">
                  <c:v>469.82326000811753</c:v>
                </c:pt>
                <c:pt idx="18">
                  <c:v>469.78801849013212</c:v>
                </c:pt>
                <c:pt idx="19">
                  <c:v>469.74688061022079</c:v>
                </c:pt>
                <c:pt idx="20">
                  <c:v>469.70756530288918</c:v>
                </c:pt>
                <c:pt idx="21">
                  <c:v>470.00999074324488</c:v>
                </c:pt>
                <c:pt idx="22">
                  <c:v>469.93153080417898</c:v>
                </c:pt>
                <c:pt idx="23">
                  <c:v>469.8534121281935</c:v>
                </c:pt>
                <c:pt idx="24">
                  <c:v>469.76856455837913</c:v>
                </c:pt>
                <c:pt idx="25">
                  <c:v>469.67979159077481</c:v>
                </c:pt>
                <c:pt idx="26">
                  <c:v>469.59342635140592</c:v>
                </c:pt>
                <c:pt idx="27">
                  <c:v>469.49644812570511</c:v>
                </c:pt>
                <c:pt idx="28">
                  <c:v>469.39787324323459</c:v>
                </c:pt>
                <c:pt idx="29">
                  <c:v>469.29610847433844</c:v>
                </c:pt>
                <c:pt idx="30">
                  <c:v>469.19316336566925</c:v>
                </c:pt>
                <c:pt idx="31">
                  <c:v>469.10684645851984</c:v>
                </c:pt>
                <c:pt idx="32">
                  <c:v>469.00132326929798</c:v>
                </c:pt>
                <c:pt idx="33">
                  <c:v>468.89574135473009</c:v>
                </c:pt>
                <c:pt idx="34">
                  <c:v>468.78951670538135</c:v>
                </c:pt>
                <c:pt idx="35">
                  <c:v>468.68937123378112</c:v>
                </c:pt>
                <c:pt idx="36">
                  <c:v>468.5858442829329</c:v>
                </c:pt>
                <c:pt idx="37">
                  <c:v>468.47902737522929</c:v>
                </c:pt>
                <c:pt idx="38">
                  <c:v>468.3708440891603</c:v>
                </c:pt>
                <c:pt idx="39">
                  <c:v>468.26590117405385</c:v>
                </c:pt>
                <c:pt idx="40">
                  <c:v>468.15961732857664</c:v>
                </c:pt>
                <c:pt idx="41">
                  <c:v>468.0494715593843</c:v>
                </c:pt>
                <c:pt idx="42">
                  <c:v>467.93692164031239</c:v>
                </c:pt>
                <c:pt idx="43">
                  <c:v>467.82252146443096</c:v>
                </c:pt>
                <c:pt idx="44">
                  <c:v>467.70625918930585</c:v>
                </c:pt>
                <c:pt idx="45">
                  <c:v>467.58826713367728</c:v>
                </c:pt>
                <c:pt idx="46">
                  <c:v>467.46775057995154</c:v>
                </c:pt>
                <c:pt idx="47">
                  <c:v>467.35633818944979</c:v>
                </c:pt>
                <c:pt idx="48">
                  <c:v>467.24279434996896</c:v>
                </c:pt>
                <c:pt idx="49">
                  <c:v>467.12645703288194</c:v>
                </c:pt>
                <c:pt idx="50">
                  <c:v>467.00711570204976</c:v>
                </c:pt>
              </c:numCache>
            </c:numRef>
          </c:val>
          <c:extLst>
            <c:ext xmlns:c16="http://schemas.microsoft.com/office/drawing/2014/chart" uri="{C3380CC4-5D6E-409C-BE32-E72D297353CC}">
              <c16:uniqueId val="{00000006-2D26-4177-8A16-4D1FE8C89A7C}"/>
            </c:ext>
          </c:extLst>
        </c:ser>
        <c:ser>
          <c:idx val="7"/>
          <c:order val="7"/>
          <c:tx>
            <c:strRef>
              <c:f>'Emissions summary'!$C$65</c:f>
              <c:strCache>
                <c:ptCount val="1"/>
                <c:pt idx="0">
                  <c:v>Direct N2O</c:v>
                </c:pt>
              </c:strCache>
            </c:strRef>
          </c:tx>
          <c:spPr>
            <a:solidFill>
              <a:schemeClr val="accent2">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summary'!$F$65:$BN$65</c15:sqref>
                  </c15:fullRef>
                </c:ext>
              </c:extLst>
              <c:f>'Emissions summary'!$P$65:$BN$65</c:f>
              <c:numCache>
                <c:formatCode>General</c:formatCode>
                <c:ptCount val="51"/>
                <c:pt idx="0">
                  <c:v>17021.790519603233</c:v>
                </c:pt>
                <c:pt idx="1">
                  <c:v>16558.862650160001</c:v>
                </c:pt>
                <c:pt idx="2">
                  <c:v>16957.948472333181</c:v>
                </c:pt>
                <c:pt idx="3">
                  <c:v>16769.907146505077</c:v>
                </c:pt>
                <c:pt idx="4">
                  <c:v>16584.658063779349</c:v>
                </c:pt>
                <c:pt idx="5">
                  <c:v>16201.588190693865</c:v>
                </c:pt>
                <c:pt idx="6">
                  <c:v>16229.541461457171</c:v>
                </c:pt>
                <c:pt idx="7">
                  <c:v>16847.135336493091</c:v>
                </c:pt>
                <c:pt idx="8">
                  <c:v>16894.02920900529</c:v>
                </c:pt>
                <c:pt idx="9">
                  <c:v>16779.254174947899</c:v>
                </c:pt>
                <c:pt idx="10">
                  <c:v>16465.845558736135</c:v>
                </c:pt>
                <c:pt idx="11">
                  <c:v>16468.339195121422</c:v>
                </c:pt>
                <c:pt idx="12">
                  <c:v>17203.01931973972</c:v>
                </c:pt>
                <c:pt idx="13">
                  <c:v>17194.704998102538</c:v>
                </c:pt>
                <c:pt idx="14">
                  <c:v>17098.316805444603</c:v>
                </c:pt>
                <c:pt idx="15">
                  <c:v>16933.974372309094</c:v>
                </c:pt>
                <c:pt idx="16">
                  <c:v>16730.901838780708</c:v>
                </c:pt>
                <c:pt idx="17">
                  <c:v>16567.163856150535</c:v>
                </c:pt>
                <c:pt idx="18">
                  <c:v>16427.700695965839</c:v>
                </c:pt>
                <c:pt idx="19">
                  <c:v>16288.128461636383</c:v>
                </c:pt>
                <c:pt idx="20">
                  <c:v>15211.932800601076</c:v>
                </c:pt>
                <c:pt idx="21">
                  <c:v>15266.075572549205</c:v>
                </c:pt>
                <c:pt idx="22">
                  <c:v>15331.332757890719</c:v>
                </c:pt>
                <c:pt idx="23">
                  <c:v>15414.107177714526</c:v>
                </c:pt>
                <c:pt idx="24">
                  <c:v>15508.050270031688</c:v>
                </c:pt>
                <c:pt idx="25">
                  <c:v>15596.235058999582</c:v>
                </c:pt>
                <c:pt idx="26">
                  <c:v>15712.686244483986</c:v>
                </c:pt>
                <c:pt idx="27">
                  <c:v>15833.994814554546</c:v>
                </c:pt>
                <c:pt idx="28">
                  <c:v>15964.056856936151</c:v>
                </c:pt>
                <c:pt idx="29">
                  <c:v>16097.715675889991</c:v>
                </c:pt>
                <c:pt idx="30">
                  <c:v>16187.341598954146</c:v>
                </c:pt>
                <c:pt idx="31">
                  <c:v>16265.148554243759</c:v>
                </c:pt>
                <c:pt idx="32">
                  <c:v>16341.209348969169</c:v>
                </c:pt>
                <c:pt idx="33">
                  <c:v>16416.354442582506</c:v>
                </c:pt>
                <c:pt idx="34">
                  <c:v>16472.817555951286</c:v>
                </c:pt>
                <c:pt idx="35">
                  <c:v>16535.267649177949</c:v>
                </c:pt>
                <c:pt idx="36">
                  <c:v>16603.570506856548</c:v>
                </c:pt>
                <c:pt idx="37">
                  <c:v>16672.52732695092</c:v>
                </c:pt>
                <c:pt idx="38">
                  <c:v>16729.958999719096</c:v>
                </c:pt>
                <c:pt idx="39">
                  <c:v>16787.611100406684</c:v>
                </c:pt>
                <c:pt idx="40">
                  <c:v>16852.006930526481</c:v>
                </c:pt>
                <c:pt idx="41">
                  <c:v>16958.171864200052</c:v>
                </c:pt>
                <c:pt idx="42">
                  <c:v>17067.410079492496</c:v>
                </c:pt>
                <c:pt idx="43">
                  <c:v>17179.698593392801</c:v>
                </c:pt>
                <c:pt idx="44">
                  <c:v>17294.660908151938</c:v>
                </c:pt>
                <c:pt idx="45">
                  <c:v>17414.343661926596</c:v>
                </c:pt>
                <c:pt idx="46">
                  <c:v>17508.176350824528</c:v>
                </c:pt>
                <c:pt idx="47">
                  <c:v>17605.140105504397</c:v>
                </c:pt>
                <c:pt idx="48">
                  <c:v>17707.292032619436</c:v>
                </c:pt>
                <c:pt idx="49">
                  <c:v>17815.178581937475</c:v>
                </c:pt>
                <c:pt idx="50">
                  <c:v>17934.761597575707</c:v>
                </c:pt>
              </c:numCache>
            </c:numRef>
          </c:val>
          <c:extLst>
            <c:ext xmlns:c16="http://schemas.microsoft.com/office/drawing/2014/chart" uri="{C3380CC4-5D6E-409C-BE32-E72D297353CC}">
              <c16:uniqueId val="{00000007-2D26-4177-8A16-4D1FE8C89A7C}"/>
            </c:ext>
          </c:extLst>
        </c:ser>
        <c:ser>
          <c:idx val="8"/>
          <c:order val="8"/>
          <c:tx>
            <c:strRef>
              <c:f>'Emissions summary'!$C$66</c:f>
              <c:strCache>
                <c:ptCount val="1"/>
                <c:pt idx="0">
                  <c:v>Indirect N2O from MS</c:v>
                </c:pt>
              </c:strCache>
            </c:strRef>
          </c:tx>
          <c:spPr>
            <a:solidFill>
              <a:schemeClr val="accent3">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summary'!$F$66:$BN$66</c15:sqref>
                  </c15:fullRef>
                </c:ext>
              </c:extLst>
              <c:f>'Emissions summary'!$P$66:$BN$66</c:f>
              <c:numCache>
                <c:formatCode>General</c:formatCode>
                <c:ptCount val="51"/>
                <c:pt idx="0">
                  <c:v>2155.7364466862405</c:v>
                </c:pt>
                <c:pt idx="1">
                  <c:v>2118.7727412938139</c:v>
                </c:pt>
                <c:pt idx="2">
                  <c:v>2149.2536347032101</c:v>
                </c:pt>
                <c:pt idx="3">
                  <c:v>2127.4292286069426</c:v>
                </c:pt>
                <c:pt idx="4">
                  <c:v>2110.5878909746098</c:v>
                </c:pt>
                <c:pt idx="5">
                  <c:v>2072.1483225191987</c:v>
                </c:pt>
                <c:pt idx="6">
                  <c:v>2101.905941836299</c:v>
                </c:pt>
                <c:pt idx="7">
                  <c:v>2151.2208658093541</c:v>
                </c:pt>
                <c:pt idx="8">
                  <c:v>2156.0457121558738</c:v>
                </c:pt>
                <c:pt idx="9">
                  <c:v>2149.2138525216237</c:v>
                </c:pt>
                <c:pt idx="10">
                  <c:v>2105.3949279528888</c:v>
                </c:pt>
                <c:pt idx="11">
                  <c:v>2110.5059697888632</c:v>
                </c:pt>
                <c:pt idx="12">
                  <c:v>2057.1682449445511</c:v>
                </c:pt>
                <c:pt idx="13">
                  <c:v>2057.8539907712329</c:v>
                </c:pt>
                <c:pt idx="14">
                  <c:v>2047.730258902146</c:v>
                </c:pt>
                <c:pt idx="15">
                  <c:v>2029.4352346155308</c:v>
                </c:pt>
                <c:pt idx="16">
                  <c:v>2006.5265135363511</c:v>
                </c:pt>
                <c:pt idx="17">
                  <c:v>1988.6450434693584</c:v>
                </c:pt>
                <c:pt idx="18">
                  <c:v>1973.8060652844588</c:v>
                </c:pt>
                <c:pt idx="19">
                  <c:v>1958.999363213539</c:v>
                </c:pt>
                <c:pt idx="20">
                  <c:v>1827.2804294155142</c:v>
                </c:pt>
                <c:pt idx="21">
                  <c:v>1836.4275382176045</c:v>
                </c:pt>
                <c:pt idx="22">
                  <c:v>1845.6999019487382</c:v>
                </c:pt>
                <c:pt idx="23">
                  <c:v>1857.1108484934309</c:v>
                </c:pt>
                <c:pt idx="24">
                  <c:v>1869.9285458841573</c:v>
                </c:pt>
                <c:pt idx="25">
                  <c:v>1882.0388376970154</c:v>
                </c:pt>
                <c:pt idx="26">
                  <c:v>1897.7328855443529</c:v>
                </c:pt>
                <c:pt idx="27">
                  <c:v>1914.0335638644485</c:v>
                </c:pt>
                <c:pt idx="28">
                  <c:v>1931.4605939160069</c:v>
                </c:pt>
                <c:pt idx="29">
                  <c:v>1949.3711044451229</c:v>
                </c:pt>
                <c:pt idx="30">
                  <c:v>1961.7615858958161</c:v>
                </c:pt>
                <c:pt idx="31">
                  <c:v>1973.5217756718125</c:v>
                </c:pt>
                <c:pt idx="32">
                  <c:v>1985.0759539253786</c:v>
                </c:pt>
                <c:pt idx="33">
                  <c:v>1996.5922280587056</c:v>
                </c:pt>
                <c:pt idx="34">
                  <c:v>2005.8147038908573</c:v>
                </c:pt>
                <c:pt idx="35">
                  <c:v>2015.8967090077701</c:v>
                </c:pt>
                <c:pt idx="36">
                  <c:v>2026.7980538743693</c:v>
                </c:pt>
                <c:pt idx="37">
                  <c:v>2037.8620910312495</c:v>
                </c:pt>
                <c:pt idx="38">
                  <c:v>2047.5381044209967</c:v>
                </c:pt>
                <c:pt idx="39">
                  <c:v>2057.3478903344562</c:v>
                </c:pt>
                <c:pt idx="40">
                  <c:v>2068.1212950113513</c:v>
                </c:pt>
                <c:pt idx="41">
                  <c:v>2083.7866100867659</c:v>
                </c:pt>
                <c:pt idx="42">
                  <c:v>2099.9284239571102</c:v>
                </c:pt>
                <c:pt idx="43">
                  <c:v>2116.5511590916435</c:v>
                </c:pt>
                <c:pt idx="44">
                  <c:v>2133.6119535908138</c:v>
                </c:pt>
                <c:pt idx="45">
                  <c:v>2151.3834722870256</c:v>
                </c:pt>
                <c:pt idx="46">
                  <c:v>2165.8865694545011</c:v>
                </c:pt>
                <c:pt idx="47">
                  <c:v>2180.9287056672806</c:v>
                </c:pt>
                <c:pt idx="48">
                  <c:v>2196.7487240487949</c:v>
                </c:pt>
                <c:pt idx="49">
                  <c:v>2213.425085060092</c:v>
                </c:pt>
                <c:pt idx="50">
                  <c:v>2231.7515586140139</c:v>
                </c:pt>
              </c:numCache>
            </c:numRef>
          </c:val>
          <c:extLst>
            <c:ext xmlns:c16="http://schemas.microsoft.com/office/drawing/2014/chart" uri="{C3380CC4-5D6E-409C-BE32-E72D297353CC}">
              <c16:uniqueId val="{00000008-2D26-4177-8A16-4D1FE8C89A7C}"/>
            </c:ext>
          </c:extLst>
        </c:ser>
        <c:ser>
          <c:idx val="9"/>
          <c:order val="9"/>
          <c:tx>
            <c:strRef>
              <c:f>'Emissions summary'!$C$67</c:f>
              <c:strCache>
                <c:ptCount val="1"/>
                <c:pt idx="0">
                  <c:v>Indirect N2O from MM</c:v>
                </c:pt>
              </c:strCache>
            </c:strRef>
          </c:tx>
          <c:spPr>
            <a:solidFill>
              <a:schemeClr val="accent4">
                <a:lumMod val="60000"/>
              </a:schemeClr>
            </a:solidFill>
            <a:ln>
              <a:noFill/>
            </a:ln>
            <a:effectLst/>
          </c:spPr>
          <c:cat>
            <c:numRef>
              <c:extLst>
                <c:ext xmlns:c15="http://schemas.microsoft.com/office/drawing/2012/chart" uri="{02D57815-91ED-43cb-92C2-25804820EDAC}">
                  <c15:fullRef>
                    <c15:sqref>'Emissions summary'!$F$57:$BN$57</c15:sqref>
                  </c15:fullRef>
                </c:ext>
              </c:extLst>
              <c:f>'Emissions summary'!$P$57:$BN$57</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extLst>
                <c:ext xmlns:c15="http://schemas.microsoft.com/office/drawing/2012/chart" uri="{02D57815-91ED-43cb-92C2-25804820EDAC}">
                  <c15:fullRef>
                    <c15:sqref>'Emissions summary'!$F$67:$BN$67</c15:sqref>
                  </c15:fullRef>
                </c:ext>
              </c:extLst>
              <c:f>'Emissions summary'!$P$67:$BN$67</c:f>
              <c:numCache>
                <c:formatCode>General</c:formatCode>
                <c:ptCount val="51"/>
                <c:pt idx="0">
                  <c:v>416.19353174110165</c:v>
                </c:pt>
                <c:pt idx="1">
                  <c:v>413.8758977418791</c:v>
                </c:pt>
                <c:pt idx="2">
                  <c:v>402.12489933360166</c:v>
                </c:pt>
                <c:pt idx="3">
                  <c:v>382.08437212452515</c:v>
                </c:pt>
                <c:pt idx="4">
                  <c:v>379.738143309794</c:v>
                </c:pt>
                <c:pt idx="5">
                  <c:v>398.98840509467396</c:v>
                </c:pt>
                <c:pt idx="6">
                  <c:v>404.11898883233295</c:v>
                </c:pt>
                <c:pt idx="7">
                  <c:v>412.20171589966418</c:v>
                </c:pt>
                <c:pt idx="8">
                  <c:v>446.09004051714021</c:v>
                </c:pt>
                <c:pt idx="9">
                  <c:v>443.47274862625261</c:v>
                </c:pt>
                <c:pt idx="10">
                  <c:v>446.04525464561482</c:v>
                </c:pt>
                <c:pt idx="11">
                  <c:v>451.47082982836986</c:v>
                </c:pt>
                <c:pt idx="12">
                  <c:v>465.71697519224756</c:v>
                </c:pt>
                <c:pt idx="13">
                  <c:v>472.39651404951906</c:v>
                </c:pt>
                <c:pt idx="14">
                  <c:v>475.39485505138583</c:v>
                </c:pt>
                <c:pt idx="15">
                  <c:v>475.4542403435849</c:v>
                </c:pt>
                <c:pt idx="16">
                  <c:v>473.68310983846931</c:v>
                </c:pt>
                <c:pt idx="17">
                  <c:v>473.47971563463312</c:v>
                </c:pt>
                <c:pt idx="18">
                  <c:v>474.26804747818278</c:v>
                </c:pt>
                <c:pt idx="19">
                  <c:v>474.97153701478533</c:v>
                </c:pt>
                <c:pt idx="20">
                  <c:v>430.73938060883393</c:v>
                </c:pt>
                <c:pt idx="21">
                  <c:v>436.8797708118766</c:v>
                </c:pt>
                <c:pt idx="22">
                  <c:v>443.16321258049538</c:v>
                </c:pt>
                <c:pt idx="23">
                  <c:v>450.5067760678844</c:v>
                </c:pt>
                <c:pt idx="24">
                  <c:v>458.53524726310405</c:v>
                </c:pt>
                <c:pt idx="25">
                  <c:v>466.42013979363855</c:v>
                </c:pt>
                <c:pt idx="26">
                  <c:v>475.90370983993733</c:v>
                </c:pt>
                <c:pt idx="27">
                  <c:v>485.80783771044264</c:v>
                </c:pt>
                <c:pt idx="28">
                  <c:v>496.36302957689685</c:v>
                </c:pt>
                <c:pt idx="29">
                  <c:v>507.30452995419068</c:v>
                </c:pt>
                <c:pt idx="30">
                  <c:v>516.11076535237692</c:v>
                </c:pt>
                <c:pt idx="31">
                  <c:v>527.89452175599536</c:v>
                </c:pt>
                <c:pt idx="32">
                  <c:v>539.93894806069113</c:v>
                </c:pt>
                <c:pt idx="33">
                  <c:v>552.33542433323908</c:v>
                </c:pt>
                <c:pt idx="34">
                  <c:v>564.07818025160452</c:v>
                </c:pt>
                <c:pt idx="35">
                  <c:v>576.57800651400032</c:v>
                </c:pt>
                <c:pt idx="36">
                  <c:v>589.84868546977748</c:v>
                </c:pt>
                <c:pt idx="37">
                  <c:v>603.61568782178506</c:v>
                </c:pt>
                <c:pt idx="38">
                  <c:v>617.1546016322061</c:v>
                </c:pt>
                <c:pt idx="39">
                  <c:v>631.19291800629048</c:v>
                </c:pt>
                <c:pt idx="40">
                  <c:v>646.16577412971219</c:v>
                </c:pt>
                <c:pt idx="41">
                  <c:v>661.82201266614345</c:v>
                </c:pt>
                <c:pt idx="42">
                  <c:v>678.13388864024012</c:v>
                </c:pt>
                <c:pt idx="43">
                  <c:v>695.1283776393052</c:v>
                </c:pt>
                <c:pt idx="44">
                  <c:v>712.80818692581624</c:v>
                </c:pt>
                <c:pt idx="45">
                  <c:v>731.34492026885573</c:v>
                </c:pt>
                <c:pt idx="46">
                  <c:v>748.61063159035052</c:v>
                </c:pt>
                <c:pt idx="47">
                  <c:v>766.6478860980443</c:v>
                </c:pt>
                <c:pt idx="48">
                  <c:v>785.61518631895478</c:v>
                </c:pt>
                <c:pt idx="49">
                  <c:v>805.59424022670942</c:v>
                </c:pt>
                <c:pt idx="50">
                  <c:v>827.08215560072131</c:v>
                </c:pt>
              </c:numCache>
            </c:numRef>
          </c:val>
          <c:extLst>
            <c:ext xmlns:c16="http://schemas.microsoft.com/office/drawing/2014/chart" uri="{C3380CC4-5D6E-409C-BE32-E72D297353CC}">
              <c16:uniqueId val="{00000009-2D26-4177-8A16-4D1FE8C89A7C}"/>
            </c:ext>
          </c:extLst>
        </c:ser>
        <c:dLbls>
          <c:showLegendKey val="0"/>
          <c:showVal val="0"/>
          <c:showCatName val="0"/>
          <c:showSerName val="0"/>
          <c:showPercent val="0"/>
          <c:showBubbleSize val="0"/>
        </c:dLbls>
        <c:axId val="1213528255"/>
        <c:axId val="1213537823"/>
      </c:areaChart>
      <c:catAx>
        <c:axId val="1213528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37823"/>
        <c:crosses val="autoZero"/>
        <c:auto val="1"/>
        <c:lblAlgn val="ctr"/>
        <c:lblOffset val="100"/>
        <c:noMultiLvlLbl val="0"/>
      </c:catAx>
      <c:valAx>
        <c:axId val="121353782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a:t>
                </a:r>
                <a:r>
                  <a:rPr lang="en-US" sz="1200" b="1" baseline="-25000">
                    <a:solidFill>
                      <a:sysClr val="windowText" lastClr="000000"/>
                    </a:solidFill>
                  </a:rPr>
                  <a:t>2</a:t>
                </a:r>
                <a:r>
                  <a:rPr lang="en-US" sz="1200" b="1">
                    <a:solidFill>
                      <a:sysClr val="windowText" lastClr="000000"/>
                    </a:solidFill>
                  </a:rPr>
                  <a:t>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213528255"/>
        <c:crosses val="autoZero"/>
        <c:crossBetween val="midCat"/>
      </c:valAx>
      <c:spPr>
        <a:noFill/>
        <a:ln>
          <a:solidFill>
            <a:schemeClr val="bg1">
              <a:lumMod val="50000"/>
            </a:schemeClr>
          </a:solidFill>
        </a:ln>
        <a:effectLst/>
      </c:spPr>
    </c:plotArea>
    <c:legend>
      <c:legendPos val="b"/>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30566521008"/>
          <c:y val="3.7734511789503676E-2"/>
          <c:w val="0.82212000309612776"/>
          <c:h val="0.70886559008750671"/>
        </c:manualLayout>
      </c:layout>
      <c:lineChart>
        <c:grouping val="standard"/>
        <c:varyColors val="0"/>
        <c:ser>
          <c:idx val="1"/>
          <c:order val="1"/>
          <c:tx>
            <c:strRef>
              <c:f>'Emissions summary'!$E$72</c:f>
              <c:strCache>
                <c:ptCount val="1"/>
                <c:pt idx="0">
                  <c:v>Aggregated non-CO2 emissions (modelled)</c:v>
                </c:pt>
              </c:strCache>
              <c:extLst xmlns:c15="http://schemas.microsoft.com/office/drawing/2012/chart"/>
            </c:strRef>
          </c:tx>
          <c:spPr>
            <a:ln w="28575" cap="rnd">
              <a:solidFill>
                <a:srgbClr val="00B0F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summary'!$F$72:$AG$72</c15:sqref>
                  </c15:fullRef>
                </c:ext>
              </c:extLst>
              <c:f>'Emissions summary'!$Z$72:$AG$72</c:f>
              <c:numCache>
                <c:formatCode>General</c:formatCode>
                <c:ptCount val="8"/>
                <c:pt idx="0">
                  <c:v>22400.815411577827</c:v>
                </c:pt>
                <c:pt idx="1">
                  <c:v>22528.596906718252</c:v>
                </c:pt>
                <c:pt idx="2">
                  <c:v>22956.77029482714</c:v>
                </c:pt>
                <c:pt idx="3">
                  <c:v>23034.407592041469</c:v>
                </c:pt>
                <c:pt idx="4">
                  <c:v>22911.498140816573</c:v>
                </c:pt>
                <c:pt idx="5">
                  <c:v>22710.154142337524</c:v>
                </c:pt>
                <c:pt idx="6">
                  <c:v>22503.624157446935</c:v>
                </c:pt>
                <c:pt idx="7">
                  <c:v>22340.422340151606</c:v>
                </c:pt>
              </c:numCache>
            </c:numRef>
          </c:val>
          <c:smooth val="0"/>
          <c:extLst xmlns:c15="http://schemas.microsoft.com/office/drawing/2012/chart">
            <c:ext xmlns:c16="http://schemas.microsoft.com/office/drawing/2014/chart" uri="{C3380CC4-5D6E-409C-BE32-E72D297353CC}">
              <c16:uniqueId val="{00000001-CC99-489C-98D5-1E78AF22B1ED}"/>
            </c:ext>
          </c:extLst>
        </c:ser>
        <c:ser>
          <c:idx val="4"/>
          <c:order val="4"/>
          <c:tx>
            <c:strRef>
              <c:f>'Emissions summary'!$E$75</c:f>
              <c:strCache>
                <c:ptCount val="1"/>
                <c:pt idx="0">
                  <c:v>Aggregated non-CO2 emissions (2017 inventory)</c:v>
                </c:pt>
              </c:strCache>
              <c:extLst xmlns:c15="http://schemas.microsoft.com/office/drawing/2012/chart"/>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summary'!$F$75:$AG$75</c15:sqref>
                  </c15:fullRef>
                </c:ext>
              </c:extLst>
              <c:f>'Emissions summary'!$Z$75:$AG$75</c:f>
              <c:numCache>
                <c:formatCode>General</c:formatCode>
                <c:ptCount val="8"/>
                <c:pt idx="0">
                  <c:v>25130.517014652847</c:v>
                </c:pt>
                <c:pt idx="1">
                  <c:v>25304.85592670933</c:v>
                </c:pt>
                <c:pt idx="2">
                  <c:v>24407.03698205229</c:v>
                </c:pt>
                <c:pt idx="3">
                  <c:v>25679.803908205235</c:v>
                </c:pt>
                <c:pt idx="4">
                  <c:v>25935.14594405461</c:v>
                </c:pt>
                <c:pt idx="5">
                  <c:v>24944.276967369409</c:v>
                </c:pt>
                <c:pt idx="6">
                  <c:v>23249.801068831042</c:v>
                </c:pt>
                <c:pt idx="7">
                  <c:v>23515.861940250066</c:v>
                </c:pt>
              </c:numCache>
            </c:numRef>
          </c:val>
          <c:smooth val="0"/>
          <c:extLst xmlns:c15="http://schemas.microsoft.com/office/drawing/2012/chart">
            <c:ext xmlns:c16="http://schemas.microsoft.com/office/drawing/2014/chart" uri="{C3380CC4-5D6E-409C-BE32-E72D297353CC}">
              <c16:uniqueId val="{00000004-CC99-489C-98D5-1E78AF22B1ED}"/>
            </c:ext>
          </c:extLst>
        </c:ser>
        <c:ser>
          <c:idx val="7"/>
          <c:order val="7"/>
          <c:tx>
            <c:strRef>
              <c:f>'Emissions summary'!$E$78</c:f>
              <c:strCache>
                <c:ptCount val="1"/>
                <c:pt idx="0">
                  <c:v>Aggregated non-CO2 emissions (corrected 2017 inventory)</c:v>
                </c:pt>
              </c:strCache>
              <c:extLst xmlns:c15="http://schemas.microsoft.com/office/drawing/2012/chart"/>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ext>
              </c:extLst>
              <c:f>'Emissions summary'!$Z$70:$AG$70</c:f>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summary'!$F$78:$AG$78</c15:sqref>
                  </c15:fullRef>
                </c:ext>
              </c:extLst>
              <c:f>'Emissions summary'!$Z$78:$AG$78</c:f>
              <c:numCache>
                <c:formatCode>General</c:formatCode>
                <c:ptCount val="8"/>
                <c:pt idx="0">
                  <c:v>23986.77417374069</c:v>
                </c:pt>
                <c:pt idx="1">
                  <c:v>24215.606096707954</c:v>
                </c:pt>
                <c:pt idx="2">
                  <c:v>23466.796841445379</c:v>
                </c:pt>
                <c:pt idx="3">
                  <c:v>24452.726550481024</c:v>
                </c:pt>
                <c:pt idx="4">
                  <c:v>24798.187695034216</c:v>
                </c:pt>
                <c:pt idx="5">
                  <c:v>23781.729632572271</c:v>
                </c:pt>
                <c:pt idx="6">
                  <c:v>22214.078479972708</c:v>
                </c:pt>
                <c:pt idx="7">
                  <c:v>22369.490596120992</c:v>
                </c:pt>
              </c:numCache>
            </c:numRef>
          </c:val>
          <c:smooth val="0"/>
          <c:extLst xmlns:c15="http://schemas.microsoft.com/office/drawing/2012/chart">
            <c:ext xmlns:c16="http://schemas.microsoft.com/office/drawing/2014/chart" uri="{C3380CC4-5D6E-409C-BE32-E72D297353CC}">
              <c16:uniqueId val="{00000001-6D0C-4AF7-8613-D2BA1200AB6B}"/>
            </c:ext>
          </c:extLst>
        </c:ser>
        <c:dLbls>
          <c:showLegendKey val="0"/>
          <c:showVal val="0"/>
          <c:showCatName val="0"/>
          <c:showSerName val="0"/>
          <c:showPercent val="0"/>
          <c:showBubbleSize val="0"/>
        </c:dLbls>
        <c:smooth val="0"/>
        <c:axId val="453903840"/>
        <c:axId val="453912160"/>
        <c:extLst>
          <c:ext xmlns:c15="http://schemas.microsoft.com/office/drawing/2012/chart" uri="{02D57815-91ED-43cb-92C2-25804820EDAC}">
            <c15:filteredLineSeries>
              <c15:ser>
                <c:idx val="0"/>
                <c:order val="0"/>
                <c:tx>
                  <c:strRef>
                    <c:extLst>
                      <c:ext uri="{02D57815-91ED-43cb-92C2-25804820EDAC}">
                        <c15:formulaRef>
                          <c15:sqref>'Emissions summary'!$E$71</c15:sqref>
                        </c15:formulaRef>
                      </c:ext>
                    </c:extLst>
                    <c:strCache>
                      <c:ptCount val="1"/>
                      <c:pt idx="0">
                        <c:v>Livestock emissions (modelled)</c:v>
                      </c:pt>
                    </c:strCache>
                  </c:strRef>
                </c:tx>
                <c:spPr>
                  <a:ln w="28575" cap="rnd">
                    <a:solidFill>
                      <a:srgbClr val="00B0F0"/>
                    </a:solidFill>
                    <a:round/>
                  </a:ln>
                  <a:effectLst/>
                </c:spPr>
                <c:marker>
                  <c:symbol val="none"/>
                </c:marker>
                <c:cat>
                  <c:numRef>
                    <c:extLst>
                      <c:ex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uri="{02D57815-91ED-43cb-92C2-25804820EDAC}">
                        <c15:fullRef>
                          <c15:sqref>'Emissions summary'!$F$71:$AG$71</c15:sqref>
                        </c15:fullRef>
                        <c15:formulaRef>
                          <c15:sqref>'Emissions summary'!$Z$71:$AG$71</c15:sqref>
                        </c15:formulaRef>
                      </c:ext>
                    </c:extLst>
                    <c:numCache>
                      <c:formatCode>General</c:formatCode>
                      <c:ptCount val="8"/>
                      <c:pt idx="0">
                        <c:v>27614.256694686857</c:v>
                      </c:pt>
                      <c:pt idx="1">
                        <c:v>27581.637898711942</c:v>
                      </c:pt>
                      <c:pt idx="2">
                        <c:v>27089.959320622853</c:v>
                      </c:pt>
                      <c:pt idx="3">
                        <c:v>27114.026654083114</c:v>
                      </c:pt>
                      <c:pt idx="4">
                        <c:v>26944.652760315537</c:v>
                      </c:pt>
                      <c:pt idx="5">
                        <c:v>26628.842126672123</c:v>
                      </c:pt>
                      <c:pt idx="6">
                        <c:v>26228.910322236548</c:v>
                      </c:pt>
                      <c:pt idx="7">
                        <c:v>25914.499626624314</c:v>
                      </c:pt>
                    </c:numCache>
                  </c:numRef>
                </c:val>
                <c:smooth val="0"/>
                <c:extLst>
                  <c:ext xmlns:c16="http://schemas.microsoft.com/office/drawing/2014/chart" uri="{C3380CC4-5D6E-409C-BE32-E72D297353CC}">
                    <c16:uniqueId val="{00000000-CC99-489C-98D5-1E78AF22B1E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summary'!$E$73</c15:sqref>
                        </c15:formulaRef>
                      </c:ext>
                    </c:extLst>
                    <c:strCache>
                      <c:ptCount val="1"/>
                      <c:pt idx="0">
                        <c:v>Total agriculture (model)</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summary'!$F$73:$AG$73</c15:sqref>
                        </c15:fullRef>
                        <c15:formulaRef>
                          <c15:sqref>'Emissions summary'!$Z$73:$AG$73</c15:sqref>
                        </c15:formulaRef>
                      </c:ext>
                    </c:extLst>
                    <c:numCache>
                      <c:formatCode>General</c:formatCode>
                      <c:ptCount val="8"/>
                      <c:pt idx="0">
                        <c:v>50015.072106264684</c:v>
                      </c:pt>
                      <c:pt idx="1">
                        <c:v>50110.234805430198</c:v>
                      </c:pt>
                      <c:pt idx="2">
                        <c:v>50046.729615449993</c:v>
                      </c:pt>
                      <c:pt idx="3">
                        <c:v>50148.434246124583</c:v>
                      </c:pt>
                      <c:pt idx="4">
                        <c:v>49856.15090113211</c:v>
                      </c:pt>
                      <c:pt idx="5">
                        <c:v>49338.996269009644</c:v>
                      </c:pt>
                      <c:pt idx="6">
                        <c:v>48732.534479683483</c:v>
                      </c:pt>
                      <c:pt idx="7">
                        <c:v>48254.921966775917</c:v>
                      </c:pt>
                    </c:numCache>
                  </c:numRef>
                </c:val>
                <c:smooth val="0"/>
                <c:extLst xmlns:c15="http://schemas.microsoft.com/office/drawing/2012/chart">
                  <c:ext xmlns:c16="http://schemas.microsoft.com/office/drawing/2014/chart" uri="{C3380CC4-5D6E-409C-BE32-E72D297353CC}">
                    <c16:uniqueId val="{00000002-CC99-489C-98D5-1E78AF22B1E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summary'!$E$74</c15:sqref>
                        </c15:formulaRef>
                      </c:ext>
                    </c:extLst>
                    <c:strCache>
                      <c:ptCount val="1"/>
                      <c:pt idx="0">
                        <c:v>Livestock emissions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summary'!$F$74:$AG$74</c15:sqref>
                        </c15:fullRef>
                        <c15:formulaRef>
                          <c15:sqref>'Emissions summary'!$Z$74:$AG$74</c15:sqref>
                        </c15:formulaRef>
                      </c:ext>
                    </c:extLst>
                    <c:numCache>
                      <c:formatCode>General</c:formatCode>
                      <c:ptCount val="8"/>
                      <c:pt idx="0">
                        <c:v>29466.291233402069</c:v>
                      </c:pt>
                      <c:pt idx="1">
                        <c:v>29540.386989025857</c:v>
                      </c:pt>
                      <c:pt idx="2">
                        <c:v>28765.723679034749</c:v>
                      </c:pt>
                      <c:pt idx="3">
                        <c:v>29976.162007053368</c:v>
                      </c:pt>
                      <c:pt idx="4">
                        <c:v>29854.259774176113</c:v>
                      </c:pt>
                      <c:pt idx="5">
                        <c:v>29764.794009191111</c:v>
                      </c:pt>
                      <c:pt idx="6">
                        <c:v>28493.468307353363</c:v>
                      </c:pt>
                      <c:pt idx="7">
                        <c:v>28161.291437902692</c:v>
                      </c:pt>
                    </c:numCache>
                  </c:numRef>
                </c:val>
                <c:smooth val="0"/>
                <c:extLst xmlns:c15="http://schemas.microsoft.com/office/drawing/2012/chart">
                  <c:ext xmlns:c16="http://schemas.microsoft.com/office/drawing/2014/chart" uri="{C3380CC4-5D6E-409C-BE32-E72D297353CC}">
                    <c16:uniqueId val="{00000003-CC99-489C-98D5-1E78AF22B1E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summary'!$E$76</c15:sqref>
                        </c15:formulaRef>
                      </c:ext>
                    </c:extLst>
                    <c:strCache>
                      <c:ptCount val="1"/>
                      <c:pt idx="0">
                        <c:v>Total agricuture (original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summary'!$F$76:$AG$76</c15:sqref>
                        </c15:fullRef>
                        <c15:formulaRef>
                          <c15:sqref>'Emissions summary'!$Z$76:$AG$76</c15:sqref>
                        </c15:formulaRef>
                      </c:ext>
                    </c:extLst>
                    <c:numCache>
                      <c:formatCode>General</c:formatCode>
                      <c:ptCount val="8"/>
                      <c:pt idx="0">
                        <c:v>54596.80824805492</c:v>
                      </c:pt>
                      <c:pt idx="1">
                        <c:v>54845.242915735187</c:v>
                      </c:pt>
                      <c:pt idx="2">
                        <c:v>53172.760661087043</c:v>
                      </c:pt>
                      <c:pt idx="3">
                        <c:v>55655.965915258603</c:v>
                      </c:pt>
                      <c:pt idx="4">
                        <c:v>55789.405718230722</c:v>
                      </c:pt>
                      <c:pt idx="5">
                        <c:v>54709.070976560521</c:v>
                      </c:pt>
                      <c:pt idx="6">
                        <c:v>51743.269376184406</c:v>
                      </c:pt>
                      <c:pt idx="7">
                        <c:v>51677.153378152754</c:v>
                      </c:pt>
                    </c:numCache>
                  </c:numRef>
                </c:val>
                <c:smooth val="0"/>
                <c:extLst xmlns:c15="http://schemas.microsoft.com/office/drawing/2012/chart">
                  <c:ext xmlns:c16="http://schemas.microsoft.com/office/drawing/2014/chart" uri="{C3380CC4-5D6E-409C-BE32-E72D297353CC}">
                    <c16:uniqueId val="{00000005-CC99-489C-98D5-1E78AF22B1E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summary'!$E$77</c15:sqref>
                        </c15:formulaRef>
                      </c:ext>
                    </c:extLst>
                    <c:strCache>
                      <c:ptCount val="1"/>
                      <c:pt idx="0">
                        <c:v>Livestock emissions (corrected 2017 inventory)</c:v>
                      </c:pt>
                    </c:strCache>
                  </c:strRef>
                </c:tx>
                <c:spPr>
                  <a:ln w="28575" cap="rnd">
                    <a:solidFill>
                      <a:srgbClr val="009900"/>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summary'!$F$77:$AG$77</c15:sqref>
                        </c15:fullRef>
                        <c15:formulaRef>
                          <c15:sqref>'Emissions summary'!$Z$77:$AG$77</c15:sqref>
                        </c15:formulaRef>
                      </c:ext>
                    </c:extLst>
                    <c:numCache>
                      <c:formatCode>General</c:formatCode>
                      <c:ptCount val="8"/>
                      <c:pt idx="0">
                        <c:v>27664.377940114457</c:v>
                      </c:pt>
                      <c:pt idx="1">
                        <c:v>27801.534910949355</c:v>
                      </c:pt>
                      <c:pt idx="2">
                        <c:v>27190.794316586092</c:v>
                      </c:pt>
                      <c:pt idx="3">
                        <c:v>28125.443821791141</c:v>
                      </c:pt>
                      <c:pt idx="4">
                        <c:v>28132.073619111641</c:v>
                      </c:pt>
                      <c:pt idx="5">
                        <c:v>28022.596440230893</c:v>
                      </c:pt>
                      <c:pt idx="6">
                        <c:v>26770.512864029439</c:v>
                      </c:pt>
                      <c:pt idx="7">
                        <c:v>26272.330661039257</c:v>
                      </c:pt>
                    </c:numCache>
                  </c:numRef>
                </c:val>
                <c:smooth val="0"/>
                <c:extLst xmlns:c15="http://schemas.microsoft.com/office/drawing/2012/chart">
                  <c:ext xmlns:c16="http://schemas.microsoft.com/office/drawing/2014/chart" uri="{C3380CC4-5D6E-409C-BE32-E72D297353CC}">
                    <c16:uniqueId val="{00000000-6D0C-4AF7-8613-D2BA1200AB6B}"/>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summary'!$E$79</c15:sqref>
                        </c15:formulaRef>
                      </c:ext>
                    </c:extLst>
                    <c:strCache>
                      <c:ptCount val="1"/>
                      <c:pt idx="0">
                        <c:v>Total agricuture (corrected 2017 inventory)</c:v>
                      </c:pt>
                    </c:strCache>
                  </c:strRef>
                </c:tx>
                <c:spPr>
                  <a:ln w="28575" cap="rnd">
                    <a:solidFill>
                      <a:schemeClr val="accent2"/>
                    </a:solidFill>
                    <a:round/>
                  </a:ln>
                  <a:effectLst/>
                </c:spPr>
                <c:marker>
                  <c:symbol val="none"/>
                </c:marker>
                <c:cat>
                  <c:numRef>
                    <c:extLst>
                      <c:ext xmlns:c15="http://schemas.microsoft.com/office/drawing/2012/chart" uri="{02D57815-91ED-43cb-92C2-25804820EDAC}">
                        <c15:fullRef>
                          <c15:sqref>'Emissions summary'!$F$70:$AG$70</c15:sqref>
                        </c15:fullRef>
                        <c15:formulaRef>
                          <c15:sqref>'Emissions summary'!$Z$70:$AG$70</c15:sqref>
                        </c15:formulaRef>
                      </c:ext>
                    </c:extLst>
                    <c:numCache>
                      <c:formatCode>General</c:formatCode>
                      <c:ptCount val="8"/>
                      <c:pt idx="0">
                        <c:v>2010</c:v>
                      </c:pt>
                      <c:pt idx="1">
                        <c:v>2011</c:v>
                      </c:pt>
                      <c:pt idx="2">
                        <c:v>2012</c:v>
                      </c:pt>
                      <c:pt idx="3">
                        <c:v>2013</c:v>
                      </c:pt>
                      <c:pt idx="4">
                        <c:v>2014</c:v>
                      </c:pt>
                      <c:pt idx="5">
                        <c:v>2015</c:v>
                      </c:pt>
                      <c:pt idx="6">
                        <c:v>2016</c:v>
                      </c:pt>
                      <c:pt idx="7">
                        <c:v>2017</c:v>
                      </c:pt>
                    </c:numCache>
                  </c:numRef>
                </c:cat>
                <c:val>
                  <c:numRef>
                    <c:extLst>
                      <c:ext xmlns:c15="http://schemas.microsoft.com/office/drawing/2012/chart" uri="{02D57815-91ED-43cb-92C2-25804820EDAC}">
                        <c15:fullRef>
                          <c15:sqref>'Emissions summary'!$F$79:$AG$79</c15:sqref>
                        </c15:fullRef>
                        <c15:formulaRef>
                          <c15:sqref>'Emissions summary'!$Z$79:$AG$79</c15:sqref>
                        </c15:formulaRef>
                      </c:ext>
                    </c:extLst>
                    <c:numCache>
                      <c:formatCode>General</c:formatCode>
                      <c:ptCount val="8"/>
                      <c:pt idx="0">
                        <c:v>51651.152113855147</c:v>
                      </c:pt>
                      <c:pt idx="1">
                        <c:v>52017.141007657308</c:v>
                      </c:pt>
                      <c:pt idx="2">
                        <c:v>50657.591158031471</c:v>
                      </c:pt>
                      <c:pt idx="3">
                        <c:v>52578.170372272165</c:v>
                      </c:pt>
                      <c:pt idx="4">
                        <c:v>52930.261314145857</c:v>
                      </c:pt>
                      <c:pt idx="5">
                        <c:v>51804.32607280316</c:v>
                      </c:pt>
                      <c:pt idx="6">
                        <c:v>48984.591344002147</c:v>
                      </c:pt>
                      <c:pt idx="7">
                        <c:v>48641.821257160249</c:v>
                      </c:pt>
                    </c:numCache>
                  </c:numRef>
                </c:val>
                <c:smooth val="0"/>
                <c:extLst xmlns:c15="http://schemas.microsoft.com/office/drawing/2012/chart">
                  <c:ext xmlns:c16="http://schemas.microsoft.com/office/drawing/2014/chart" uri="{C3380CC4-5D6E-409C-BE32-E72D297353CC}">
                    <c16:uniqueId val="{00000002-6D0C-4AF7-8613-D2BA1200AB6B}"/>
                  </c:ext>
                </c:extLst>
              </c15:ser>
            </c15:filteredLineSeries>
          </c:ext>
        </c:extLst>
      </c:lineChart>
      <c:catAx>
        <c:axId val="453903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12160"/>
        <c:crosses val="autoZero"/>
        <c:auto val="1"/>
        <c:lblAlgn val="ctr"/>
        <c:lblOffset val="100"/>
        <c:noMultiLvlLbl val="0"/>
      </c:catAx>
      <c:valAx>
        <c:axId val="45391216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r>
                  <a:rPr lang="en-US" sz="1200" b="1">
                    <a:solidFill>
                      <a:sysClr val="windowText" lastClr="000000"/>
                    </a:solidFill>
                  </a:rPr>
                  <a:t>Emissions (GgCo2e)</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453903840"/>
        <c:crosses val="autoZero"/>
        <c:crossBetween val="between"/>
      </c:valAx>
      <c:spPr>
        <a:noFill/>
        <a:ln>
          <a:solidFill>
            <a:schemeClr val="bg1">
              <a:lumMod val="50000"/>
            </a:schemeClr>
          </a:solidFill>
        </a:ln>
        <a:effectLst/>
      </c:spPr>
    </c:plotArea>
    <c:legend>
      <c:legendPos val="b"/>
      <c:layout>
        <c:manualLayout>
          <c:xMode val="edge"/>
          <c:yMode val="edge"/>
          <c:x val="0.11455250399330111"/>
          <c:y val="0.8499483744397186"/>
          <c:w val="0.85847304609712005"/>
          <c:h val="0.13168194219142609"/>
        </c:manualLayout>
      </c:layout>
      <c:overlay val="0"/>
      <c:spPr>
        <a:noFill/>
        <a:ln>
          <a:noFill/>
        </a:ln>
        <a:effectLst/>
      </c:spPr>
      <c:txPr>
        <a:bodyPr rot="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4"/>
          <c:order val="4"/>
          <c:tx>
            <c:strRef>
              <c:f>'Emissions summary'!$E$118</c:f>
              <c:strCache>
                <c:ptCount val="1"/>
                <c:pt idx="0">
                  <c:v>Direct N2O</c:v>
                </c:pt>
              </c:strCache>
            </c:strRef>
          </c:tx>
          <c:spPr>
            <a:ln w="28575" cap="rnd">
              <a:solidFill>
                <a:schemeClr val="accent5"/>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summary'!$F$118:$AG$118</c:f>
              <c:numCache>
                <c:formatCode>General</c:formatCode>
                <c:ptCount val="28"/>
                <c:pt idx="0">
                  <c:v>19504.904423790304</c:v>
                </c:pt>
                <c:pt idx="1">
                  <c:v>20660.917389673377</c:v>
                </c:pt>
                <c:pt idx="2">
                  <c:v>20413.635505827424</c:v>
                </c:pt>
                <c:pt idx="3">
                  <c:v>20401.840953256564</c:v>
                </c:pt>
                <c:pt idx="4">
                  <c:v>20005.189321068094</c:v>
                </c:pt>
                <c:pt idx="5">
                  <c:v>19413.178172066404</c:v>
                </c:pt>
                <c:pt idx="6">
                  <c:v>20236.165839433314</c:v>
                </c:pt>
                <c:pt idx="7">
                  <c:v>20567.076909773743</c:v>
                </c:pt>
                <c:pt idx="8">
                  <c:v>20477.475675482336</c:v>
                </c:pt>
                <c:pt idx="9">
                  <c:v>20440.765105122711</c:v>
                </c:pt>
                <c:pt idx="10">
                  <c:v>20694.986539568359</c:v>
                </c:pt>
                <c:pt idx="11">
                  <c:v>19970.885013290266</c:v>
                </c:pt>
                <c:pt idx="12">
                  <c:v>20364.171552574975</c:v>
                </c:pt>
                <c:pt idx="13">
                  <c:v>20058.54412967978</c:v>
                </c:pt>
                <c:pt idx="14">
                  <c:v>19708.290781864089</c:v>
                </c:pt>
                <c:pt idx="15">
                  <c:v>19400.216324542769</c:v>
                </c:pt>
                <c:pt idx="16">
                  <c:v>19051.161605532838</c:v>
                </c:pt>
                <c:pt idx="17">
                  <c:v>19933.38774514115</c:v>
                </c:pt>
                <c:pt idx="18">
                  <c:v>20282.655015129261</c:v>
                </c:pt>
                <c:pt idx="19">
                  <c:v>20068.349414068991</c:v>
                </c:pt>
                <c:pt idx="20">
                  <c:v>19848.964864156231</c:v>
                </c:pt>
                <c:pt idx="21">
                  <c:v>19725.318772611696</c:v>
                </c:pt>
                <c:pt idx="22">
                  <c:v>20225.965895215482</c:v>
                </c:pt>
                <c:pt idx="23">
                  <c:v>20168.260387452727</c:v>
                </c:pt>
                <c:pt idx="24">
                  <c:v>20134.219305294246</c:v>
                </c:pt>
                <c:pt idx="25">
                  <c:v>19667.183224832243</c:v>
                </c:pt>
                <c:pt idx="26">
                  <c:v>18969.40439195502</c:v>
                </c:pt>
                <c:pt idx="27">
                  <c:v>19186.386775060691</c:v>
                </c:pt>
              </c:numCache>
            </c:numRef>
          </c:val>
          <c:smooth val="0"/>
          <c:extLst>
            <c:ext xmlns:c16="http://schemas.microsoft.com/office/drawing/2014/chart" uri="{C3380CC4-5D6E-409C-BE32-E72D297353CC}">
              <c16:uniqueId val="{00000004-521A-4052-915B-F059FD434B62}"/>
            </c:ext>
          </c:extLst>
        </c:ser>
        <c:ser>
          <c:idx val="11"/>
          <c:order val="11"/>
          <c:tx>
            <c:strRef>
              <c:f>'Emissions summary'!$E$125</c:f>
              <c:strCache>
                <c:ptCount val="1"/>
                <c:pt idx="0">
                  <c:v>Direct N2O (inventory)</c:v>
                </c:pt>
              </c:strCache>
            </c:strRef>
          </c:tx>
          <c:spPr>
            <a:ln w="28575" cap="rnd">
              <a:solidFill>
                <a:schemeClr val="accent6">
                  <a:lumMod val="60000"/>
                </a:schemeClr>
              </a:solidFill>
              <a:round/>
            </a:ln>
            <a:effectLst/>
          </c:spPr>
          <c:marker>
            <c:symbol val="none"/>
          </c:marker>
          <c:cat>
            <c:numRef>
              <c:f>'Emissions summary'!$F$113:$AG$113</c:f>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f>'Emissions summary'!$F$125:$AG$125</c:f>
              <c:numCache>
                <c:formatCode>General</c:formatCode>
                <c:ptCount val="28"/>
                <c:pt idx="0">
                  <c:v>18467.2344176074</c:v>
                </c:pt>
                <c:pt idx="1">
                  <c:v>19894.379979012047</c:v>
                </c:pt>
                <c:pt idx="2">
                  <c:v>19508.057170250366</c:v>
                </c:pt>
                <c:pt idx="3">
                  <c:v>19296.286149483876</c:v>
                </c:pt>
                <c:pt idx="4">
                  <c:v>18829.799299341739</c:v>
                </c:pt>
                <c:pt idx="5">
                  <c:v>18816.693751205934</c:v>
                </c:pt>
                <c:pt idx="6">
                  <c:v>19386.372113208152</c:v>
                </c:pt>
                <c:pt idx="7">
                  <c:v>19675.368284891847</c:v>
                </c:pt>
                <c:pt idx="8">
                  <c:v>19967.155293555603</c:v>
                </c:pt>
                <c:pt idx="9">
                  <c:v>20038.391547786159</c:v>
                </c:pt>
                <c:pt idx="10">
                  <c:v>20072.524975980316</c:v>
                </c:pt>
                <c:pt idx="11">
                  <c:v>19701.088061992123</c:v>
                </c:pt>
                <c:pt idx="12">
                  <c:v>20023.216099759749</c:v>
                </c:pt>
                <c:pt idx="13">
                  <c:v>19072.340993484708</c:v>
                </c:pt>
                <c:pt idx="14">
                  <c:v>18849.389549512067</c:v>
                </c:pt>
                <c:pt idx="15">
                  <c:v>18446.259485586925</c:v>
                </c:pt>
                <c:pt idx="16">
                  <c:v>18589.571736189206</c:v>
                </c:pt>
                <c:pt idx="17">
                  <c:v>18224.734436942501</c:v>
                </c:pt>
                <c:pt idx="18">
                  <c:v>19088.198147813157</c:v>
                </c:pt>
                <c:pt idx="19">
                  <c:v>18553.028011451712</c:v>
                </c:pt>
                <c:pt idx="20">
                  <c:v>18939.805460502525</c:v>
                </c:pt>
                <c:pt idx="21">
                  <c:v>18994.993526805851</c:v>
                </c:pt>
                <c:pt idx="22">
                  <c:v>18278.302953548075</c:v>
                </c:pt>
                <c:pt idx="23">
                  <c:v>19582.342769355033</c:v>
                </c:pt>
                <c:pt idx="24">
                  <c:v>19570.475186144038</c:v>
                </c:pt>
                <c:pt idx="25">
                  <c:v>19327.673861761683</c:v>
                </c:pt>
                <c:pt idx="26">
                  <c:v>18029.075027657447</c:v>
                </c:pt>
                <c:pt idx="27">
                  <c:v>18081.049004423898</c:v>
                </c:pt>
              </c:numCache>
            </c:numRef>
          </c:val>
          <c:smooth val="0"/>
          <c:extLst>
            <c:ext xmlns:c16="http://schemas.microsoft.com/office/drawing/2014/chart" uri="{C3380CC4-5D6E-409C-BE32-E72D297353CC}">
              <c16:uniqueId val="{0000000B-521A-4052-915B-F059FD434B62}"/>
            </c:ext>
          </c:extLst>
        </c:ser>
        <c:dLbls>
          <c:showLegendKey val="0"/>
          <c:showVal val="0"/>
          <c:showCatName val="0"/>
          <c:showSerName val="0"/>
          <c:showPercent val="0"/>
          <c:showBubbleSize val="0"/>
        </c:dLbls>
        <c:smooth val="0"/>
        <c:axId val="1363460784"/>
        <c:axId val="1363463696"/>
        <c:extLst>
          <c:ext xmlns:c15="http://schemas.microsoft.com/office/drawing/2012/chart" uri="{02D57815-91ED-43cb-92C2-25804820EDAC}">
            <c15:filteredLineSeries>
              <c15:ser>
                <c:idx val="0"/>
                <c:order val="0"/>
                <c:tx>
                  <c:strRef>
                    <c:extLst>
                      <c:ext uri="{02D57815-91ED-43cb-92C2-25804820EDAC}">
                        <c15:formulaRef>
                          <c15:sqref>'Emissions summary'!$E$114</c15:sqref>
                        </c15:formulaRef>
                      </c:ext>
                    </c:extLst>
                    <c:strCache>
                      <c:ptCount val="1"/>
                      <c:pt idx="0">
                        <c:v>Biomass burning CH4</c:v>
                      </c:pt>
                    </c:strCache>
                  </c:strRef>
                </c:tx>
                <c:spPr>
                  <a:ln w="28575" cap="rnd">
                    <a:solidFill>
                      <a:schemeClr val="accent1"/>
                    </a:solidFill>
                    <a:round/>
                  </a:ln>
                  <a:effectLst/>
                </c:spPr>
                <c:marker>
                  <c:symbol val="none"/>
                </c:marker>
                <c:cat>
                  <c:numRef>
                    <c:extLst>
                      <c:ex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c:ext uri="{02D57815-91ED-43cb-92C2-25804820EDAC}">
                        <c15:formulaRef>
                          <c15:sqref>'Emissions summary'!$F$114:$AG$114</c15:sqref>
                        </c15:formulaRef>
                      </c:ext>
                    </c:extLst>
                    <c:numCache>
                      <c:formatCode>General</c:formatCode>
                      <c:ptCount val="28"/>
                      <c:pt idx="0">
                        <c:v>1113.9523335609101</c:v>
                      </c:pt>
                      <c:pt idx="1">
                        <c:v>1113.9523335609101</c:v>
                      </c:pt>
                      <c:pt idx="2">
                        <c:v>1113.9523335609101</c:v>
                      </c:pt>
                      <c:pt idx="3">
                        <c:v>1113.9523335609101</c:v>
                      </c:pt>
                      <c:pt idx="4">
                        <c:v>1113.9523335609101</c:v>
                      </c:pt>
                      <c:pt idx="5">
                        <c:v>1113.9523335609101</c:v>
                      </c:pt>
                      <c:pt idx="6">
                        <c:v>1113.9523335609101</c:v>
                      </c:pt>
                      <c:pt idx="7">
                        <c:v>1113.9523335609101</c:v>
                      </c:pt>
                      <c:pt idx="8">
                        <c:v>1113.9523335609101</c:v>
                      </c:pt>
                      <c:pt idx="9">
                        <c:v>1113.9523335609101</c:v>
                      </c:pt>
                      <c:pt idx="10">
                        <c:v>1103.4776992955053</c:v>
                      </c:pt>
                      <c:pt idx="11">
                        <c:v>1282.5517441798665</c:v>
                      </c:pt>
                      <c:pt idx="12">
                        <c:v>1288.9176046937982</c:v>
                      </c:pt>
                      <c:pt idx="13">
                        <c:v>1011.4345809085878</c:v>
                      </c:pt>
                      <c:pt idx="14">
                        <c:v>883.38003872679235</c:v>
                      </c:pt>
                      <c:pt idx="15">
                        <c:v>1412.334298727088</c:v>
                      </c:pt>
                      <c:pt idx="16">
                        <c:v>1236.8838978672777</c:v>
                      </c:pt>
                      <c:pt idx="17">
                        <c:v>1218.5771221263838</c:v>
                      </c:pt>
                      <c:pt idx="18">
                        <c:v>1139.8644942847</c:v>
                      </c:pt>
                      <c:pt idx="19">
                        <c:v>1078.8713756473658</c:v>
                      </c:pt>
                      <c:pt idx="20">
                        <c:v>1107.055106514</c:v>
                      </c:pt>
                      <c:pt idx="21">
                        <c:v>1093.3943713178221</c:v>
                      </c:pt>
                      <c:pt idx="22">
                        <c:v>1003.5637069444559</c:v>
                      </c:pt>
                      <c:pt idx="23">
                        <c:v>949.58031288518987</c:v>
                      </c:pt>
                      <c:pt idx="24">
                        <c:v>1016.956735075512</c:v>
                      </c:pt>
                      <c:pt idx="25">
                        <c:v>737.86776841461585</c:v>
                      </c:pt>
                      <c:pt idx="26">
                        <c:v>446.18919850209591</c:v>
                      </c:pt>
                      <c:pt idx="27">
                        <c:v>416.70692080806589</c:v>
                      </c:pt>
                    </c:numCache>
                  </c:numRef>
                </c:val>
                <c:smooth val="0"/>
                <c:extLst>
                  <c:ext xmlns:c16="http://schemas.microsoft.com/office/drawing/2014/chart" uri="{C3380CC4-5D6E-409C-BE32-E72D297353CC}">
                    <c16:uniqueId val="{00000000-521A-4052-915B-F059FD434B6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'Emissions summary'!$E$115</c15:sqref>
                        </c15:formulaRef>
                      </c:ext>
                    </c:extLst>
                    <c:strCache>
                      <c:ptCount val="1"/>
                      <c:pt idx="0">
                        <c:v>Biomass burning N2O</c:v>
                      </c:pt>
                    </c:strCache>
                  </c:strRef>
                </c:tx>
                <c:spPr>
                  <a:ln w="28575" cap="rnd">
                    <a:solidFill>
                      <a:schemeClr val="accent2"/>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summary'!$F$115:$AG$115</c15:sqref>
                        </c15:formulaRef>
                      </c:ext>
                    </c:extLst>
                    <c:numCache>
                      <c:formatCode>General</c:formatCode>
                      <c:ptCount val="28"/>
                      <c:pt idx="0">
                        <c:v>1149.3522600947301</c:v>
                      </c:pt>
                      <c:pt idx="1">
                        <c:v>1149.3522600947301</c:v>
                      </c:pt>
                      <c:pt idx="2">
                        <c:v>1149.3522600947301</c:v>
                      </c:pt>
                      <c:pt idx="3">
                        <c:v>1149.3522600947301</c:v>
                      </c:pt>
                      <c:pt idx="4">
                        <c:v>1149.3522600947301</c:v>
                      </c:pt>
                      <c:pt idx="5">
                        <c:v>1149.3522600947301</c:v>
                      </c:pt>
                      <c:pt idx="6">
                        <c:v>1149.3522600947301</c:v>
                      </c:pt>
                      <c:pt idx="7">
                        <c:v>1149.3522600947301</c:v>
                      </c:pt>
                      <c:pt idx="8">
                        <c:v>1149.3522600947301</c:v>
                      </c:pt>
                      <c:pt idx="9">
                        <c:v>1149.3522600947301</c:v>
                      </c:pt>
                      <c:pt idx="10">
                        <c:v>1138.2881924240246</c:v>
                      </c:pt>
                      <c:pt idx="11">
                        <c:v>1347.8625366593228</c:v>
                      </c:pt>
                      <c:pt idx="12">
                        <c:v>1328.3690110437451</c:v>
                      </c:pt>
                      <c:pt idx="13">
                        <c:v>1017.5651134275211</c:v>
                      </c:pt>
                      <c:pt idx="14">
                        <c:v>914.67644691903695</c:v>
                      </c:pt>
                      <c:pt idx="15">
                        <c:v>1447.9112474339306</c:v>
                      </c:pt>
                      <c:pt idx="16">
                        <c:v>1263.4019893034997</c:v>
                      </c:pt>
                      <c:pt idx="17">
                        <c:v>1217.4357899565925</c:v>
                      </c:pt>
                      <c:pt idx="18">
                        <c:v>1180.1818937292605</c:v>
                      </c:pt>
                      <c:pt idx="19">
                        <c:v>1108.1395844539597</c:v>
                      </c:pt>
                      <c:pt idx="20">
                        <c:v>1121.7567904983002</c:v>
                      </c:pt>
                      <c:pt idx="21">
                        <c:v>1111.0832034573957</c:v>
                      </c:pt>
                      <c:pt idx="22">
                        <c:v>1002.2217969563279</c:v>
                      </c:pt>
                      <c:pt idx="23">
                        <c:v>980.55948658247996</c:v>
                      </c:pt>
                      <c:pt idx="24">
                        <c:v>1029.1314860411758</c:v>
                      </c:pt>
                      <c:pt idx="25">
                        <c:v>747.9095108761079</c:v>
                      </c:pt>
                      <c:pt idx="26">
                        <c:v>434.96704823788798</c:v>
                      </c:pt>
                      <c:pt idx="27">
                        <c:v>408.31943255002801</c:v>
                      </c:pt>
                    </c:numCache>
                  </c:numRef>
                </c:val>
                <c:smooth val="0"/>
                <c:extLst xmlns:c15="http://schemas.microsoft.com/office/drawing/2012/chart">
                  <c:ext xmlns:c16="http://schemas.microsoft.com/office/drawing/2014/chart" uri="{C3380CC4-5D6E-409C-BE32-E72D297353CC}">
                    <c16:uniqueId val="{00000001-521A-4052-915B-F059FD434B6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'Emissions summary'!$E$116</c15:sqref>
                        </c15:formulaRef>
                      </c:ext>
                    </c:extLst>
                    <c:strCache>
                      <c:ptCount val="1"/>
                      <c:pt idx="0">
                        <c:v>Liming</c:v>
                      </c:pt>
                    </c:strCache>
                  </c:strRef>
                </c:tx>
                <c:spPr>
                  <a:ln w="28575" cap="rnd">
                    <a:solidFill>
                      <a:schemeClr val="accent3"/>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summary'!$F$116:$AG$116</c15:sqref>
                        </c15:formulaRef>
                      </c:ext>
                    </c:extLst>
                    <c:numCache>
                      <c:formatCode>General</c:formatCode>
                      <c:ptCount val="28"/>
                      <c:pt idx="0">
                        <c:v>357.5</c:v>
                      </c:pt>
                      <c:pt idx="1">
                        <c:v>378.125</c:v>
                      </c:pt>
                      <c:pt idx="2">
                        <c:v>261.25</c:v>
                      </c:pt>
                      <c:pt idx="3">
                        <c:v>412.5</c:v>
                      </c:pt>
                      <c:pt idx="4">
                        <c:v>595.58170833333327</c:v>
                      </c:pt>
                      <c:pt idx="5">
                        <c:v>473.34145833333332</c:v>
                      </c:pt>
                      <c:pt idx="6">
                        <c:v>579.13625000000002</c:v>
                      </c:pt>
                      <c:pt idx="7">
                        <c:v>547.24312499999996</c:v>
                      </c:pt>
                      <c:pt idx="8">
                        <c:v>570.31379166666659</c:v>
                      </c:pt>
                      <c:pt idx="9">
                        <c:v>567.03808333333325</c:v>
                      </c:pt>
                      <c:pt idx="10">
                        <c:v>378.2405</c:v>
                      </c:pt>
                      <c:pt idx="11">
                        <c:v>489.66362500000002</c:v>
                      </c:pt>
                      <c:pt idx="12">
                        <c:v>672.79437500000006</c:v>
                      </c:pt>
                      <c:pt idx="13">
                        <c:v>580.13175000000001</c:v>
                      </c:pt>
                      <c:pt idx="14">
                        <c:v>579.7403333333333</c:v>
                      </c:pt>
                      <c:pt idx="15">
                        <c:v>266.03683333333333</c:v>
                      </c:pt>
                      <c:pt idx="16">
                        <c:v>441.42908333333332</c:v>
                      </c:pt>
                      <c:pt idx="17">
                        <c:v>521.42108333333329</c:v>
                      </c:pt>
                      <c:pt idx="18">
                        <c:v>655.32637499999998</c:v>
                      </c:pt>
                      <c:pt idx="19">
                        <c:v>695.56775237855516</c:v>
                      </c:pt>
                      <c:pt idx="20">
                        <c:v>653.23730656422072</c:v>
                      </c:pt>
                      <c:pt idx="21">
                        <c:v>722.61220387104663</c:v>
                      </c:pt>
                      <c:pt idx="22">
                        <c:v>829.6141641239476</c:v>
                      </c:pt>
                      <c:pt idx="23">
                        <c:v>749.65665536353811</c:v>
                      </c:pt>
                      <c:pt idx="24">
                        <c:v>773.17356970483502</c:v>
                      </c:pt>
                      <c:pt idx="25">
                        <c:v>780.22864400722403</c:v>
                      </c:pt>
                      <c:pt idx="26">
                        <c:v>982.47410734237747</c:v>
                      </c:pt>
                      <c:pt idx="27">
                        <c:v>1218.2311736138793</c:v>
                      </c:pt>
                    </c:numCache>
                  </c:numRef>
                </c:val>
                <c:smooth val="0"/>
                <c:extLst xmlns:c15="http://schemas.microsoft.com/office/drawing/2012/chart">
                  <c:ext xmlns:c16="http://schemas.microsoft.com/office/drawing/2014/chart" uri="{C3380CC4-5D6E-409C-BE32-E72D297353CC}">
                    <c16:uniqueId val="{00000002-521A-4052-915B-F059FD434B6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'Emissions summary'!$E$117</c15:sqref>
                        </c15:formulaRef>
                      </c:ext>
                    </c:extLst>
                    <c:strCache>
                      <c:ptCount val="1"/>
                      <c:pt idx="0">
                        <c:v>Urea</c:v>
                      </c:pt>
                    </c:strCache>
                  </c:strRef>
                </c:tx>
                <c:spPr>
                  <a:ln w="28575" cap="rnd">
                    <a:solidFill>
                      <a:schemeClr val="accent4"/>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summary'!$F$117:$AG$117</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256.05324352263762</c:v>
                      </c:pt>
                      <c:pt idx="9">
                        <c:v>276.68557802753202</c:v>
                      </c:pt>
                      <c:pt idx="10">
                        <c:v>297.31791253242642</c:v>
                      </c:pt>
                      <c:pt idx="11">
                        <c:v>317.95024703732088</c:v>
                      </c:pt>
                      <c:pt idx="12">
                        <c:v>338.58258154220977</c:v>
                      </c:pt>
                      <c:pt idx="13">
                        <c:v>359.21491604710423</c:v>
                      </c:pt>
                      <c:pt idx="14">
                        <c:v>435.89846666666671</c:v>
                      </c:pt>
                      <c:pt idx="15">
                        <c:v>355.08659999999998</c:v>
                      </c:pt>
                      <c:pt idx="16">
                        <c:v>393.08573333333334</c:v>
                      </c:pt>
                      <c:pt idx="17">
                        <c:v>484.55366666666663</c:v>
                      </c:pt>
                      <c:pt idx="18">
                        <c:v>480.19253333333336</c:v>
                      </c:pt>
                      <c:pt idx="19">
                        <c:v>380.54426666666666</c:v>
                      </c:pt>
                      <c:pt idx="20">
                        <c:v>501.48046666666664</c:v>
                      </c:pt>
                      <c:pt idx="21">
                        <c:v>571.19113333333337</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3-521A-4052-915B-F059FD434B6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'Emissions summary'!$E$119</c15:sqref>
                        </c15:formulaRef>
                      </c:ext>
                    </c:extLst>
                    <c:strCache>
                      <c:ptCount val="1"/>
                      <c:pt idx="0">
                        <c:v>Indirect N2O from MS</c:v>
                      </c:pt>
                    </c:strCache>
                  </c:strRef>
                </c:tx>
                <c:spPr>
                  <a:ln w="28575" cap="rnd">
                    <a:solidFill>
                      <a:schemeClr val="accent6"/>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summary'!$F$119:$AG$119</c15:sqref>
                        </c15:formulaRef>
                      </c:ext>
                    </c:extLst>
                    <c:numCache>
                      <c:formatCode>General</c:formatCode>
                      <c:ptCount val="28"/>
                      <c:pt idx="0">
                        <c:v>2388.0102035123605</c:v>
                      </c:pt>
                      <c:pt idx="1">
                        <c:v>2422.3649563517615</c:v>
                      </c:pt>
                      <c:pt idx="2">
                        <c:v>2366.0160295258652</c:v>
                      </c:pt>
                      <c:pt idx="3">
                        <c:v>2332.024314033295</c:v>
                      </c:pt>
                      <c:pt idx="4">
                        <c:v>2269.8856393890724</c:v>
                      </c:pt>
                      <c:pt idx="5">
                        <c:v>2257.3551747657566</c:v>
                      </c:pt>
                      <c:pt idx="6">
                        <c:v>2332.8794219128258</c:v>
                      </c:pt>
                      <c:pt idx="7">
                        <c:v>2353.4608848045295</c:v>
                      </c:pt>
                      <c:pt idx="8">
                        <c:v>2375.1086873788704</c:v>
                      </c:pt>
                      <c:pt idx="9">
                        <c:v>2369.8122167060246</c:v>
                      </c:pt>
                      <c:pt idx="10">
                        <c:v>2379.1334621159244</c:v>
                      </c:pt>
                      <c:pt idx="11">
                        <c:v>2332.4757077458062</c:v>
                      </c:pt>
                      <c:pt idx="12">
                        <c:v>2352.5031586422174</c:v>
                      </c:pt>
                      <c:pt idx="13">
                        <c:v>2317.0522227606916</c:v>
                      </c:pt>
                      <c:pt idx="14">
                        <c:v>2291.1004488983099</c:v>
                      </c:pt>
                      <c:pt idx="15">
                        <c:v>2260.716684821874</c:v>
                      </c:pt>
                      <c:pt idx="16">
                        <c:v>2276.1004128580194</c:v>
                      </c:pt>
                      <c:pt idx="17">
                        <c:v>2334.5451499588221</c:v>
                      </c:pt>
                      <c:pt idx="18">
                        <c:v>2364.8401504898161</c:v>
                      </c:pt>
                      <c:pt idx="19">
                        <c:v>2357.3087175615215</c:v>
                      </c:pt>
                      <c:pt idx="20">
                        <c:v>2316.7336232801035</c:v>
                      </c:pt>
                      <c:pt idx="21">
                        <c:v>2313.3914976011652</c:v>
                      </c:pt>
                      <c:pt idx="22">
                        <c:v>2334.0985551108756</c:v>
                      </c:pt>
                      <c:pt idx="23">
                        <c:v>2348.8400209329502</c:v>
                      </c:pt>
                      <c:pt idx="24">
                        <c:v>2344.4692750460258</c:v>
                      </c:pt>
                      <c:pt idx="25">
                        <c:v>2299.7650755104332</c:v>
                      </c:pt>
                      <c:pt idx="26">
                        <c:v>2252.6390591444524</c:v>
                      </c:pt>
                      <c:pt idx="27">
                        <c:v>2235.452591217253</c:v>
                      </c:pt>
                    </c:numCache>
                  </c:numRef>
                </c:val>
                <c:smooth val="0"/>
                <c:extLst xmlns:c15="http://schemas.microsoft.com/office/drawing/2012/chart">
                  <c:ext xmlns:c16="http://schemas.microsoft.com/office/drawing/2014/chart" uri="{C3380CC4-5D6E-409C-BE32-E72D297353CC}">
                    <c16:uniqueId val="{00000005-521A-4052-915B-F059FD434B6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'Emissions summary'!$E$120</c15:sqref>
                        </c15:formulaRef>
                      </c:ext>
                    </c:extLst>
                    <c:strCache>
                      <c:ptCount val="1"/>
                      <c:pt idx="0">
                        <c:v>Indirect N2O from MM</c:v>
                      </c:pt>
                    </c:strCache>
                  </c:strRef>
                </c:tx>
                <c:spPr>
                  <a:ln w="28575" cap="rnd">
                    <a:solidFill>
                      <a:schemeClr val="accent1">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summary'!$F$120:$AG$120</c15:sqref>
                        </c15:formulaRef>
                      </c:ext>
                    </c:extLst>
                    <c:numCache>
                      <c:formatCode>General</c:formatCode>
                      <c:ptCount val="28"/>
                      <c:pt idx="0">
                        <c:v>343.10330161578099</c:v>
                      </c:pt>
                      <c:pt idx="1">
                        <c:v>365.58614133033353</c:v>
                      </c:pt>
                      <c:pt idx="2">
                        <c:v>339.91114682728761</c:v>
                      </c:pt>
                      <c:pt idx="3">
                        <c:v>352.62601984444137</c:v>
                      </c:pt>
                      <c:pt idx="4">
                        <c:v>336.24824053022888</c:v>
                      </c:pt>
                      <c:pt idx="5">
                        <c:v>354.90652971327108</c:v>
                      </c:pt>
                      <c:pt idx="6">
                        <c:v>370.7282945162878</c:v>
                      </c:pt>
                      <c:pt idx="7">
                        <c:v>367.33263044382841</c:v>
                      </c:pt>
                      <c:pt idx="8">
                        <c:v>376.31467332854538</c:v>
                      </c:pt>
                      <c:pt idx="9">
                        <c:v>380.26274683162796</c:v>
                      </c:pt>
                      <c:pt idx="10">
                        <c:v>420.72277135231604</c:v>
                      </c:pt>
                      <c:pt idx="11">
                        <c:v>418.37207720994593</c:v>
                      </c:pt>
                      <c:pt idx="12">
                        <c:v>406.12517665445523</c:v>
                      </c:pt>
                      <c:pt idx="13">
                        <c:v>385.62180744131297</c:v>
                      </c:pt>
                      <c:pt idx="14">
                        <c:v>383.11027791084422</c:v>
                      </c:pt>
                      <c:pt idx="15">
                        <c:v>402.62502084090437</c:v>
                      </c:pt>
                      <c:pt idx="16">
                        <c:v>407.68948429226828</c:v>
                      </c:pt>
                      <c:pt idx="17">
                        <c:v>415.77221135959962</c:v>
                      </c:pt>
                      <c:pt idx="18">
                        <c:v>450.38785912632164</c:v>
                      </c:pt>
                      <c:pt idx="19">
                        <c:v>447.90280780802436</c:v>
                      </c:pt>
                      <c:pt idx="20">
                        <c:v>450.47531382738657</c:v>
                      </c:pt>
                      <c:pt idx="21">
                        <c:v>455.70252815125627</c:v>
                      </c:pt>
                      <c:pt idx="22">
                        <c:v>454.2990120208886</c:v>
                      </c:pt>
                      <c:pt idx="23">
                        <c:v>467.1027930484243</c:v>
                      </c:pt>
                      <c:pt idx="24">
                        <c:v>463.97224881283108</c:v>
                      </c:pt>
                      <c:pt idx="25">
                        <c:v>471.70799949786652</c:v>
                      </c:pt>
                      <c:pt idx="26">
                        <c:v>471.14622162385422</c:v>
                      </c:pt>
                      <c:pt idx="27">
                        <c:v>483.13167606001025</c:v>
                      </c:pt>
                    </c:numCache>
                  </c:numRef>
                </c:val>
                <c:smooth val="0"/>
                <c:extLst xmlns:c15="http://schemas.microsoft.com/office/drawing/2012/chart">
                  <c:ext xmlns:c16="http://schemas.microsoft.com/office/drawing/2014/chart" uri="{C3380CC4-5D6E-409C-BE32-E72D297353CC}">
                    <c16:uniqueId val="{00000006-521A-4052-915B-F059FD434B6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'Emissions summary'!$E$121</c15:sqref>
                        </c15:formulaRef>
                      </c:ext>
                    </c:extLst>
                    <c:strCache>
                      <c:ptCount val="1"/>
                      <c:pt idx="0">
                        <c:v>Biomass burning CH4 (inventory)</c:v>
                      </c:pt>
                    </c:strCache>
                  </c:strRef>
                </c:tx>
                <c:spPr>
                  <a:ln w="28575" cap="rnd">
                    <a:solidFill>
                      <a:schemeClr val="accent2">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summary'!$F$121:$AG$121</c15:sqref>
                        </c15:formulaRef>
                      </c:ext>
                    </c:extLst>
                    <c:numCache>
                      <c:formatCode>General</c:formatCode>
                      <c:ptCount val="28"/>
                      <c:pt idx="0">
                        <c:v>1114.2730572677472</c:v>
                      </c:pt>
                      <c:pt idx="1">
                        <c:v>1114.2730572677472</c:v>
                      </c:pt>
                      <c:pt idx="2">
                        <c:v>1114.2730572677472</c:v>
                      </c:pt>
                      <c:pt idx="3">
                        <c:v>1114.2730572677472</c:v>
                      </c:pt>
                      <c:pt idx="4">
                        <c:v>1114.2730572677472</c:v>
                      </c:pt>
                      <c:pt idx="5">
                        <c:v>1114.2730572677472</c:v>
                      </c:pt>
                      <c:pt idx="6">
                        <c:v>1114.2730572677472</c:v>
                      </c:pt>
                      <c:pt idx="7">
                        <c:v>1114.2730572677472</c:v>
                      </c:pt>
                      <c:pt idx="8">
                        <c:v>1114.2730572677472</c:v>
                      </c:pt>
                      <c:pt idx="9">
                        <c:v>1114.2730572677472</c:v>
                      </c:pt>
                      <c:pt idx="10">
                        <c:v>1103.7473247333526</c:v>
                      </c:pt>
                      <c:pt idx="11">
                        <c:v>1295.1615779672622</c:v>
                      </c:pt>
                      <c:pt idx="12">
                        <c:v>1300.4179901779976</c:v>
                      </c:pt>
                      <c:pt idx="13">
                        <c:v>1021.2239026078485</c:v>
                      </c:pt>
                      <c:pt idx="14">
                        <c:v>890.95637702591955</c:v>
                      </c:pt>
                      <c:pt idx="15">
                        <c:v>1429.3697355873492</c:v>
                      </c:pt>
                      <c:pt idx="16">
                        <c:v>1251.7694565972624</c:v>
                      </c:pt>
                      <c:pt idx="17">
                        <c:v>1234.9730242836924</c:v>
                      </c:pt>
                      <c:pt idx="18">
                        <c:v>1150.1284038185643</c:v>
                      </c:pt>
                      <c:pt idx="19">
                        <c:v>1091.261696265384</c:v>
                      </c:pt>
                      <c:pt idx="20">
                        <c:v>1116.957250242162</c:v>
                      </c:pt>
                      <c:pt idx="21">
                        <c:v>1100.5811063069254</c:v>
                      </c:pt>
                      <c:pt idx="22">
                        <c:v>1010.9312887182766</c:v>
                      </c:pt>
                      <c:pt idx="23">
                        <c:v>956.65662263461502</c:v>
                      </c:pt>
                      <c:pt idx="24">
                        <c:v>1024.1532025090505</c:v>
                      </c:pt>
                      <c:pt idx="25">
                        <c:v>742.78507159014475</c:v>
                      </c:pt>
                      <c:pt idx="26">
                        <c:v>448.47103409650083</c:v>
                      </c:pt>
                      <c:pt idx="27">
                        <c:v>418.78097085765791</c:v>
                      </c:pt>
                    </c:numCache>
                  </c:numRef>
                </c:val>
                <c:smooth val="0"/>
                <c:extLst xmlns:c15="http://schemas.microsoft.com/office/drawing/2012/chart">
                  <c:ext xmlns:c16="http://schemas.microsoft.com/office/drawing/2014/chart" uri="{C3380CC4-5D6E-409C-BE32-E72D297353CC}">
                    <c16:uniqueId val="{00000007-521A-4052-915B-F059FD434B6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'Emissions summary'!$E$122</c15:sqref>
                        </c15:formulaRef>
                      </c:ext>
                    </c:extLst>
                    <c:strCache>
                      <c:ptCount val="1"/>
                      <c:pt idx="0">
                        <c:v>Biomass burning N2O (inventory)</c:v>
                      </c:pt>
                    </c:strCache>
                  </c:strRef>
                </c:tx>
                <c:spPr>
                  <a:ln w="28575" cap="rnd">
                    <a:solidFill>
                      <a:schemeClr val="accent3">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summary'!$F$122:$AG$122</c15:sqref>
                        </c15:formulaRef>
                      </c:ext>
                    </c:extLst>
                    <c:numCache>
                      <c:formatCode>General</c:formatCode>
                      <c:ptCount val="28"/>
                      <c:pt idx="0">
                        <c:v>1149.6141682079121</c:v>
                      </c:pt>
                      <c:pt idx="1">
                        <c:v>1149.6141682079121</c:v>
                      </c:pt>
                      <c:pt idx="2">
                        <c:v>1149.6141682079121</c:v>
                      </c:pt>
                      <c:pt idx="3">
                        <c:v>1149.6141682079121</c:v>
                      </c:pt>
                      <c:pt idx="4">
                        <c:v>1149.6141682079121</c:v>
                      </c:pt>
                      <c:pt idx="5">
                        <c:v>1149.6141682079121</c:v>
                      </c:pt>
                      <c:pt idx="6">
                        <c:v>1149.6141682079121</c:v>
                      </c:pt>
                      <c:pt idx="7">
                        <c:v>1149.6141682079121</c:v>
                      </c:pt>
                      <c:pt idx="8">
                        <c:v>1149.6141682079121</c:v>
                      </c:pt>
                      <c:pt idx="9">
                        <c:v>1149.6141682079121</c:v>
                      </c:pt>
                      <c:pt idx="10">
                        <c:v>1138.5083728727629</c:v>
                      </c:pt>
                      <c:pt idx="11">
                        <c:v>1348.0477860975932</c:v>
                      </c:pt>
                      <c:pt idx="12">
                        <c:v>1328.8199324792706</c:v>
                      </c:pt>
                      <c:pt idx="13">
                        <c:v>1017.846389296701</c:v>
                      </c:pt>
                      <c:pt idx="14">
                        <c:v>914.84836029323264</c:v>
                      </c:pt>
                      <c:pt idx="15">
                        <c:v>1448.2029822975244</c:v>
                      </c:pt>
                      <c:pt idx="16">
                        <c:v>1263.6284316097351</c:v>
                      </c:pt>
                      <c:pt idx="17">
                        <c:v>1217.6306521923173</c:v>
                      </c:pt>
                      <c:pt idx="18">
                        <c:v>1180.4178811371937</c:v>
                      </c:pt>
                      <c:pt idx="19">
                        <c:v>1108.455283615433</c:v>
                      </c:pt>
                      <c:pt idx="20">
                        <c:v>1122.512590663056</c:v>
                      </c:pt>
                      <c:pt idx="21">
                        <c:v>1111.8425729905728</c:v>
                      </c:pt>
                      <c:pt idx="22">
                        <c:v>1003.2623700366383</c:v>
                      </c:pt>
                      <c:pt idx="23">
                        <c:v>980.98785105992999</c:v>
                      </c:pt>
                      <c:pt idx="24">
                        <c:v>1029.413853897383</c:v>
                      </c:pt>
                      <c:pt idx="25">
                        <c:v>748.29527463252236</c:v>
                      </c:pt>
                      <c:pt idx="26">
                        <c:v>435.50232253439043</c:v>
                      </c:pt>
                      <c:pt idx="27">
                        <c:v>408.72643283393637</c:v>
                      </c:pt>
                    </c:numCache>
                  </c:numRef>
                </c:val>
                <c:smooth val="0"/>
                <c:extLst xmlns:c15="http://schemas.microsoft.com/office/drawing/2012/chart">
                  <c:ext xmlns:c16="http://schemas.microsoft.com/office/drawing/2014/chart" uri="{C3380CC4-5D6E-409C-BE32-E72D297353CC}">
                    <c16:uniqueId val="{00000008-521A-4052-915B-F059FD434B6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'Emissions summary'!$E$123</c15:sqref>
                        </c15:formulaRef>
                      </c:ext>
                    </c:extLst>
                    <c:strCache>
                      <c:ptCount val="1"/>
                      <c:pt idx="0">
                        <c:v>Liming (inventory)</c:v>
                      </c:pt>
                    </c:strCache>
                  </c:strRef>
                </c:tx>
                <c:spPr>
                  <a:ln w="28575" cap="rnd">
                    <a:solidFill>
                      <a:schemeClr val="accent4">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summary'!$F$123:$AG$123</c15:sqref>
                        </c15:formulaRef>
                      </c:ext>
                    </c:extLst>
                    <c:numCache>
                      <c:formatCode>General</c:formatCode>
                      <c:ptCount val="28"/>
                      <c:pt idx="0">
                        <c:v>363.73333333333335</c:v>
                      </c:pt>
                      <c:pt idx="1">
                        <c:v>386.1</c:v>
                      </c:pt>
                      <c:pt idx="2">
                        <c:v>266.2</c:v>
                      </c:pt>
                      <c:pt idx="3">
                        <c:v>413.6</c:v>
                      </c:pt>
                      <c:pt idx="4">
                        <c:v>603.75919999999996</c:v>
                      </c:pt>
                      <c:pt idx="5">
                        <c:v>481.52980333333335</c:v>
                      </c:pt>
                      <c:pt idx="6">
                        <c:v>588.48859666666669</c:v>
                      </c:pt>
                      <c:pt idx="7">
                        <c:v>556.65125999999998</c:v>
                      </c:pt>
                      <c:pt idx="8">
                        <c:v>581.37815999999998</c:v>
                      </c:pt>
                      <c:pt idx="9">
                        <c:v>577.08170666666672</c:v>
                      </c:pt>
                      <c:pt idx="10">
                        <c:v>384.05253333333332</c:v>
                      </c:pt>
                      <c:pt idx="11">
                        <c:v>497.15031666666664</c:v>
                      </c:pt>
                      <c:pt idx="12">
                        <c:v>683.69223999999997</c:v>
                      </c:pt>
                      <c:pt idx="13">
                        <c:v>585.99346666666668</c:v>
                      </c:pt>
                      <c:pt idx="14">
                        <c:v>585.5420633333332</c:v>
                      </c:pt>
                      <c:pt idx="15">
                        <c:v>267.37941999999998</c:v>
                      </c:pt>
                      <c:pt idx="16">
                        <c:v>445.96068000000002</c:v>
                      </c:pt>
                      <c:pt idx="17">
                        <c:v>524.87031666666667</c:v>
                      </c:pt>
                      <c:pt idx="18">
                        <c:v>658.9218166666667</c:v>
                      </c:pt>
                      <c:pt idx="19">
                        <c:v>701.39039489690549</c:v>
                      </c:pt>
                      <c:pt idx="20">
                        <c:v>659.21936851962221</c:v>
                      </c:pt>
                      <c:pt idx="21">
                        <c:v>728.33299508239213</c:v>
                      </c:pt>
                      <c:pt idx="22">
                        <c:v>834.93197842496943</c:v>
                      </c:pt>
                      <c:pt idx="23">
                        <c:v>755.27559526787866</c:v>
                      </c:pt>
                      <c:pt idx="24">
                        <c:v>778.70394325525831</c:v>
                      </c:pt>
                      <c:pt idx="25">
                        <c:v>785.73244765147194</c:v>
                      </c:pt>
                      <c:pt idx="26">
                        <c:v>987.21624034293666</c:v>
                      </c:pt>
                      <c:pt idx="27">
                        <c:v>1222.085428916417</c:v>
                      </c:pt>
                    </c:numCache>
                  </c:numRef>
                </c:val>
                <c:smooth val="0"/>
                <c:extLst xmlns:c15="http://schemas.microsoft.com/office/drawing/2012/chart">
                  <c:ext xmlns:c16="http://schemas.microsoft.com/office/drawing/2014/chart" uri="{C3380CC4-5D6E-409C-BE32-E72D297353CC}">
                    <c16:uniqueId val="{00000009-521A-4052-915B-F059FD434B62}"/>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'Emissions summary'!$E$124</c15:sqref>
                        </c15:formulaRef>
                      </c:ext>
                    </c:extLst>
                    <c:strCache>
                      <c:ptCount val="1"/>
                      <c:pt idx="0">
                        <c:v>Urea (inventory)</c:v>
                      </c:pt>
                    </c:strCache>
                  </c:strRef>
                </c:tx>
                <c:spPr>
                  <a:ln w="28575" cap="rnd">
                    <a:solidFill>
                      <a:schemeClr val="accent5">
                        <a:lumMod val="6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summary'!$F$124:$AG$124</c15:sqref>
                        </c15:formulaRef>
                      </c:ext>
                    </c:extLst>
                    <c:numCache>
                      <c:formatCode>General</c:formatCode>
                      <c:ptCount val="28"/>
                      <c:pt idx="0">
                        <c:v>90.994567483487728</c:v>
                      </c:pt>
                      <c:pt idx="1">
                        <c:v>111.62690198838213</c:v>
                      </c:pt>
                      <c:pt idx="2">
                        <c:v>132.25923649327655</c:v>
                      </c:pt>
                      <c:pt idx="3">
                        <c:v>152.89157099816552</c:v>
                      </c:pt>
                      <c:pt idx="4">
                        <c:v>173.52390550305992</c:v>
                      </c:pt>
                      <c:pt idx="5">
                        <c:v>194.15624000795432</c:v>
                      </c:pt>
                      <c:pt idx="6">
                        <c:v>214.78857451284878</c:v>
                      </c:pt>
                      <c:pt idx="7">
                        <c:v>235.42090901774316</c:v>
                      </c:pt>
                      <c:pt idx="8">
                        <c:v>256.05324352263756</c:v>
                      </c:pt>
                      <c:pt idx="9">
                        <c:v>276.68557802753202</c:v>
                      </c:pt>
                      <c:pt idx="10">
                        <c:v>297.31791253242642</c:v>
                      </c:pt>
                      <c:pt idx="11">
                        <c:v>317.95024703732088</c:v>
                      </c:pt>
                      <c:pt idx="12">
                        <c:v>338.58258154220977</c:v>
                      </c:pt>
                      <c:pt idx="13">
                        <c:v>359.21491604710423</c:v>
                      </c:pt>
                      <c:pt idx="14">
                        <c:v>435.89846666666665</c:v>
                      </c:pt>
                      <c:pt idx="15">
                        <c:v>355.08659999999998</c:v>
                      </c:pt>
                      <c:pt idx="16">
                        <c:v>393.08573333333334</c:v>
                      </c:pt>
                      <c:pt idx="17">
                        <c:v>484.55366666666663</c:v>
                      </c:pt>
                      <c:pt idx="18">
                        <c:v>480.1925333333333</c:v>
                      </c:pt>
                      <c:pt idx="19">
                        <c:v>380.54426666666666</c:v>
                      </c:pt>
                      <c:pt idx="20">
                        <c:v>501.48046666666664</c:v>
                      </c:pt>
                      <c:pt idx="21">
                        <c:v>571.19113333333325</c:v>
                      </c:pt>
                      <c:pt idx="22">
                        <c:v>587.22106666666662</c:v>
                      </c:pt>
                      <c:pt idx="23">
                        <c:v>533.06336966666674</c:v>
                      </c:pt>
                      <c:pt idx="24">
                        <c:v>663.77159200000006</c:v>
                      </c:pt>
                      <c:pt idx="25">
                        <c:v>486.09938600666663</c:v>
                      </c:pt>
                      <c:pt idx="26">
                        <c:v>643.60119999999995</c:v>
                      </c:pt>
                      <c:pt idx="27">
                        <c:v>679.61446666666666</c:v>
                      </c:pt>
                    </c:numCache>
                  </c:numRef>
                </c:val>
                <c:smooth val="0"/>
                <c:extLst xmlns:c15="http://schemas.microsoft.com/office/drawing/2012/chart">
                  <c:ext xmlns:c16="http://schemas.microsoft.com/office/drawing/2014/chart" uri="{C3380CC4-5D6E-409C-BE32-E72D297353CC}">
                    <c16:uniqueId val="{0000000A-521A-4052-915B-F059FD434B62}"/>
                  </c:ext>
                </c:extLst>
              </c15:ser>
            </c15:filteredLineSeries>
            <c15:filteredLineSeries>
              <c15:ser>
                <c:idx val="12"/>
                <c:order val="12"/>
                <c:tx>
                  <c:strRef>
                    <c:extLst xmlns:c15="http://schemas.microsoft.com/office/drawing/2012/chart">
                      <c:ext xmlns:c15="http://schemas.microsoft.com/office/drawing/2012/chart" uri="{02D57815-91ED-43cb-92C2-25804820EDAC}">
                        <c15:formulaRef>
                          <c15:sqref>'Emissions summary'!$E$126</c15:sqref>
                        </c15:formulaRef>
                      </c:ext>
                    </c:extLst>
                    <c:strCache>
                      <c:ptCount val="1"/>
                      <c:pt idx="0">
                        <c:v>Indirect N2O from MS (inventory)</c:v>
                      </c:pt>
                    </c:strCache>
                  </c:strRef>
                </c:tx>
                <c:spPr>
                  <a:ln w="28575" cap="rnd">
                    <a:solidFill>
                      <a:schemeClr val="accent1">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summary'!$F$126:$AG$126</c15:sqref>
                        </c15:formulaRef>
                      </c:ext>
                    </c:extLst>
                    <c:numCache>
                      <c:formatCode>General</c:formatCode>
                      <c:ptCount val="28"/>
                      <c:pt idx="0">
                        <c:v>2447.8863951470803</c:v>
                      </c:pt>
                      <c:pt idx="1">
                        <c:v>2496.9018451868697</c:v>
                      </c:pt>
                      <c:pt idx="2">
                        <c:v>2435.3630625952328</c:v>
                      </c:pt>
                      <c:pt idx="3">
                        <c:v>2396.995208451192</c:v>
                      </c:pt>
                      <c:pt idx="4">
                        <c:v>2325.2582722477832</c:v>
                      </c:pt>
                      <c:pt idx="5">
                        <c:v>2349.1668279124592</c:v>
                      </c:pt>
                      <c:pt idx="6">
                        <c:v>2406.4403578126485</c:v>
                      </c:pt>
                      <c:pt idx="7">
                        <c:v>2433.097951693017</c:v>
                      </c:pt>
                      <c:pt idx="8">
                        <c:v>2471.2628832175142</c:v>
                      </c:pt>
                      <c:pt idx="9">
                        <c:v>2472.2132034057472</c:v>
                      </c:pt>
                      <c:pt idx="10">
                        <c:v>2480.4922407158388</c:v>
                      </c:pt>
                      <c:pt idx="11">
                        <c:v>2454.0922943343203</c:v>
                      </c:pt>
                      <c:pt idx="12">
                        <c:v>2476.3439129367157</c:v>
                      </c:pt>
                      <c:pt idx="13">
                        <c:v>2359.3324950161041</c:v>
                      </c:pt>
                      <c:pt idx="14">
                        <c:v>2347.4845744803165</c:v>
                      </c:pt>
                      <c:pt idx="15">
                        <c:v>2284.6952992295182</c:v>
                      </c:pt>
                      <c:pt idx="16">
                        <c:v>2357.5665947783837</c:v>
                      </c:pt>
                      <c:pt idx="17">
                        <c:v>2297.5662221729922</c:v>
                      </c:pt>
                      <c:pt idx="18">
                        <c:v>2380.9463845396517</c:v>
                      </c:pt>
                      <c:pt idx="19">
                        <c:v>2329.35287655092</c:v>
                      </c:pt>
                      <c:pt idx="20">
                        <c:v>2369.3465541862302</c:v>
                      </c:pt>
                      <c:pt idx="21">
                        <c:v>2370.4305491547971</c:v>
                      </c:pt>
                      <c:pt idx="22">
                        <c:v>2269.153208313021</c:v>
                      </c:pt>
                      <c:pt idx="23">
                        <c:v>2431.7524623901409</c:v>
                      </c:pt>
                      <c:pt idx="24">
                        <c:v>2430.5768400701409</c:v>
                      </c:pt>
                      <c:pt idx="25">
                        <c:v>2407.0023766672321</c:v>
                      </c:pt>
                      <c:pt idx="26">
                        <c:v>2265.174978621726</c:v>
                      </c:pt>
                      <c:pt idx="27">
                        <c:v>2253.2585636522972</c:v>
                      </c:pt>
                    </c:numCache>
                  </c:numRef>
                </c:val>
                <c:smooth val="0"/>
                <c:extLst xmlns:c15="http://schemas.microsoft.com/office/drawing/2012/chart">
                  <c:ext xmlns:c16="http://schemas.microsoft.com/office/drawing/2014/chart" uri="{C3380CC4-5D6E-409C-BE32-E72D297353CC}">
                    <c16:uniqueId val="{0000000C-521A-4052-915B-F059FD434B62}"/>
                  </c:ext>
                </c:extLst>
              </c15:ser>
            </c15:filteredLineSeries>
            <c15:filteredLineSeries>
              <c15:ser>
                <c:idx val="13"/>
                <c:order val="13"/>
                <c:tx>
                  <c:strRef>
                    <c:extLst xmlns:c15="http://schemas.microsoft.com/office/drawing/2012/chart">
                      <c:ext xmlns:c15="http://schemas.microsoft.com/office/drawing/2012/chart" uri="{02D57815-91ED-43cb-92C2-25804820EDAC}">
                        <c15:formulaRef>
                          <c15:sqref>'Emissions summary'!$E$127</c15:sqref>
                        </c15:formulaRef>
                      </c:ext>
                    </c:extLst>
                    <c:strCache>
                      <c:ptCount val="1"/>
                      <c:pt idx="0">
                        <c:v>Indirect N2O from MM (inventory)</c:v>
                      </c:pt>
                    </c:strCache>
                  </c:strRef>
                </c:tx>
                <c:spPr>
                  <a:ln w="28575" cap="rnd">
                    <a:solidFill>
                      <a:schemeClr val="accent2">
                        <a:lumMod val="80000"/>
                        <a:lumOff val="20000"/>
                      </a:schemeClr>
                    </a:solidFill>
                    <a:round/>
                  </a:ln>
                  <a:effectLst/>
                </c:spPr>
                <c:marker>
                  <c:symbol val="none"/>
                </c:marker>
                <c:cat>
                  <c:numRef>
                    <c:extLst xmlns:c15="http://schemas.microsoft.com/office/drawing/2012/chart">
                      <c:ext xmlns:c15="http://schemas.microsoft.com/office/drawing/2012/chart" uri="{02D57815-91ED-43cb-92C2-25804820EDAC}">
                        <c15:formulaRef>
                          <c15:sqref>'Emissions summary'!$F$113:$AG$113</c15:sqref>
                        </c15:formulaRef>
                      </c:ext>
                    </c:extLst>
                    <c:numCache>
                      <c:formatCode>General</c:formatCode>
                      <c:ptCount val="28"/>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numCache>
                  </c:numRef>
                </c:cat>
                <c:val>
                  <c:numRef>
                    <c:extLst xmlns:c15="http://schemas.microsoft.com/office/drawing/2012/chart">
                      <c:ext xmlns:c15="http://schemas.microsoft.com/office/drawing/2012/chart" uri="{02D57815-91ED-43cb-92C2-25804820EDAC}">
                        <c15:formulaRef>
                          <c15:sqref>'Emissions summary'!$F$127:$AG$127</c15:sqref>
                        </c15:formulaRef>
                      </c:ext>
                    </c:extLst>
                    <c:numCache>
                      <c:formatCode>General</c:formatCode>
                      <c:ptCount val="28"/>
                      <c:pt idx="0">
                        <c:v>332.77730613860399</c:v>
                      </c:pt>
                      <c:pt idx="1">
                        <c:v>353.03457691007083</c:v>
                      </c:pt>
                      <c:pt idx="2">
                        <c:v>329.75336223257443</c:v>
                      </c:pt>
                      <c:pt idx="3">
                        <c:v>341.70939722274608</c:v>
                      </c:pt>
                      <c:pt idx="4">
                        <c:v>326.52853902593881</c:v>
                      </c:pt>
                      <c:pt idx="5">
                        <c:v>344.58323593662567</c:v>
                      </c:pt>
                      <c:pt idx="6">
                        <c:v>360.27670046049241</c:v>
                      </c:pt>
                      <c:pt idx="7">
                        <c:v>357.64284080532752</c:v>
                      </c:pt>
                      <c:pt idx="8">
                        <c:v>367.73848791261435</c:v>
                      </c:pt>
                      <c:pt idx="9">
                        <c:v>372.0452384281258</c:v>
                      </c:pt>
                      <c:pt idx="10">
                        <c:v>408.94308689508148</c:v>
                      </c:pt>
                      <c:pt idx="11">
                        <c:v>406.68937516322404</c:v>
                      </c:pt>
                      <c:pt idx="12">
                        <c:v>397.06973777083419</c:v>
                      </c:pt>
                      <c:pt idx="13">
                        <c:v>376.09010924780205</c:v>
                      </c:pt>
                      <c:pt idx="14">
                        <c:v>374.09743931517124</c:v>
                      </c:pt>
                      <c:pt idx="15">
                        <c:v>392.69820864834276</c:v>
                      </c:pt>
                      <c:pt idx="16">
                        <c:v>398.35557315486267</c:v>
                      </c:pt>
                      <c:pt idx="17">
                        <c:v>404.14478384272525</c:v>
                      </c:pt>
                      <c:pt idx="18">
                        <c:v>438.4751035531649</c:v>
                      </c:pt>
                      <c:pt idx="19">
                        <c:v>433.26067452840772</c:v>
                      </c:pt>
                      <c:pt idx="20">
                        <c:v>438.54251424027257</c:v>
                      </c:pt>
                      <c:pt idx="21">
                        <c:v>444.74604882624305</c:v>
                      </c:pt>
                      <c:pt idx="22">
                        <c:v>440.60780254144959</c:v>
                      </c:pt>
                      <c:pt idx="23">
                        <c:v>456.58226294187887</c:v>
                      </c:pt>
                      <c:pt idx="24">
                        <c:v>454.87268271519412</c:v>
                      </c:pt>
                      <c:pt idx="25">
                        <c:v>463.54275866618883</c:v>
                      </c:pt>
                      <c:pt idx="26">
                        <c:v>458.22071963845576</c:v>
                      </c:pt>
                      <c:pt idx="27">
                        <c:v>469.34598780544559</c:v>
                      </c:pt>
                    </c:numCache>
                  </c:numRef>
                </c:val>
                <c:smooth val="0"/>
                <c:extLst xmlns:c15="http://schemas.microsoft.com/office/drawing/2012/chart">
                  <c:ext xmlns:c16="http://schemas.microsoft.com/office/drawing/2014/chart" uri="{C3380CC4-5D6E-409C-BE32-E72D297353CC}">
                    <c16:uniqueId val="{0000000D-521A-4052-915B-F059FD434B62}"/>
                  </c:ext>
                </c:extLst>
              </c15:ser>
            </c15:filteredLineSeries>
          </c:ext>
        </c:extLst>
      </c:lineChart>
      <c:catAx>
        <c:axId val="1363460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3696"/>
        <c:crosses val="autoZero"/>
        <c:auto val="1"/>
        <c:lblAlgn val="ctr"/>
        <c:lblOffset val="100"/>
        <c:noMultiLvlLbl val="0"/>
      </c:catAx>
      <c:valAx>
        <c:axId val="136346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3460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Data!$A$38:$B$38</c:f>
              <c:strCache>
                <c:ptCount val="2"/>
                <c:pt idx="0">
                  <c:v>Sorghum consumption (feed)</c:v>
                </c:pt>
                <c:pt idx="1">
                  <c:v>t</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we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Data!$M$37:$AD$37</c:f>
              <c:numCache>
                <c:formatCode>General</c:formatCode>
                <c:ptCount val="18"/>
                <c:pt idx="0">
                  <c:v>2936000</c:v>
                </c:pt>
                <c:pt idx="1">
                  <c:v>3263000</c:v>
                </c:pt>
                <c:pt idx="2">
                  <c:v>3274000</c:v>
                </c:pt>
                <c:pt idx="3">
                  <c:v>3275000</c:v>
                </c:pt>
                <c:pt idx="4">
                  <c:v>3531000</c:v>
                </c:pt>
                <c:pt idx="5">
                  <c:v>3543000</c:v>
                </c:pt>
                <c:pt idx="6">
                  <c:v>3637000</c:v>
                </c:pt>
                <c:pt idx="7">
                  <c:v>3844000</c:v>
                </c:pt>
                <c:pt idx="8">
                  <c:v>4220000</c:v>
                </c:pt>
                <c:pt idx="9">
                  <c:v>4089000</c:v>
                </c:pt>
                <c:pt idx="10">
                  <c:v>4187000</c:v>
                </c:pt>
                <c:pt idx="11">
                  <c:v>4344000</c:v>
                </c:pt>
                <c:pt idx="12">
                  <c:v>4429000</c:v>
                </c:pt>
                <c:pt idx="13">
                  <c:v>4436000</c:v>
                </c:pt>
                <c:pt idx="14">
                  <c:v>4767000</c:v>
                </c:pt>
                <c:pt idx="15">
                  <c:v>5087000</c:v>
                </c:pt>
                <c:pt idx="16">
                  <c:v>5551000</c:v>
                </c:pt>
                <c:pt idx="17">
                  <c:v>5004000</c:v>
                </c:pt>
              </c:numCache>
            </c:numRef>
          </c:xVal>
          <c:yVal>
            <c:numRef>
              <c:f>Data!$M$38:$AD$38</c:f>
              <c:numCache>
                <c:formatCode>General</c:formatCode>
                <c:ptCount val="18"/>
                <c:pt idx="0">
                  <c:v>36000</c:v>
                </c:pt>
                <c:pt idx="1">
                  <c:v>23000</c:v>
                </c:pt>
                <c:pt idx="2">
                  <c:v>16000</c:v>
                </c:pt>
                <c:pt idx="3">
                  <c:v>22000</c:v>
                </c:pt>
                <c:pt idx="4">
                  <c:v>10000</c:v>
                </c:pt>
                <c:pt idx="5">
                  <c:v>10000</c:v>
                </c:pt>
                <c:pt idx="6">
                  <c:v>12000</c:v>
                </c:pt>
                <c:pt idx="7">
                  <c:v>8000</c:v>
                </c:pt>
                <c:pt idx="8">
                  <c:v>11000</c:v>
                </c:pt>
                <c:pt idx="9">
                  <c:v>10000</c:v>
                </c:pt>
                <c:pt idx="10">
                  <c:v>8000</c:v>
                </c:pt>
                <c:pt idx="11">
                  <c:v>9000</c:v>
                </c:pt>
                <c:pt idx="12">
                  <c:v>7000</c:v>
                </c:pt>
                <c:pt idx="13">
                  <c:v>6000</c:v>
                </c:pt>
                <c:pt idx="14">
                  <c:v>5000</c:v>
                </c:pt>
                <c:pt idx="15">
                  <c:v>7000</c:v>
                </c:pt>
                <c:pt idx="16">
                  <c:v>10000</c:v>
                </c:pt>
                <c:pt idx="17">
                  <c:v>10000</c:v>
                </c:pt>
              </c:numCache>
            </c:numRef>
          </c:yVal>
          <c:smooth val="0"/>
          <c:extLst>
            <c:ext xmlns:c16="http://schemas.microsoft.com/office/drawing/2014/chart" uri="{C3380CC4-5D6E-409C-BE32-E72D297353CC}">
              <c16:uniqueId val="{00000000-9B8F-419A-9699-F0E894C1F0F6}"/>
            </c:ext>
          </c:extLst>
        </c:ser>
        <c:dLbls>
          <c:showLegendKey val="0"/>
          <c:showVal val="0"/>
          <c:showCatName val="0"/>
          <c:showSerName val="0"/>
          <c:showPercent val="0"/>
          <c:showBubbleSize val="0"/>
        </c:dLbls>
        <c:axId val="709868927"/>
        <c:axId val="709862687"/>
      </c:scatterChart>
      <c:valAx>
        <c:axId val="7098689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2687"/>
        <c:crosses val="autoZero"/>
        <c:crossBetween val="midCat"/>
      </c:valAx>
      <c:valAx>
        <c:axId val="709862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9868927"/>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Data!$A$5:$B$5</c:f>
              <c:strCache>
                <c:ptCount val="2"/>
                <c:pt idx="0">
                  <c:v>Beef consumption</c:v>
                </c:pt>
                <c:pt idx="1">
                  <c:v>t/capita</c:v>
                </c:pt>
              </c:strCache>
            </c:strRef>
          </c:tx>
          <c:spPr>
            <a:ln w="19050" cap="rnd">
              <a:noFill/>
              <a:round/>
            </a:ln>
            <a:effectLst/>
          </c:spPr>
          <c:marker>
            <c:symbol val="circle"/>
            <c:size val="5"/>
            <c:spPr>
              <a:solidFill>
                <a:schemeClr val="accent1"/>
              </a:solidFill>
              <a:ln w="9525">
                <a:solidFill>
                  <a:schemeClr val="accent1"/>
                </a:solidFill>
              </a:ln>
              <a:effectLst/>
            </c:spPr>
          </c:marker>
          <c:xVal>
            <c:numRef>
              <c:f>Data!$T$4:$AD$4</c:f>
              <c:numCache>
                <c:formatCode>General</c:formatCode>
                <c:ptCount val="11"/>
                <c:pt idx="0">
                  <c:v>51.192334626133288</c:v>
                </c:pt>
                <c:pt idx="1">
                  <c:v>52.414183192109149</c:v>
                </c:pt>
                <c:pt idx="2">
                  <c:v>50.996059718481895</c:v>
                </c:pt>
                <c:pt idx="3">
                  <c:v>51.807136604333046</c:v>
                </c:pt>
                <c:pt idx="4">
                  <c:v>52.773755281587846</c:v>
                </c:pt>
                <c:pt idx="5">
                  <c:v>53.728853330625171</c:v>
                </c:pt>
                <c:pt idx="6">
                  <c:v>54.321092720924852</c:v>
                </c:pt>
                <c:pt idx="7">
                  <c:v>54.480101646002176</c:v>
                </c:pt>
                <c:pt idx="8">
                  <c:v>54.289353458429851</c:v>
                </c:pt>
                <c:pt idx="9">
                  <c:v>53.870420594253417</c:v>
                </c:pt>
                <c:pt idx="10">
                  <c:v>53.579230022094251</c:v>
                </c:pt>
              </c:numCache>
            </c:numRef>
          </c:xVal>
          <c:yVal>
            <c:numRef>
              <c:f>Data!$T$5:$AD$5</c:f>
              <c:numCache>
                <c:formatCode>General</c:formatCode>
                <c:ptCount val="11"/>
                <c:pt idx="0">
                  <c:v>1.7610021254379524E-2</c:v>
                </c:pt>
                <c:pt idx="1">
                  <c:v>1.5407958031534726E-2</c:v>
                </c:pt>
                <c:pt idx="2">
                  <c:v>1.553182299165852E-2</c:v>
                </c:pt>
                <c:pt idx="3">
                  <c:v>1.7181807184041598E-2</c:v>
                </c:pt>
                <c:pt idx="4">
                  <c:v>1.6902490054067201E-2</c:v>
                </c:pt>
                <c:pt idx="5">
                  <c:v>1.6531158030732743E-2</c:v>
                </c:pt>
                <c:pt idx="6">
                  <c:v>1.7136060892304256E-2</c:v>
                </c:pt>
                <c:pt idx="7">
                  <c:v>1.8196196501834357E-2</c:v>
                </c:pt>
                <c:pt idx="8">
                  <c:v>1.8684763785133233E-2</c:v>
                </c:pt>
                <c:pt idx="9">
                  <c:v>1.9273663203246076E-2</c:v>
                </c:pt>
                <c:pt idx="10">
                  <c:v>1.8134548357121919E-2</c:v>
                </c:pt>
              </c:numCache>
            </c:numRef>
          </c:yVal>
          <c:smooth val="0"/>
          <c:extLst>
            <c:ext xmlns:c16="http://schemas.microsoft.com/office/drawing/2014/chart" uri="{C3380CC4-5D6E-409C-BE32-E72D297353CC}">
              <c16:uniqueId val="{00000000-E89B-4B7F-B276-59A9C9717175}"/>
            </c:ext>
          </c:extLst>
        </c:ser>
        <c:dLbls>
          <c:showLegendKey val="0"/>
          <c:showVal val="0"/>
          <c:showCatName val="0"/>
          <c:showSerName val="0"/>
          <c:showPercent val="0"/>
          <c:showBubbleSize val="0"/>
        </c:dLbls>
        <c:axId val="692887135"/>
        <c:axId val="692899199"/>
      </c:scatterChart>
      <c:valAx>
        <c:axId val="692887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99199"/>
        <c:crosses val="autoZero"/>
        <c:crossBetween val="midCat"/>
      </c:valAx>
      <c:valAx>
        <c:axId val="692899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88713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75" b="1" i="0" u="none" strike="noStrike" baseline="0">
                <a:solidFill>
                  <a:srgbClr val="000000"/>
                </a:solidFill>
                <a:latin typeface="Arial"/>
                <a:ea typeface="Arial"/>
                <a:cs typeface="Arial"/>
              </a:defRPr>
            </a:pPr>
            <a:r>
              <a:rPr lang="en-ZA"/>
              <a:t>Beef price outlook: Economy shock</a:t>
            </a:r>
          </a:p>
        </c:rich>
      </c:tx>
      <c:overlay val="0"/>
      <c:spPr>
        <a:noFill/>
        <a:ln w="25400">
          <a:noFill/>
        </a:ln>
      </c:spPr>
    </c:title>
    <c:autoTitleDeleted val="0"/>
    <c:plotArea>
      <c:layout/>
      <c:lineChart>
        <c:grouping val="standard"/>
        <c:varyColors val="0"/>
        <c:ser>
          <c:idx val="0"/>
          <c:order val="0"/>
          <c:spPr>
            <a:ln w="25400">
              <a:solidFill>
                <a:srgbClr val="FF0000"/>
              </a:solidFill>
              <a:prstDash val="solid"/>
            </a:ln>
          </c:spPr>
          <c:marker>
            <c:symbol val="diamond"/>
            <c:size val="7"/>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117-45CF-AAC5-4FAE3027B774}"/>
            </c:ext>
          </c:extLst>
        </c:ser>
        <c:ser>
          <c:idx val="1"/>
          <c:order val="1"/>
          <c:spPr>
            <a:ln w="25400">
              <a:solidFill>
                <a:srgbClr val="FF0000"/>
              </a:solidFill>
              <a:prstDash val="solid"/>
            </a:ln>
          </c:spPr>
          <c:marker>
            <c:symbol val="square"/>
            <c:size val="7"/>
            <c:spPr>
              <a:no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117-45CF-AAC5-4FAE3027B774}"/>
            </c:ext>
          </c:extLst>
        </c:ser>
        <c:dLbls>
          <c:showLegendKey val="0"/>
          <c:showVal val="0"/>
          <c:showCatName val="0"/>
          <c:showSerName val="0"/>
          <c:showPercent val="0"/>
          <c:showBubbleSize val="0"/>
        </c:dLbls>
        <c:marker val="1"/>
        <c:smooth val="0"/>
        <c:axId val="1910012864"/>
        <c:axId val="1909993280"/>
      </c:lineChart>
      <c:catAx>
        <c:axId val="191001286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09993280"/>
        <c:crosses val="autoZero"/>
        <c:auto val="1"/>
        <c:lblAlgn val="ctr"/>
        <c:lblOffset val="100"/>
        <c:tickLblSkip val="1"/>
        <c:tickMarkSkip val="1"/>
        <c:noMultiLvlLbl val="0"/>
      </c:catAx>
      <c:valAx>
        <c:axId val="1909993280"/>
        <c:scaling>
          <c:orientation val="minMax"/>
        </c:scaling>
        <c:delete val="0"/>
        <c:axPos val="l"/>
        <c:majorGridlines>
          <c:spPr>
            <a:ln w="3175">
              <a:solidFill>
                <a:srgbClr val="000000"/>
              </a:solidFill>
              <a:prstDash val="solid"/>
            </a:ln>
          </c:spPr>
        </c:majorGridlines>
        <c:title>
          <c:tx>
            <c:rich>
              <a:bodyPr/>
              <a:lstStyle/>
              <a:p>
                <a:pPr>
                  <a:defRPr sz="250" b="0" i="0" u="none" strike="noStrike" baseline="0">
                    <a:solidFill>
                      <a:srgbClr val="000000"/>
                    </a:solidFill>
                    <a:latin typeface="Arial"/>
                    <a:ea typeface="Arial"/>
                    <a:cs typeface="Arial"/>
                  </a:defRPr>
                </a:pPr>
                <a:r>
                  <a:rPr lang="en-ZA"/>
                  <a:t>c/kg</a:t>
                </a:r>
              </a:p>
            </c:rich>
          </c:tx>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en-US"/>
          </a:p>
        </c:txPr>
        <c:crossAx val="1910012864"/>
        <c:crosses val="autoZero"/>
        <c:crossBetween val="between"/>
        <c:majorUnit val="1000"/>
      </c:valAx>
      <c:spPr>
        <a:noFill/>
        <a:ln w="12700">
          <a:solidFill>
            <a:srgbClr val="808080"/>
          </a:solidFill>
          <a:prstDash val="solid"/>
        </a:ln>
      </c:spPr>
    </c:plotArea>
    <c:legend>
      <c:legendPos val="b"/>
      <c:overlay val="0"/>
      <c:spPr>
        <a:noFill/>
        <a:ln w="25400">
          <a:noFill/>
        </a:ln>
      </c:spPr>
      <c:txPr>
        <a:bodyPr/>
        <a:lstStyle/>
        <a:p>
          <a:pPr>
            <a:defRPr sz="23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50" b="1" i="0" u="none" strike="noStrike" baseline="0">
                <a:solidFill>
                  <a:srgbClr val="000000"/>
                </a:solidFill>
                <a:latin typeface="Arial"/>
                <a:ea typeface="Arial"/>
                <a:cs typeface="Arial"/>
              </a:defRPr>
            </a:pPr>
            <a:r>
              <a:rPr lang="en-ZA"/>
              <a:t>Beef:Maize price ratio outlook</a:t>
            </a:r>
          </a:p>
        </c:rich>
      </c:tx>
      <c:overlay val="0"/>
      <c:spPr>
        <a:noFill/>
        <a:ln w="25400">
          <a:noFill/>
        </a:ln>
      </c:spPr>
    </c:title>
    <c:autoTitleDeleted val="0"/>
    <c:plotArea>
      <c:layout/>
      <c:barChart>
        <c:barDir val="col"/>
        <c:grouping val="clustered"/>
        <c:varyColors val="0"/>
        <c:ser>
          <c:idx val="0"/>
          <c:order val="0"/>
          <c:spPr>
            <a:solidFill>
              <a:srgbClr val="0000FF"/>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B07A-430E-847B-882FB6A03E40}"/>
            </c:ext>
          </c:extLst>
        </c:ser>
        <c:ser>
          <c:idx val="1"/>
          <c:order val="1"/>
          <c:spPr>
            <a:solidFill>
              <a:srgbClr val="FF0000"/>
            </a:solidFill>
            <a:ln w="12700">
              <a:solidFill>
                <a:srgbClr val="000000"/>
              </a:solidFill>
              <a:prstDash val="solid"/>
            </a:ln>
          </c:spPr>
          <c:invertIfNegative val="0"/>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B07A-430E-847B-882FB6A03E40}"/>
            </c:ext>
          </c:extLst>
        </c:ser>
        <c:dLbls>
          <c:showLegendKey val="0"/>
          <c:showVal val="0"/>
          <c:showCatName val="0"/>
          <c:showSerName val="0"/>
          <c:showPercent val="0"/>
          <c:showBubbleSize val="0"/>
        </c:dLbls>
        <c:gapWidth val="150"/>
        <c:axId val="1909999808"/>
        <c:axId val="1910000896"/>
      </c:barChart>
      <c:catAx>
        <c:axId val="19099998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10000896"/>
        <c:crosses val="autoZero"/>
        <c:auto val="1"/>
        <c:lblAlgn val="ctr"/>
        <c:lblOffset val="100"/>
        <c:tickLblSkip val="1"/>
        <c:tickMarkSkip val="1"/>
        <c:noMultiLvlLbl val="0"/>
      </c:catAx>
      <c:valAx>
        <c:axId val="19100008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225" b="0" i="0" u="none" strike="noStrike" baseline="0">
                <a:solidFill>
                  <a:srgbClr val="000000"/>
                </a:solidFill>
                <a:latin typeface="Arial"/>
                <a:ea typeface="Arial"/>
                <a:cs typeface="Arial"/>
              </a:defRPr>
            </a:pPr>
            <a:endParaRPr lang="en-US"/>
          </a:p>
        </c:txPr>
        <c:crossAx val="1909999808"/>
        <c:crosses val="autoZero"/>
        <c:crossBetween val="between"/>
      </c:valAx>
      <c:spPr>
        <a:noFill/>
        <a:ln w="12700">
          <a:solidFill>
            <a:srgbClr val="808080"/>
          </a:solidFill>
          <a:prstDash val="solid"/>
        </a:ln>
      </c:spPr>
    </c:plotArea>
    <c:legend>
      <c:legendPos val="b"/>
      <c:overlay val="0"/>
      <c:spPr>
        <a:no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339966"/>
            </a:solidFill>
            <a:ln w="12700">
              <a:solidFill>
                <a:srgbClr val="000000"/>
              </a:solidFill>
              <a:prstDash val="solid"/>
            </a:ln>
          </c:spPr>
          <c:invertIfNegative val="0"/>
          <c:trendline>
            <c:spPr>
              <a:ln w="25400">
                <a:solidFill>
                  <a:srgbClr val="FF0000"/>
                </a:solidFill>
                <a:prstDash val="sysDash"/>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2001-47AC-96D9-508B160716E2}"/>
            </c:ext>
          </c:extLst>
        </c:ser>
        <c:ser>
          <c:idx val="1"/>
          <c:order val="1"/>
          <c:spPr>
            <a:solidFill>
              <a:srgbClr val="808080"/>
            </a:solidFill>
            <a:ln w="12700">
              <a:solidFill>
                <a:srgbClr val="000000"/>
              </a:solidFill>
              <a:prstDash val="solid"/>
            </a:ln>
          </c:spPr>
          <c:invertIfNegative val="0"/>
          <c:trendline>
            <c:spPr>
              <a:ln w="25400">
                <a:solidFill>
                  <a:srgbClr val="000000"/>
                </a:solidFill>
                <a:prstDash val="solid"/>
              </a:ln>
            </c:spPr>
            <c:trendlineType val="linear"/>
            <c:dispRSqr val="0"/>
            <c:dispEq val="0"/>
          </c:trendline>
          <c:val>
            <c:numRef>
              <c:f>Data!#REF!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2001-47AC-96D9-508B160716E2}"/>
            </c:ext>
          </c:extLst>
        </c:ser>
        <c:dLbls>
          <c:showLegendKey val="0"/>
          <c:showVal val="0"/>
          <c:showCatName val="0"/>
          <c:showSerName val="0"/>
          <c:showPercent val="0"/>
          <c:showBubbleSize val="0"/>
        </c:dLbls>
        <c:gapWidth val="150"/>
        <c:axId val="1910001440"/>
        <c:axId val="1910004160"/>
      </c:barChart>
      <c:catAx>
        <c:axId val="191000144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4160"/>
        <c:crosses val="autoZero"/>
        <c:auto val="1"/>
        <c:lblAlgn val="ctr"/>
        <c:lblOffset val="100"/>
        <c:tickLblSkip val="2"/>
        <c:tickMarkSkip val="1"/>
        <c:noMultiLvlLbl val="0"/>
      </c:catAx>
      <c:valAx>
        <c:axId val="1910004160"/>
        <c:scaling>
          <c:orientation val="minMax"/>
        </c:scaling>
        <c:delete val="0"/>
        <c:axPos val="l"/>
        <c:majorGridlines>
          <c:spPr>
            <a:ln w="3175">
              <a:solidFill>
                <a:srgbClr val="000000"/>
              </a:solidFill>
              <a:prstDash val="solid"/>
            </a:ln>
          </c:spPr>
        </c:majorGridlines>
        <c:title>
          <c:tx>
            <c:rich>
              <a:bodyPr/>
              <a:lstStyle/>
              <a:p>
                <a:pPr>
                  <a:defRPr sz="275"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en-US"/>
          </a:p>
        </c:txPr>
        <c:crossAx val="1910001440"/>
        <c:crosses val="autoZero"/>
        <c:crossBetween val="between"/>
        <c:majorUnit val="200"/>
      </c:valAx>
      <c:spPr>
        <a:noFill/>
        <a:ln w="12700">
          <a:solidFill>
            <a:srgbClr val="808080"/>
          </a:solidFill>
          <a:prstDash val="solid"/>
        </a:ln>
      </c:spPr>
    </c:plotArea>
    <c:legend>
      <c:legendPos val="r"/>
      <c:legendEntry>
        <c:idx val="2"/>
        <c:delete val="1"/>
      </c:legendEntry>
      <c:legendEntry>
        <c:idx val="3"/>
        <c:delete val="1"/>
      </c:legendEntry>
      <c:overlay val="0"/>
      <c:spPr>
        <a:no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38100">
              <a:solidFill>
                <a:srgbClr val="FF0000"/>
              </a:solidFill>
              <a:prstDash val="solid"/>
            </a:ln>
          </c:spPr>
          <c:marker>
            <c:symbol val="diamond"/>
            <c:size val="9"/>
            <c:spPr>
              <a:solidFill>
                <a:srgbClr val="FF0000"/>
              </a:solidFill>
              <a:ln>
                <a:solidFill>
                  <a:srgbClr val="FF0000"/>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176A-454D-9E8D-7C35430BA000}"/>
            </c:ext>
          </c:extLst>
        </c:ser>
        <c:ser>
          <c:idx val="1"/>
          <c:order val="1"/>
          <c:spPr>
            <a:ln w="38100">
              <a:solidFill>
                <a:srgbClr val="333333"/>
              </a:solidFill>
              <a:prstDash val="sysDash"/>
            </a:ln>
          </c:spPr>
          <c:marker>
            <c:symbol val="square"/>
            <c:size val="9"/>
            <c:spPr>
              <a:noFill/>
              <a:ln>
                <a:solidFill>
                  <a:srgbClr val="333333"/>
                </a:solidFill>
                <a:prstDash val="solid"/>
              </a:ln>
            </c:spPr>
          </c:marker>
          <c:val>
            <c:numRef>
              <c:f>Data!#REF!</c:f>
              <c:numCache>
                <c:formatCode>General</c:formatCode>
                <c:ptCount val="1"/>
                <c:pt idx="0">
                  <c:v>1</c:v>
                </c:pt>
              </c:numCache>
            </c:numRef>
          </c:val>
          <c:smooth val="0"/>
          <c:extLst>
            <c:ext xmlns:c15="http://schemas.microsoft.com/office/drawing/2012/chart" uri="{02D57815-91ED-43cb-92C2-25804820EDAC}">
              <c15:filteredSeriesTitle>
                <c15:tx>
                  <c:strRef>
                    <c:extLst>
                      <c:ext uri="{02D57815-91ED-43cb-92C2-25804820EDAC}">
                        <c15:formulaRef>
                          <c15:sqref>Data!#REF!</c15:sqref>
                        </c15:formulaRef>
                      </c:ext>
                    </c:extLst>
                    <c:strCache>
                      <c:ptCount val="1"/>
                      <c:pt idx="0">
                        <c:v>#REF!</c:v>
                      </c:pt>
                    </c:strCache>
                  </c:strRef>
                </c15:tx>
              </c15:filteredSeriesTitle>
            </c:ext>
            <c:ext xmlns:c15="http://schemas.microsoft.com/office/drawing/2012/chart" uri="{02D57815-91ED-43cb-92C2-25804820EDAC}">
              <c15:filteredCategoryTitle>
                <c15:cat>
                  <c:numRef>
                    <c:extLst>
                      <c:ext uri="{02D57815-91ED-43cb-92C2-25804820EDAC}">
                        <c15:formulaRef>
                          <c15:sqref>Data!#REF!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1-176A-454D-9E8D-7C35430BA000}"/>
            </c:ext>
          </c:extLst>
        </c:ser>
        <c:dLbls>
          <c:showLegendKey val="0"/>
          <c:showVal val="0"/>
          <c:showCatName val="0"/>
          <c:showSerName val="0"/>
          <c:showPercent val="0"/>
          <c:showBubbleSize val="0"/>
        </c:dLbls>
        <c:marker val="1"/>
        <c:smooth val="0"/>
        <c:axId val="1909986208"/>
        <c:axId val="1910006336"/>
      </c:lineChart>
      <c:catAx>
        <c:axId val="1909986208"/>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10006336"/>
        <c:crosses val="autoZero"/>
        <c:auto val="1"/>
        <c:lblAlgn val="ctr"/>
        <c:lblOffset val="100"/>
        <c:tickLblSkip val="2"/>
        <c:tickMarkSkip val="1"/>
        <c:noMultiLvlLbl val="0"/>
      </c:catAx>
      <c:valAx>
        <c:axId val="1910006336"/>
        <c:scaling>
          <c:orientation val="minMax"/>
        </c:scaling>
        <c:delete val="0"/>
        <c:axPos val="l"/>
        <c:majorGridlines>
          <c:spPr>
            <a:ln w="3175">
              <a:solidFill>
                <a:srgbClr val="000000"/>
              </a:solidFill>
              <a:prstDash val="solid"/>
            </a:ln>
          </c:spPr>
        </c:majorGridlines>
        <c:title>
          <c:tx>
            <c:rich>
              <a:bodyPr/>
              <a:lstStyle/>
              <a:p>
                <a:pPr>
                  <a:defRPr sz="300" b="0" i="0" u="none" strike="noStrike" baseline="0">
                    <a:solidFill>
                      <a:srgbClr val="000000"/>
                    </a:solidFill>
                    <a:latin typeface="Arial"/>
                    <a:ea typeface="Arial"/>
                    <a:cs typeface="Arial"/>
                  </a:defRPr>
                </a:pPr>
                <a:r>
                  <a:rPr lang="en-ZA"/>
                  <a:t>Thousand tons</a:t>
                </a:r>
              </a:p>
            </c:rich>
          </c:tx>
          <c:overlay val="0"/>
          <c:spPr>
            <a:noFill/>
            <a:ln w="25400">
              <a:noFill/>
            </a:ln>
          </c:spPr>
        </c:title>
        <c:numFmt formatCode="0" sourceLinked="0"/>
        <c:majorTickMark val="out"/>
        <c:minorTickMark val="none"/>
        <c:tickLblPos val="nextTo"/>
        <c:spPr>
          <a:ln w="3175">
            <a:solidFill>
              <a:srgbClr val="000000"/>
            </a:solidFill>
            <a:prstDash val="solid"/>
          </a:ln>
        </c:spPr>
        <c:txPr>
          <a:bodyPr rot="0" vert="horz"/>
          <a:lstStyle/>
          <a:p>
            <a:pPr>
              <a:defRPr sz="300" b="0" i="0" u="none" strike="noStrike" baseline="0">
                <a:solidFill>
                  <a:srgbClr val="000000"/>
                </a:solidFill>
                <a:latin typeface="Arial"/>
                <a:ea typeface="Arial"/>
                <a:cs typeface="Arial"/>
              </a:defRPr>
            </a:pPr>
            <a:endParaRPr lang="en-US"/>
          </a:p>
        </c:txPr>
        <c:crossAx val="1909986208"/>
        <c:crosses val="autoZero"/>
        <c:crossBetween val="between"/>
        <c:majorUnit val="200"/>
      </c:valAx>
      <c:spPr>
        <a:noFill/>
        <a:ln w="12700">
          <a:solidFill>
            <a:srgbClr val="808080"/>
          </a:solidFill>
          <a:prstDash val="solid"/>
        </a:ln>
      </c:spPr>
    </c:plotArea>
    <c:legend>
      <c:legendPos val="b"/>
      <c:overlay val="0"/>
      <c:spPr>
        <a:solidFill>
          <a:srgbClr val="FFFFFF"/>
        </a:solidFill>
        <a:ln w="25400">
          <a:noFill/>
        </a:ln>
      </c:spPr>
      <c:txPr>
        <a:bodyPr/>
        <a:lstStyle/>
        <a:p>
          <a:pPr>
            <a:defRPr sz="128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275" b="0" i="0" u="none" strike="noStrike" baseline="0">
          <a:solidFill>
            <a:srgbClr val="000000"/>
          </a:solidFill>
          <a:latin typeface="Arial"/>
          <a:ea typeface="Arial"/>
          <a:cs typeface="Arial"/>
        </a:defRPr>
      </a:pPr>
      <a:endParaRPr lang="en-US"/>
    </a:p>
  </c:txPr>
  <c:printSettings>
    <c:headerFooter alignWithMargins="0"/>
    <c:pageMargins b="1" l="0.75000000000000022" r="0.75000000000000022"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verification'!$B$4</c:f>
              <c:strCache>
                <c:ptCount val="1"/>
                <c:pt idx="0">
                  <c:v>Chicken production (BFAP)</c:v>
                </c:pt>
              </c:strCache>
            </c:strRef>
          </c:tx>
          <c:spPr>
            <a:ln w="28575" cap="rnd">
              <a:solidFill>
                <a:schemeClr val="accent1"/>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verification'!$C$4:$BA$4</c:f>
              <c:numCache>
                <c:formatCode>0.00</c:formatCode>
                <c:ptCount val="51"/>
                <c:pt idx="0">
                  <c:v>993.09182234073091</c:v>
                </c:pt>
                <c:pt idx="1">
                  <c:v>993.09182234073091</c:v>
                </c:pt>
                <c:pt idx="2">
                  <c:v>993.09182234073091</c:v>
                </c:pt>
                <c:pt idx="3">
                  <c:v>1043.5184288423109</c:v>
                </c:pt>
                <c:pt idx="4">
                  <c:v>1063.935684388</c:v>
                </c:pt>
                <c:pt idx="5">
                  <c:v>1250.3949420410001</c:v>
                </c:pt>
                <c:pt idx="6">
                  <c:v>1361.4582773811801</c:v>
                </c:pt>
                <c:pt idx="7">
                  <c:v>1418.12680256985</c:v>
                </c:pt>
                <c:pt idx="8">
                  <c:v>1510.0595450369999</c:v>
                </c:pt>
                <c:pt idx="9">
                  <c:v>1467.5146597320002</c:v>
                </c:pt>
                <c:pt idx="10">
                  <c:v>1455.5368726329998</c:v>
                </c:pt>
                <c:pt idx="11">
                  <c:v>1511.75508982</c:v>
                </c:pt>
                <c:pt idx="12">
                  <c:v>1600</c:v>
                </c:pt>
                <c:pt idx="13">
                  <c:v>1550</c:v>
                </c:pt>
                <c:pt idx="14">
                  <c:v>1500</c:v>
                </c:pt>
                <c:pt idx="15">
                  <c:v>1604.9091918984675</c:v>
                </c:pt>
                <c:pt idx="16">
                  <c:v>1560</c:v>
                </c:pt>
                <c:pt idx="17">
                  <c:v>1530</c:v>
                </c:pt>
                <c:pt idx="18">
                  <c:v>1620</c:v>
                </c:pt>
                <c:pt idx="19">
                  <c:v>1680</c:v>
                </c:pt>
                <c:pt idx="20">
                  <c:v>1715</c:v>
                </c:pt>
                <c:pt idx="21">
                  <c:v>1780</c:v>
                </c:pt>
                <c:pt idx="22">
                  <c:v>1785</c:v>
                </c:pt>
                <c:pt idx="23">
                  <c:v>1790</c:v>
                </c:pt>
                <c:pt idx="24">
                  <c:v>1795</c:v>
                </c:pt>
                <c:pt idx="25">
                  <c:v>1800</c:v>
                </c:pt>
                <c:pt idx="26">
                  <c:v>1805</c:v>
                </c:pt>
                <c:pt idx="27">
                  <c:v>1810</c:v>
                </c:pt>
                <c:pt idx="28">
                  <c:v>1815</c:v>
                </c:pt>
              </c:numCache>
            </c:numRef>
          </c:val>
          <c:smooth val="0"/>
          <c:extLst>
            <c:ext xmlns:c16="http://schemas.microsoft.com/office/drawing/2014/chart" uri="{C3380CC4-5D6E-409C-BE32-E72D297353CC}">
              <c16:uniqueId val="{00000000-0961-441D-9E04-BF04E6707262}"/>
            </c:ext>
          </c:extLst>
        </c:ser>
        <c:ser>
          <c:idx val="1"/>
          <c:order val="1"/>
          <c:tx>
            <c:strRef>
              <c:f>'BFAP verification'!$B$5</c:f>
              <c:strCache>
                <c:ptCount val="1"/>
                <c:pt idx="0">
                  <c:v>Chicken consumption (BFAP)</c:v>
                </c:pt>
              </c:strCache>
            </c:strRef>
          </c:tx>
          <c:spPr>
            <a:ln w="28575" cap="rnd">
              <a:solidFill>
                <a:schemeClr val="accent2"/>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verification'!$C$5:$BA$5</c:f>
              <c:numCache>
                <c:formatCode>0.00</c:formatCode>
                <c:ptCount val="51"/>
                <c:pt idx="0">
                  <c:v>1079.3522583407307</c:v>
                </c:pt>
                <c:pt idx="1">
                  <c:v>1079.3522583407307</c:v>
                </c:pt>
                <c:pt idx="2">
                  <c:v>1079.3522583407307</c:v>
                </c:pt>
                <c:pt idx="3">
                  <c:v>1188.8597378423108</c:v>
                </c:pt>
                <c:pt idx="4">
                  <c:v>1206.674888388</c:v>
                </c:pt>
                <c:pt idx="5">
                  <c:v>1426.810047041</c:v>
                </c:pt>
                <c:pt idx="6">
                  <c:v>1614.02513538118</c:v>
                </c:pt>
                <c:pt idx="7">
                  <c:v>1649.1401165698499</c:v>
                </c:pt>
                <c:pt idx="8">
                  <c:v>1693.2698300369998</c:v>
                </c:pt>
                <c:pt idx="9">
                  <c:v>1660.260131732</c:v>
                </c:pt>
                <c:pt idx="10">
                  <c:v>1679.6840026329999</c:v>
                </c:pt>
                <c:pt idx="11">
                  <c:v>1828.6388368200001</c:v>
                </c:pt>
                <c:pt idx="12">
                  <c:v>1876.7825659999999</c:v>
                </c:pt>
                <c:pt idx="13">
                  <c:v>1848.129913</c:v>
                </c:pt>
                <c:pt idx="14">
                  <c:v>1879.0711650000001</c:v>
                </c:pt>
                <c:pt idx="15">
                  <c:v>1922.8356980734377</c:v>
                </c:pt>
                <c:pt idx="16">
                  <c:v>1990.456203544496</c:v>
                </c:pt>
                <c:pt idx="17">
                  <c:v>2057.8989690155481</c:v>
                </c:pt>
                <c:pt idx="18">
                  <c:v>2126.2640708919885</c:v>
                </c:pt>
                <c:pt idx="19">
                  <c:v>2198.3453171198826</c:v>
                </c:pt>
                <c:pt idx="20">
                  <c:v>2269.7994713342828</c:v>
                </c:pt>
                <c:pt idx="21">
                  <c:v>2342.1782343068635</c:v>
                </c:pt>
                <c:pt idx="22">
                  <c:v>2416.4818482639166</c:v>
                </c:pt>
                <c:pt idx="23">
                  <c:v>2491.5186816187529</c:v>
                </c:pt>
                <c:pt idx="24">
                  <c:v>2570.8561685926552</c:v>
                </c:pt>
              </c:numCache>
            </c:numRef>
          </c:val>
          <c:smooth val="0"/>
          <c:extLst>
            <c:ext xmlns:c16="http://schemas.microsoft.com/office/drawing/2014/chart" uri="{C3380CC4-5D6E-409C-BE32-E72D297353CC}">
              <c16:uniqueId val="{00000001-0961-441D-9E04-BF04E6707262}"/>
            </c:ext>
          </c:extLst>
        </c:ser>
        <c:ser>
          <c:idx val="2"/>
          <c:order val="2"/>
          <c:tx>
            <c:strRef>
              <c:f>'BFAP verification'!$B$6</c:f>
              <c:strCache>
                <c:ptCount val="1"/>
                <c:pt idx="0">
                  <c:v>Chicken production (model)</c:v>
                </c:pt>
              </c:strCache>
            </c:strRef>
          </c:tx>
          <c:spPr>
            <a:ln w="28575" cap="rnd">
              <a:solidFill>
                <a:schemeClr val="accent3"/>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verification'!$C$6:$BA$6</c:f>
              <c:numCache>
                <c:formatCode>0.00</c:formatCode>
                <c:ptCount val="51"/>
                <c:pt idx="0">
                  <c:v>850</c:v>
                </c:pt>
                <c:pt idx="1">
                  <c:v>869</c:v>
                </c:pt>
                <c:pt idx="2">
                  <c:v>896</c:v>
                </c:pt>
                <c:pt idx="3">
                  <c:v>925</c:v>
                </c:pt>
                <c:pt idx="4">
                  <c:v>1043</c:v>
                </c:pt>
                <c:pt idx="5">
                  <c:v>1273</c:v>
                </c:pt>
                <c:pt idx="6">
                  <c:v>1427</c:v>
                </c:pt>
                <c:pt idx="7">
                  <c:v>1499</c:v>
                </c:pt>
                <c:pt idx="8">
                  <c:v>1584</c:v>
                </c:pt>
                <c:pt idx="9">
                  <c:v>1644</c:v>
                </c:pt>
                <c:pt idx="10">
                  <c:v>1681</c:v>
                </c:pt>
                <c:pt idx="11">
                  <c:v>1721</c:v>
                </c:pt>
                <c:pt idx="12">
                  <c:v>1472.6867290347498</c:v>
                </c:pt>
                <c:pt idx="13">
                  <c:v>1523.4764138715439</c:v>
                </c:pt>
                <c:pt idx="14">
                  <c:v>1552.532291015779</c:v>
                </c:pt>
                <c:pt idx="15">
                  <c:v>1563.424792186036</c:v>
                </c:pt>
                <c:pt idx="16">
                  <c:v>1562.0619056926596</c:v>
                </c:pt>
                <c:pt idx="17">
                  <c:v>1568.0021416223028</c:v>
                </c:pt>
                <c:pt idx="18">
                  <c:v>1578.6034215177081</c:v>
                </c:pt>
                <c:pt idx="19">
                  <c:v>1587.6373291291702</c:v>
                </c:pt>
                <c:pt idx="20">
                  <c:v>1325.9188258920508</c:v>
                </c:pt>
                <c:pt idx="21">
                  <c:v>1367.0149064216662</c:v>
                </c:pt>
                <c:pt idx="22">
                  <c:v>1409.9333278871666</c:v>
                </c:pt>
                <c:pt idx="23">
                  <c:v>1460.4007476846289</c:v>
                </c:pt>
                <c:pt idx="24">
                  <c:v>1515.5644539122929</c:v>
                </c:pt>
                <c:pt idx="25">
                  <c:v>1570.3601594882721</c:v>
                </c:pt>
                <c:pt idx="26">
                  <c:v>1635.7602757011425</c:v>
                </c:pt>
                <c:pt idx="27">
                  <c:v>1704.5228337760118</c:v>
                </c:pt>
                <c:pt idx="28">
                  <c:v>1778.1875919158788</c:v>
                </c:pt>
                <c:pt idx="29">
                  <c:v>1855.0520809358659</c:v>
                </c:pt>
                <c:pt idx="30">
                  <c:v>1918.8341100530693</c:v>
                </c:pt>
                <c:pt idx="31">
                  <c:v>2002.3032958492197</c:v>
                </c:pt>
                <c:pt idx="32">
                  <c:v>2088.2586564318799</c:v>
                </c:pt>
                <c:pt idx="33">
                  <c:v>2177.3330411047082</c:v>
                </c:pt>
                <c:pt idx="34">
                  <c:v>2262.8600709712646</c:v>
                </c:pt>
                <c:pt idx="35">
                  <c:v>2354.1828098632095</c:v>
                </c:pt>
                <c:pt idx="36">
                  <c:v>2451.4777746522386</c:v>
                </c:pt>
                <c:pt idx="37">
                  <c:v>2552.9734587960711</c:v>
                </c:pt>
                <c:pt idx="38">
                  <c:v>2653.8009239504331</c:v>
                </c:pt>
                <c:pt idx="39">
                  <c:v>2758.8659783729486</c:v>
                </c:pt>
                <c:pt idx="40">
                  <c:v>2871.2011345424107</c:v>
                </c:pt>
                <c:pt idx="41">
                  <c:v>2989.4687050164225</c:v>
                </c:pt>
                <c:pt idx="42">
                  <c:v>3113.2736036156116</c:v>
                </c:pt>
                <c:pt idx="43">
                  <c:v>3242.8636040050346</c:v>
                </c:pt>
                <c:pt idx="44">
                  <c:v>3378.3172766503244</c:v>
                </c:pt>
                <c:pt idx="45">
                  <c:v>3520.9004264994633</c:v>
                </c:pt>
                <c:pt idx="46">
                  <c:v>3655.6581983324868</c:v>
                </c:pt>
                <c:pt idx="47">
                  <c:v>3796.9503046275936</c:v>
                </c:pt>
                <c:pt idx="48">
                  <c:v>3945.971368542288</c:v>
                </c:pt>
                <c:pt idx="49">
                  <c:v>4103.3884683056458</c:v>
                </c:pt>
                <c:pt idx="50">
                  <c:v>4272.8582121637728</c:v>
                </c:pt>
              </c:numCache>
            </c:numRef>
          </c:val>
          <c:smooth val="0"/>
          <c:extLst>
            <c:ext xmlns:c16="http://schemas.microsoft.com/office/drawing/2014/chart" uri="{C3380CC4-5D6E-409C-BE32-E72D297353CC}">
              <c16:uniqueId val="{00000002-0961-441D-9E04-BF04E6707262}"/>
            </c:ext>
          </c:extLst>
        </c:ser>
        <c:ser>
          <c:idx val="3"/>
          <c:order val="3"/>
          <c:tx>
            <c:strRef>
              <c:f>'BFAP verification'!$B$7</c:f>
              <c:strCache>
                <c:ptCount val="1"/>
                <c:pt idx="0">
                  <c:v>Chicken consumption (model)</c:v>
                </c:pt>
              </c:strCache>
            </c:strRef>
          </c:tx>
          <c:spPr>
            <a:ln w="28575" cap="rnd">
              <a:solidFill>
                <a:schemeClr val="accent4"/>
              </a:solidFill>
              <a:round/>
            </a:ln>
            <a:effectLst/>
          </c:spPr>
          <c:marker>
            <c:symbol val="none"/>
          </c:marker>
          <c:cat>
            <c:numRef>
              <c:f>'BFAP verification'!$C$3:$BA$3</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verification'!$C$7:$BA$7</c:f>
              <c:numCache>
                <c:formatCode>0.00</c:formatCode>
                <c:ptCount val="51"/>
                <c:pt idx="0">
                  <c:v>927</c:v>
                </c:pt>
                <c:pt idx="1">
                  <c:v>938</c:v>
                </c:pt>
                <c:pt idx="2">
                  <c:v>965</c:v>
                </c:pt>
                <c:pt idx="3">
                  <c:v>1032</c:v>
                </c:pt>
                <c:pt idx="4">
                  <c:v>1196</c:v>
                </c:pt>
                <c:pt idx="5">
                  <c:v>1455</c:v>
                </c:pt>
                <c:pt idx="6">
                  <c:v>1664</c:v>
                </c:pt>
                <c:pt idx="7">
                  <c:v>1767</c:v>
                </c:pt>
                <c:pt idx="8">
                  <c:v>1813</c:v>
                </c:pt>
                <c:pt idx="9">
                  <c:v>1841</c:v>
                </c:pt>
                <c:pt idx="10">
                  <c:v>1887</c:v>
                </c:pt>
                <c:pt idx="11">
                  <c:v>1987</c:v>
                </c:pt>
                <c:pt idx="12">
                  <c:v>1795.4604257032652</c:v>
                </c:pt>
                <c:pt idx="13">
                  <c:v>1865.9237046096164</c:v>
                </c:pt>
                <c:pt idx="14">
                  <c:v>1906.234495701585</c:v>
                </c:pt>
                <c:pt idx="15">
                  <c:v>1921.346252161856</c:v>
                </c:pt>
                <c:pt idx="16">
                  <c:v>1919.4554459595913</c:v>
                </c:pt>
                <c:pt idx="17">
                  <c:v>1927.6966567964964</c:v>
                </c:pt>
                <c:pt idx="18">
                  <c:v>1942.4043862190085</c:v>
                </c:pt>
                <c:pt idx="19">
                  <c:v>1954.9376152336436</c:v>
                </c:pt>
                <c:pt idx="20">
                  <c:v>1591.8413694544192</c:v>
                </c:pt>
                <c:pt idx="21">
                  <c:v>1648.8561864122587</c:v>
                </c:pt>
                <c:pt idx="22">
                  <c:v>1708.399235589698</c:v>
                </c:pt>
                <c:pt idx="23">
                  <c:v>1778.4154187634972</c:v>
                </c:pt>
                <c:pt idx="24">
                  <c:v>1854.9470143014162</c:v>
                </c:pt>
                <c:pt idx="25">
                  <c:v>1930.9680626161992</c:v>
                </c:pt>
                <c:pt idx="26">
                  <c:v>2021.7011838006179</c:v>
                </c:pt>
                <c:pt idx="27">
                  <c:v>2117.0992025816599</c:v>
                </c:pt>
                <c:pt idx="28">
                  <c:v>2219.2983088580199</c:v>
                </c:pt>
                <c:pt idx="29">
                  <c:v>2325.9365749786602</c:v>
                </c:pt>
                <c:pt idx="30">
                  <c:v>2414.4248363518172</c:v>
                </c:pt>
                <c:pt idx="31">
                  <c:v>2530.2261558075229</c:v>
                </c:pt>
                <c:pt idx="32">
                  <c:v>2649.4766801156452</c:v>
                </c:pt>
                <c:pt idx="33">
                  <c:v>2773.0543953698693</c:v>
                </c:pt>
                <c:pt idx="34">
                  <c:v>2891.7106732909551</c:v>
                </c:pt>
                <c:pt idx="35">
                  <c:v>3018.4076520517542</c:v>
                </c:pt>
                <c:pt idx="36">
                  <c:v>3153.3902230628346</c:v>
                </c:pt>
                <c:pt idx="37">
                  <c:v>3294.2006794103963</c:v>
                </c:pt>
                <c:pt idx="38">
                  <c:v>3434.0840793846633</c:v>
                </c:pt>
                <c:pt idx="39">
                  <c:v>3579.8465163218866</c:v>
                </c:pt>
                <c:pt idx="40">
                  <c:v>3735.6951589270284</c:v>
                </c:pt>
                <c:pt idx="41">
                  <c:v>3899.7741610052167</c:v>
                </c:pt>
                <c:pt idx="42">
                  <c:v>4071.5353981146736</c:v>
                </c:pt>
                <c:pt idx="43">
                  <c:v>4251.3226200723684</c:v>
                </c:pt>
                <c:pt idx="44">
                  <c:v>4439.2448319381174</c:v>
                </c:pt>
                <c:pt idx="45">
                  <c:v>4637.0581534314524</c:v>
                </c:pt>
                <c:pt idx="46">
                  <c:v>4824.0149044327873</c:v>
                </c:pt>
                <c:pt idx="47">
                  <c:v>5020.0370913223087</c:v>
                </c:pt>
                <c:pt idx="48">
                  <c:v>5226.7820794687068</c:v>
                </c:pt>
                <c:pt idx="49">
                  <c:v>5445.1753426066343</c:v>
                </c:pt>
                <c:pt idx="50">
                  <c:v>5680.2898912799556</c:v>
                </c:pt>
              </c:numCache>
            </c:numRef>
          </c:val>
          <c:smooth val="0"/>
          <c:extLst>
            <c:ext xmlns:c16="http://schemas.microsoft.com/office/drawing/2014/chart" uri="{C3380CC4-5D6E-409C-BE32-E72D297353CC}">
              <c16:uniqueId val="{00000003-0961-441D-9E04-BF04E6707262}"/>
            </c:ext>
          </c:extLst>
        </c:ser>
        <c:dLbls>
          <c:showLegendKey val="0"/>
          <c:showVal val="0"/>
          <c:showCatName val="0"/>
          <c:showSerName val="0"/>
          <c:showPercent val="0"/>
          <c:showBubbleSize val="0"/>
        </c:dLbls>
        <c:smooth val="0"/>
        <c:axId val="1913240207"/>
        <c:axId val="1913233551"/>
      </c:lineChart>
      <c:catAx>
        <c:axId val="1913240207"/>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33551"/>
        <c:crosses val="autoZero"/>
        <c:auto val="1"/>
        <c:lblAlgn val="ctr"/>
        <c:lblOffset val="100"/>
        <c:noMultiLvlLbl val="0"/>
      </c:catAx>
      <c:valAx>
        <c:axId val="19132335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24020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'BFAP verification'!$B$10</c:f>
              <c:strCache>
                <c:ptCount val="1"/>
                <c:pt idx="0">
                  <c:v>Egg production (BFAP)</c:v>
                </c:pt>
              </c:strCache>
            </c:strRef>
          </c:tx>
          <c:spPr>
            <a:ln w="28575" cap="rnd">
              <a:solidFill>
                <a:schemeClr val="accent1"/>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verification'!$C$10:$BA$10</c:f>
              <c:numCache>
                <c:formatCode>0.00</c:formatCode>
                <c:ptCount val="51"/>
                <c:pt idx="0">
                  <c:v>325.34589665653499</c:v>
                </c:pt>
                <c:pt idx="1">
                  <c:v>325.34589665653499</c:v>
                </c:pt>
                <c:pt idx="2">
                  <c:v>325.34589665653499</c:v>
                </c:pt>
                <c:pt idx="3">
                  <c:v>318.8389787234043</c:v>
                </c:pt>
                <c:pt idx="4">
                  <c:v>318.8389787234043</c:v>
                </c:pt>
                <c:pt idx="5">
                  <c:v>325.21575829787241</c:v>
                </c:pt>
                <c:pt idx="6">
                  <c:v>328.46791588085114</c:v>
                </c:pt>
                <c:pt idx="7">
                  <c:v>363.86063999999999</c:v>
                </c:pt>
                <c:pt idx="8">
                  <c:v>368.28791999999999</c:v>
                </c:pt>
                <c:pt idx="9">
                  <c:v>373.60199999999998</c:v>
                </c:pt>
                <c:pt idx="10">
                  <c:v>386.43599999999998</c:v>
                </c:pt>
                <c:pt idx="11">
                  <c:v>404.49</c:v>
                </c:pt>
                <c:pt idx="12">
                  <c:v>450.04</c:v>
                </c:pt>
                <c:pt idx="13">
                  <c:v>439.4</c:v>
                </c:pt>
                <c:pt idx="14">
                  <c:v>421.88</c:v>
                </c:pt>
                <c:pt idx="15">
                  <c:v>433.92676812049251</c:v>
                </c:pt>
                <c:pt idx="16">
                  <c:v>435</c:v>
                </c:pt>
                <c:pt idx="17">
                  <c:v>400</c:v>
                </c:pt>
                <c:pt idx="18">
                  <c:v>410</c:v>
                </c:pt>
                <c:pt idx="19">
                  <c:v>415</c:v>
                </c:pt>
                <c:pt idx="20">
                  <c:v>424</c:v>
                </c:pt>
                <c:pt idx="21">
                  <c:v>440</c:v>
                </c:pt>
                <c:pt idx="22">
                  <c:v>450</c:v>
                </c:pt>
                <c:pt idx="23">
                  <c:v>458</c:v>
                </c:pt>
                <c:pt idx="24">
                  <c:v>460</c:v>
                </c:pt>
                <c:pt idx="25">
                  <c:v>470</c:v>
                </c:pt>
                <c:pt idx="26">
                  <c:v>480</c:v>
                </c:pt>
                <c:pt idx="27">
                  <c:v>490</c:v>
                </c:pt>
                <c:pt idx="28">
                  <c:v>500</c:v>
                </c:pt>
              </c:numCache>
            </c:numRef>
          </c:val>
          <c:smooth val="0"/>
          <c:extLst>
            <c:ext xmlns:c16="http://schemas.microsoft.com/office/drawing/2014/chart" uri="{C3380CC4-5D6E-409C-BE32-E72D297353CC}">
              <c16:uniqueId val="{00000000-76CF-4086-B27B-5C61DEAA5E1D}"/>
            </c:ext>
          </c:extLst>
        </c:ser>
        <c:ser>
          <c:idx val="1"/>
          <c:order val="1"/>
          <c:tx>
            <c:strRef>
              <c:f>'BFAP verification'!$B$11</c:f>
              <c:strCache>
                <c:ptCount val="1"/>
                <c:pt idx="0">
                  <c:v>Egg consumption (BFAP)</c:v>
                </c:pt>
              </c:strCache>
            </c:strRef>
          </c:tx>
          <c:spPr>
            <a:ln w="28575" cap="rnd">
              <a:solidFill>
                <a:schemeClr val="accent2"/>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verification'!$C$11:$BA$11</c:f>
              <c:numCache>
                <c:formatCode>0.00</c:formatCode>
                <c:ptCount val="51"/>
                <c:pt idx="0">
                  <c:v>321.91089665653499</c:v>
                </c:pt>
                <c:pt idx="1">
                  <c:v>321.91089665653499</c:v>
                </c:pt>
                <c:pt idx="2">
                  <c:v>321.91089665653499</c:v>
                </c:pt>
                <c:pt idx="3">
                  <c:v>316.1402608231254</c:v>
                </c:pt>
                <c:pt idx="4">
                  <c:v>317.8939787234043</c:v>
                </c:pt>
                <c:pt idx="5">
                  <c:v>324.27075829787242</c:v>
                </c:pt>
                <c:pt idx="6">
                  <c:v>328.91791588085113</c:v>
                </c:pt>
                <c:pt idx="7">
                  <c:v>364.32063999999997</c:v>
                </c:pt>
                <c:pt idx="8">
                  <c:v>367.77791999999999</c:v>
                </c:pt>
                <c:pt idx="9">
                  <c:v>371.36519499999997</c:v>
                </c:pt>
                <c:pt idx="10">
                  <c:v>382.88327899999996</c:v>
                </c:pt>
                <c:pt idx="11">
                  <c:v>401.97165999999999</c:v>
                </c:pt>
                <c:pt idx="12">
                  <c:v>445.23</c:v>
                </c:pt>
                <c:pt idx="13">
                  <c:v>435.75099999999998</c:v>
                </c:pt>
                <c:pt idx="14">
                  <c:v>416.88200000000001</c:v>
                </c:pt>
                <c:pt idx="15">
                  <c:v>429.92676812049251</c:v>
                </c:pt>
                <c:pt idx="16">
                  <c:v>431</c:v>
                </c:pt>
                <c:pt idx="17">
                  <c:v>396</c:v>
                </c:pt>
                <c:pt idx="18">
                  <c:v>406</c:v>
                </c:pt>
                <c:pt idx="19">
                  <c:v>411</c:v>
                </c:pt>
                <c:pt idx="20">
                  <c:v>420</c:v>
                </c:pt>
                <c:pt idx="21">
                  <c:v>436</c:v>
                </c:pt>
                <c:pt idx="22">
                  <c:v>446</c:v>
                </c:pt>
                <c:pt idx="23">
                  <c:v>454</c:v>
                </c:pt>
                <c:pt idx="24">
                  <c:v>456</c:v>
                </c:pt>
                <c:pt idx="25">
                  <c:v>466</c:v>
                </c:pt>
                <c:pt idx="26">
                  <c:v>476</c:v>
                </c:pt>
                <c:pt idx="27">
                  <c:v>486</c:v>
                </c:pt>
                <c:pt idx="28">
                  <c:v>496</c:v>
                </c:pt>
              </c:numCache>
            </c:numRef>
          </c:val>
          <c:smooth val="0"/>
          <c:extLst>
            <c:ext xmlns:c16="http://schemas.microsoft.com/office/drawing/2014/chart" uri="{C3380CC4-5D6E-409C-BE32-E72D297353CC}">
              <c16:uniqueId val="{00000001-76CF-4086-B27B-5C61DEAA5E1D}"/>
            </c:ext>
          </c:extLst>
        </c:ser>
        <c:ser>
          <c:idx val="2"/>
          <c:order val="2"/>
          <c:tx>
            <c:strRef>
              <c:f>'BFAP verification'!$B$12</c:f>
              <c:strCache>
                <c:ptCount val="1"/>
                <c:pt idx="0">
                  <c:v>Egg production (model)</c:v>
                </c:pt>
              </c:strCache>
            </c:strRef>
          </c:tx>
          <c:spPr>
            <a:ln w="28575" cap="rnd">
              <a:solidFill>
                <a:schemeClr val="accent3"/>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verification'!$C$12:$BA$12</c:f>
              <c:numCache>
                <c:formatCode>0.00</c:formatCode>
                <c:ptCount val="51"/>
                <c:pt idx="0">
                  <c:v>329</c:v>
                </c:pt>
                <c:pt idx="1">
                  <c:v>330</c:v>
                </c:pt>
                <c:pt idx="2">
                  <c:v>340</c:v>
                </c:pt>
                <c:pt idx="3">
                  <c:v>328</c:v>
                </c:pt>
                <c:pt idx="4">
                  <c:v>348</c:v>
                </c:pt>
                <c:pt idx="5">
                  <c:v>375</c:v>
                </c:pt>
                <c:pt idx="6">
                  <c:v>412</c:v>
                </c:pt>
                <c:pt idx="7">
                  <c:v>438</c:v>
                </c:pt>
                <c:pt idx="8">
                  <c:v>426</c:v>
                </c:pt>
                <c:pt idx="9">
                  <c:v>404</c:v>
                </c:pt>
                <c:pt idx="10">
                  <c:v>413</c:v>
                </c:pt>
                <c:pt idx="11">
                  <c:v>452</c:v>
                </c:pt>
                <c:pt idx="12">
                  <c:v>450.58148879036702</c:v>
                </c:pt>
                <c:pt idx="13">
                  <c:v>461.12216532246379</c:v>
                </c:pt>
                <c:pt idx="14">
                  <c:v>469.26183076029639</c:v>
                </c:pt>
                <c:pt idx="15">
                  <c:v>475.42920891240095</c:v>
                </c:pt>
                <c:pt idx="16">
                  <c:v>480.32976132192323</c:v>
                </c:pt>
                <c:pt idx="17">
                  <c:v>486.28344500174182</c:v>
                </c:pt>
                <c:pt idx="18">
                  <c:v>492.85841330179068</c:v>
                </c:pt>
                <c:pt idx="19">
                  <c:v>499.33409759019213</c:v>
                </c:pt>
                <c:pt idx="20">
                  <c:v>473.8811507187504</c:v>
                </c:pt>
                <c:pt idx="21">
                  <c:v>483.33513152406607</c:v>
                </c:pt>
                <c:pt idx="22">
                  <c:v>492.73985355081891</c:v>
                </c:pt>
                <c:pt idx="23">
                  <c:v>502.76089728289224</c:v>
                </c:pt>
                <c:pt idx="24">
                  <c:v>513.26416798416881</c:v>
                </c:pt>
                <c:pt idx="25">
                  <c:v>523.6473295440918</c:v>
                </c:pt>
                <c:pt idx="26">
                  <c:v>535.20439876211435</c:v>
                </c:pt>
                <c:pt idx="27">
                  <c:v>547.07561023026449</c:v>
                </c:pt>
                <c:pt idx="28">
                  <c:v>559.43967169421728</c:v>
                </c:pt>
                <c:pt idx="29">
                  <c:v>572.11878586203284</c:v>
                </c:pt>
                <c:pt idx="30">
                  <c:v>583.18510430984691</c:v>
                </c:pt>
                <c:pt idx="31">
                  <c:v>596.51111074457708</c:v>
                </c:pt>
                <c:pt idx="32">
                  <c:v>610.06036858202071</c:v>
                </c:pt>
                <c:pt idx="33">
                  <c:v>623.90529886873833</c:v>
                </c:pt>
                <c:pt idx="34">
                  <c:v>637.26305331286142</c:v>
                </c:pt>
                <c:pt idx="35">
                  <c:v>651.23628837412241</c:v>
                </c:pt>
                <c:pt idx="36">
                  <c:v>665.84376234999877</c:v>
                </c:pt>
                <c:pt idx="37">
                  <c:v>680.87391760147852</c:v>
                </c:pt>
                <c:pt idx="38">
                  <c:v>695.74896699078681</c:v>
                </c:pt>
                <c:pt idx="39">
                  <c:v>711.05545139491437</c:v>
                </c:pt>
                <c:pt idx="40">
                  <c:v>727.1501758642122</c:v>
                </c:pt>
                <c:pt idx="41">
                  <c:v>743.87321031355157</c:v>
                </c:pt>
                <c:pt idx="42">
                  <c:v>761.17612233134776</c:v>
                </c:pt>
                <c:pt idx="43">
                  <c:v>779.0865349717692</c:v>
                </c:pt>
                <c:pt idx="44">
                  <c:v>797.61245389901012</c:v>
                </c:pt>
                <c:pt idx="45">
                  <c:v>816.90197069678595</c:v>
                </c:pt>
                <c:pt idx="46">
                  <c:v>835.18515047929338</c:v>
                </c:pt>
                <c:pt idx="47">
                  <c:v>854.15850790611194</c:v>
                </c:pt>
                <c:pt idx="48">
                  <c:v>873.96185119285644</c:v>
                </c:pt>
                <c:pt idx="49">
                  <c:v>894.67147883401901</c:v>
                </c:pt>
                <c:pt idx="50">
                  <c:v>916.71840547932641</c:v>
                </c:pt>
              </c:numCache>
            </c:numRef>
          </c:val>
          <c:smooth val="0"/>
          <c:extLst>
            <c:ext xmlns:c16="http://schemas.microsoft.com/office/drawing/2014/chart" uri="{C3380CC4-5D6E-409C-BE32-E72D297353CC}">
              <c16:uniqueId val="{00000002-76CF-4086-B27B-5C61DEAA5E1D}"/>
            </c:ext>
          </c:extLst>
        </c:ser>
        <c:ser>
          <c:idx val="3"/>
          <c:order val="3"/>
          <c:tx>
            <c:strRef>
              <c:f>'BFAP verification'!$B$13</c:f>
              <c:strCache>
                <c:ptCount val="1"/>
                <c:pt idx="0">
                  <c:v>Egg consumption (model)</c:v>
                </c:pt>
              </c:strCache>
            </c:strRef>
          </c:tx>
          <c:spPr>
            <a:ln w="28575" cap="rnd">
              <a:solidFill>
                <a:schemeClr val="accent4"/>
              </a:solidFill>
              <a:round/>
            </a:ln>
            <a:effectLst/>
          </c:spPr>
          <c:marker>
            <c:symbol val="none"/>
          </c:marker>
          <c:cat>
            <c:numRef>
              <c:f>'BFAP verification'!$C$9:$BA$9</c:f>
              <c:numCache>
                <c:formatCode>0_ ;\-0\ </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cat>
          <c:val>
            <c:numRef>
              <c:f>'BFAP verification'!$C$13:$BA$13</c:f>
              <c:numCache>
                <c:formatCode>0.00</c:formatCode>
                <c:ptCount val="51"/>
                <c:pt idx="0">
                  <c:v>310</c:v>
                </c:pt>
                <c:pt idx="1">
                  <c:v>308</c:v>
                </c:pt>
                <c:pt idx="2">
                  <c:v>313</c:v>
                </c:pt>
                <c:pt idx="3">
                  <c:v>305</c:v>
                </c:pt>
                <c:pt idx="4">
                  <c:v>329</c:v>
                </c:pt>
                <c:pt idx="5">
                  <c:v>357</c:v>
                </c:pt>
                <c:pt idx="6">
                  <c:v>392</c:v>
                </c:pt>
                <c:pt idx="7">
                  <c:v>416</c:v>
                </c:pt>
                <c:pt idx="8">
                  <c:v>404</c:v>
                </c:pt>
                <c:pt idx="9">
                  <c:v>379</c:v>
                </c:pt>
                <c:pt idx="10">
                  <c:v>386</c:v>
                </c:pt>
                <c:pt idx="11">
                  <c:v>426</c:v>
                </c:pt>
                <c:pt idx="12">
                  <c:v>420.75646494116734</c:v>
                </c:pt>
                <c:pt idx="13">
                  <c:v>430.44723083788745</c:v>
                </c:pt>
                <c:pt idx="14">
                  <c:v>437.93058278360638</c:v>
                </c:pt>
                <c:pt idx="15">
                  <c:v>443.60067594001811</c:v>
                </c:pt>
                <c:pt idx="16">
                  <c:v>448.10608942279401</c:v>
                </c:pt>
                <c:pt idx="17">
                  <c:v>453.57971861429411</c:v>
                </c:pt>
                <c:pt idx="18">
                  <c:v>459.62453731071372</c:v>
                </c:pt>
                <c:pt idx="19">
                  <c:v>465.57807741498289</c:v>
                </c:pt>
                <c:pt idx="20">
                  <c:v>442.17744001170882</c:v>
                </c:pt>
                <c:pt idx="21">
                  <c:v>450.86913209593365</c:v>
                </c:pt>
                <c:pt idx="22">
                  <c:v>459.51553721115255</c:v>
                </c:pt>
                <c:pt idx="23">
                  <c:v>468.72856908369022</c:v>
                </c:pt>
                <c:pt idx="24">
                  <c:v>478.38494523810624</c:v>
                </c:pt>
                <c:pt idx="25">
                  <c:v>487.93089683226083</c:v>
                </c:pt>
                <c:pt idx="26">
                  <c:v>498.5561021407637</c:v>
                </c:pt>
                <c:pt idx="27">
                  <c:v>509.47011993630059</c:v>
                </c:pt>
                <c:pt idx="28">
                  <c:v>520.83724848966995</c:v>
                </c:pt>
                <c:pt idx="29">
                  <c:v>532.49402657255121</c:v>
                </c:pt>
                <c:pt idx="30">
                  <c:v>542.66805108509266</c:v>
                </c:pt>
                <c:pt idx="31">
                  <c:v>554.91956153643071</c:v>
                </c:pt>
                <c:pt idx="32">
                  <c:v>567.37632229340352</c:v>
                </c:pt>
                <c:pt idx="33">
                  <c:v>580.1049149844365</c:v>
                </c:pt>
                <c:pt idx="34">
                  <c:v>592.38561355532045</c:v>
                </c:pt>
                <c:pt idx="35">
                  <c:v>605.23216561354832</c:v>
                </c:pt>
                <c:pt idx="36">
                  <c:v>618.66181694680029</c:v>
                </c:pt>
                <c:pt idx="37">
                  <c:v>632.48006812735093</c:v>
                </c:pt>
                <c:pt idx="38">
                  <c:v>646.15571986516795</c:v>
                </c:pt>
                <c:pt idx="39">
                  <c:v>660.22801936231349</c:v>
                </c:pt>
                <c:pt idx="40">
                  <c:v>675.02500194016261</c:v>
                </c:pt>
                <c:pt idx="41">
                  <c:v>690.39963291739241</c:v>
                </c:pt>
                <c:pt idx="42">
                  <c:v>706.30738506076011</c:v>
                </c:pt>
                <c:pt idx="43">
                  <c:v>722.77365413594407</c:v>
                </c:pt>
                <c:pt idx="44">
                  <c:v>739.80580029836835</c:v>
                </c:pt>
                <c:pt idx="45">
                  <c:v>757.5399742841546</c:v>
                </c:pt>
                <c:pt idx="46">
                  <c:v>774.34895372493463</c:v>
                </c:pt>
                <c:pt idx="47">
                  <c:v>791.79246074634955</c:v>
                </c:pt>
                <c:pt idx="48">
                  <c:v>809.99903061687485</c:v>
                </c:pt>
                <c:pt idx="49">
                  <c:v>829.03880976839673</c:v>
                </c:pt>
                <c:pt idx="50">
                  <c:v>849.30805948982197</c:v>
                </c:pt>
              </c:numCache>
            </c:numRef>
          </c:val>
          <c:smooth val="0"/>
          <c:extLst>
            <c:ext xmlns:c16="http://schemas.microsoft.com/office/drawing/2014/chart" uri="{C3380CC4-5D6E-409C-BE32-E72D297353CC}">
              <c16:uniqueId val="{00000003-76CF-4086-B27B-5C61DEAA5E1D}"/>
            </c:ext>
          </c:extLst>
        </c:ser>
        <c:dLbls>
          <c:showLegendKey val="0"/>
          <c:showVal val="0"/>
          <c:showCatName val="0"/>
          <c:showSerName val="0"/>
          <c:showPercent val="0"/>
          <c:showBubbleSize val="0"/>
        </c:dLbls>
        <c:smooth val="0"/>
        <c:axId val="1784320671"/>
        <c:axId val="1784315263"/>
      </c:lineChart>
      <c:catAx>
        <c:axId val="1784320671"/>
        <c:scaling>
          <c:orientation val="minMax"/>
        </c:scaling>
        <c:delete val="0"/>
        <c:axPos val="b"/>
        <c:numFmt formatCode="0_ ;\-0\ "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15263"/>
        <c:crosses val="autoZero"/>
        <c:auto val="1"/>
        <c:lblAlgn val="ctr"/>
        <c:lblOffset val="100"/>
        <c:noMultiLvlLbl val="0"/>
      </c:catAx>
      <c:valAx>
        <c:axId val="178431526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432067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3" Type="http://schemas.openxmlformats.org/officeDocument/2006/relationships/chart" Target="../charts/chart6.xml"/><Relationship Id="rId7" Type="http://schemas.openxmlformats.org/officeDocument/2006/relationships/chart" Target="../charts/chart10.xml"/><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chart" Target="../charts/chart9.xml"/><Relationship Id="rId5" Type="http://schemas.openxmlformats.org/officeDocument/2006/relationships/chart" Target="../charts/chart8.xml"/><Relationship Id="rId10" Type="http://schemas.openxmlformats.org/officeDocument/2006/relationships/chart" Target="../charts/chart13.xml"/><Relationship Id="rId4" Type="http://schemas.openxmlformats.org/officeDocument/2006/relationships/chart" Target="../charts/chart7.xml"/><Relationship Id="rId9"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6</xdr:col>
      <xdr:colOff>828681</xdr:colOff>
      <xdr:row>23</xdr:row>
      <xdr:rowOff>76200</xdr:rowOff>
    </xdr:from>
    <xdr:to>
      <xdr:col>12</xdr:col>
      <xdr:colOff>314331</xdr:colOff>
      <xdr:row>39</xdr:row>
      <xdr:rowOff>152400</xdr:rowOff>
    </xdr:to>
    <xdr:graphicFrame macro="">
      <xdr:nvGraphicFramePr>
        <xdr:cNvPr id="10" name="Chart 9">
          <a:extLst>
            <a:ext uri="{FF2B5EF4-FFF2-40B4-BE49-F238E27FC236}">
              <a16:creationId xmlns:a16="http://schemas.microsoft.com/office/drawing/2014/main" id="{00000000-0008-0000-0A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809631</xdr:colOff>
      <xdr:row>38</xdr:row>
      <xdr:rowOff>171450</xdr:rowOff>
    </xdr:from>
    <xdr:to>
      <xdr:col>9</xdr:col>
      <xdr:colOff>295281</xdr:colOff>
      <xdr:row>55</xdr:row>
      <xdr:rowOff>57150</xdr:rowOff>
    </xdr:to>
    <xdr:graphicFrame macro="">
      <xdr:nvGraphicFramePr>
        <xdr:cNvPr id="13" name="Chart 12">
          <a:extLst>
            <a:ext uri="{FF2B5EF4-FFF2-40B4-BE49-F238E27FC236}">
              <a16:creationId xmlns:a16="http://schemas.microsoft.com/office/drawing/2014/main" id="{00000000-0008-0000-0A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685806</xdr:colOff>
      <xdr:row>15</xdr:row>
      <xdr:rowOff>171450</xdr:rowOff>
    </xdr:from>
    <xdr:to>
      <xdr:col>14</xdr:col>
      <xdr:colOff>171456</xdr:colOff>
      <xdr:row>30</xdr:row>
      <xdr:rowOff>57150</xdr:rowOff>
    </xdr:to>
    <xdr:graphicFrame macro="">
      <xdr:nvGraphicFramePr>
        <xdr:cNvPr id="2" name="Chart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1752600</xdr:colOff>
      <xdr:row>27</xdr:row>
      <xdr:rowOff>0</xdr:rowOff>
    </xdr:from>
    <xdr:to>
      <xdr:col>4</xdr:col>
      <xdr:colOff>247650</xdr:colOff>
      <xdr:row>27</xdr:row>
      <xdr:rowOff>0</xdr:rowOff>
    </xdr:to>
    <xdr:graphicFrame macro="">
      <xdr:nvGraphicFramePr>
        <xdr:cNvPr id="2" name="Chart 6">
          <a:extLst>
            <a:ext uri="{FF2B5EF4-FFF2-40B4-BE49-F238E27FC236}">
              <a16:creationId xmlns:a16="http://schemas.microsoft.com/office/drawing/2014/main" id="{00000000-0008-0000-0B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66675</xdr:colOff>
      <xdr:row>27</xdr:row>
      <xdr:rowOff>0</xdr:rowOff>
    </xdr:from>
    <xdr:to>
      <xdr:col>4</xdr:col>
      <xdr:colOff>561975</xdr:colOff>
      <xdr:row>27</xdr:row>
      <xdr:rowOff>0</xdr:rowOff>
    </xdr:to>
    <xdr:graphicFrame macro="">
      <xdr:nvGraphicFramePr>
        <xdr:cNvPr id="3" name="Chart 7">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1171575</xdr:colOff>
      <xdr:row>27</xdr:row>
      <xdr:rowOff>0</xdr:rowOff>
    </xdr:from>
    <xdr:to>
      <xdr:col>2</xdr:col>
      <xdr:colOff>0</xdr:colOff>
      <xdr:row>27</xdr:row>
      <xdr:rowOff>0</xdr:rowOff>
    </xdr:to>
    <xdr:graphicFrame macro="">
      <xdr:nvGraphicFramePr>
        <xdr:cNvPr id="4" name="Chart 20">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27</xdr:row>
      <xdr:rowOff>0</xdr:rowOff>
    </xdr:from>
    <xdr:to>
      <xdr:col>2</xdr:col>
      <xdr:colOff>0</xdr:colOff>
      <xdr:row>27</xdr:row>
      <xdr:rowOff>0</xdr:rowOff>
    </xdr:to>
    <xdr:graphicFrame macro="">
      <xdr:nvGraphicFramePr>
        <xdr:cNvPr id="5" name="Chart 21">
          <a:extLst>
            <a:ext uri="{FF2B5EF4-FFF2-40B4-BE49-F238E27FC236}">
              <a16:creationId xmlns:a16="http://schemas.microsoft.com/office/drawing/2014/main" id="{00000000-0008-0000-0B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519112</xdr:colOff>
      <xdr:row>13</xdr:row>
      <xdr:rowOff>23812</xdr:rowOff>
    </xdr:from>
    <xdr:to>
      <xdr:col>45</xdr:col>
      <xdr:colOff>214312</xdr:colOff>
      <xdr:row>36</xdr:row>
      <xdr:rowOff>100012</xdr:rowOff>
    </xdr:to>
    <xdr:graphicFrame macro="">
      <xdr:nvGraphicFramePr>
        <xdr:cNvPr id="6" name="Chart 5">
          <a:extLst>
            <a:ext uri="{FF2B5EF4-FFF2-40B4-BE49-F238E27FC236}">
              <a16:creationId xmlns:a16="http://schemas.microsoft.com/office/drawing/2014/main" id="{00000000-0008-0000-0B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45</xdr:col>
      <xdr:colOff>328612</xdr:colOff>
      <xdr:row>13</xdr:row>
      <xdr:rowOff>61912</xdr:rowOff>
    </xdr:from>
    <xdr:to>
      <xdr:col>53</xdr:col>
      <xdr:colOff>23812</xdr:colOff>
      <xdr:row>36</xdr:row>
      <xdr:rowOff>138112</xdr:rowOff>
    </xdr:to>
    <xdr:graphicFrame macro="">
      <xdr:nvGraphicFramePr>
        <xdr:cNvPr id="7" name="Chart 6">
          <a:extLst>
            <a:ext uri="{FF2B5EF4-FFF2-40B4-BE49-F238E27FC236}">
              <a16:creationId xmlns:a16="http://schemas.microsoft.com/office/drawing/2014/main" id="{00000000-0008-0000-0B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29</xdr:col>
      <xdr:colOff>433387</xdr:colOff>
      <xdr:row>21</xdr:row>
      <xdr:rowOff>42862</xdr:rowOff>
    </xdr:from>
    <xdr:to>
      <xdr:col>37</xdr:col>
      <xdr:colOff>128587</xdr:colOff>
      <xdr:row>41</xdr:row>
      <xdr:rowOff>119062</xdr:rowOff>
    </xdr:to>
    <xdr:graphicFrame macro="">
      <xdr:nvGraphicFramePr>
        <xdr:cNvPr id="8" name="Chart 7">
          <a:extLst>
            <a:ext uri="{FF2B5EF4-FFF2-40B4-BE49-F238E27FC236}">
              <a16:creationId xmlns:a16="http://schemas.microsoft.com/office/drawing/2014/main" id="{00000000-0008-0000-0B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566737</xdr:colOff>
      <xdr:row>37</xdr:row>
      <xdr:rowOff>147637</xdr:rowOff>
    </xdr:from>
    <xdr:to>
      <xdr:col>45</xdr:col>
      <xdr:colOff>261937</xdr:colOff>
      <xdr:row>52</xdr:row>
      <xdr:rowOff>33337</xdr:rowOff>
    </xdr:to>
    <xdr:graphicFrame macro="">
      <xdr:nvGraphicFramePr>
        <xdr:cNvPr id="9" name="Chart 8">
          <a:extLst>
            <a:ext uri="{FF2B5EF4-FFF2-40B4-BE49-F238E27FC236}">
              <a16:creationId xmlns:a16="http://schemas.microsoft.com/office/drawing/2014/main" id="{00000000-0008-0000-0B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30</xdr:col>
      <xdr:colOff>80962</xdr:colOff>
      <xdr:row>42</xdr:row>
      <xdr:rowOff>52387</xdr:rowOff>
    </xdr:from>
    <xdr:to>
      <xdr:col>37</xdr:col>
      <xdr:colOff>385762</xdr:colOff>
      <xdr:row>56</xdr:row>
      <xdr:rowOff>128587</xdr:rowOff>
    </xdr:to>
    <xdr:graphicFrame macro="">
      <xdr:nvGraphicFramePr>
        <xdr:cNvPr id="10" name="Chart 9">
          <a:extLst>
            <a:ext uri="{FF2B5EF4-FFF2-40B4-BE49-F238E27FC236}">
              <a16:creationId xmlns:a16="http://schemas.microsoft.com/office/drawing/2014/main" id="{00000000-0008-0000-0B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45</xdr:col>
      <xdr:colOff>519112</xdr:colOff>
      <xdr:row>39</xdr:row>
      <xdr:rowOff>80962</xdr:rowOff>
    </xdr:from>
    <xdr:to>
      <xdr:col>53</xdr:col>
      <xdr:colOff>214312</xdr:colOff>
      <xdr:row>53</xdr:row>
      <xdr:rowOff>157162</xdr:rowOff>
    </xdr:to>
    <xdr:graphicFrame macro="">
      <xdr:nvGraphicFramePr>
        <xdr:cNvPr id="11" name="Chart 10">
          <a:extLst>
            <a:ext uri="{FF2B5EF4-FFF2-40B4-BE49-F238E27FC236}">
              <a16:creationId xmlns:a16="http://schemas.microsoft.com/office/drawing/2014/main" id="{00000000-0008-0000-0B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485775</xdr:colOff>
      <xdr:row>11</xdr:row>
      <xdr:rowOff>114300</xdr:rowOff>
    </xdr:from>
    <xdr:to>
      <xdr:col>18</xdr:col>
      <xdr:colOff>219075</xdr:colOff>
      <xdr:row>37</xdr:row>
      <xdr:rowOff>9526</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361949</xdr:colOff>
      <xdr:row>81</xdr:row>
      <xdr:rowOff>33337</xdr:rowOff>
    </xdr:from>
    <xdr:to>
      <xdr:col>15</xdr:col>
      <xdr:colOff>219074</xdr:colOff>
      <xdr:row>106</xdr:row>
      <xdr:rowOff>171450</xdr:rowOff>
    </xdr:to>
    <xdr:graphicFrame macro="">
      <xdr:nvGraphicFramePr>
        <xdr:cNvPr id="4" name="Chart 3">
          <a:extLst>
            <a:ext uri="{FF2B5EF4-FFF2-40B4-BE49-F238E27FC236}">
              <a16:creationId xmlns:a16="http://schemas.microsoft.com/office/drawing/2014/main" id="{00000000-0008-0000-1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619125</xdr:colOff>
      <xdr:row>80</xdr:row>
      <xdr:rowOff>176211</xdr:rowOff>
    </xdr:from>
    <xdr:to>
      <xdr:col>26</xdr:col>
      <xdr:colOff>600075</xdr:colOff>
      <xdr:row>102</xdr:row>
      <xdr:rowOff>133350</xdr:rowOff>
    </xdr:to>
    <xdr:graphicFrame macro="">
      <xdr:nvGraphicFramePr>
        <xdr:cNvPr id="3" name="Chart 2">
          <a:extLst>
            <a:ext uri="{FF2B5EF4-FFF2-40B4-BE49-F238E27FC236}">
              <a16:creationId xmlns:a16="http://schemas.microsoft.com/office/drawing/2014/main" id="{00000000-0008-0000-1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276224</xdr:colOff>
      <xdr:row>120</xdr:row>
      <xdr:rowOff>14286</xdr:rowOff>
    </xdr:from>
    <xdr:to>
      <xdr:col>35</xdr:col>
      <xdr:colOff>447674</xdr:colOff>
      <xdr:row>145</xdr:row>
      <xdr:rowOff>152399</xdr:rowOff>
    </xdr:to>
    <xdr:graphicFrame macro="">
      <xdr:nvGraphicFramePr>
        <xdr:cNvPr id="5" name="Chart 4">
          <a:extLst>
            <a:ext uri="{FF2B5EF4-FFF2-40B4-BE49-F238E27FC236}">
              <a16:creationId xmlns:a16="http://schemas.microsoft.com/office/drawing/2014/main" id="{00000000-0008-0000-1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My%20Drive\Consulting\2020Projects\AFOLU%20NDC\Corrected%20inventory\LULUC%202000-2017_v7_Corrected.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Land_model_Link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My%20Drive\Consulting\2020Projects\AFOLU%20NDC\Land%20modelling\Land%20model_v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C Log"/>
      <sheetName val="QA Log"/>
      <sheetName val="Colour coding"/>
      <sheetName val="# Look Up Table"/>
      <sheetName val="Version notes"/>
      <sheetName val="Constants &amp; CF"/>
      <sheetName val="Land recalculation"/>
      <sheetName val="Land areas"/>
      <sheetName val="Summary"/>
      <sheetName val="Land sector table"/>
      <sheetName val="Land Trends"/>
      <sheetName val="LUC Matrix"/>
      <sheetName val="LC Matrix table for NIR"/>
      <sheetName val="Annual LU"/>
      <sheetName val="Annual LU change"/>
      <sheetName val="Biomass and litter data"/>
      <sheetName val="Biomass&amp;DOM data"/>
      <sheetName val="SOC ref data"/>
      <sheetName val="Burnt area chart"/>
      <sheetName val="Burnt area"/>
      <sheetName val="Sheet1"/>
      <sheetName val="Plantation Data"/>
      <sheetName val="Woodland fuelwood estimation"/>
      <sheetName val="LC Clim Soil Overlay data"/>
      <sheetName val="Crop areas"/>
      <sheetName val="Crop management factors"/>
      <sheetName val="Moeletsi et al 2015 crop data"/>
      <sheetName val="Land tables"/>
      <sheetName val="BiomassDOMSOC"/>
      <sheetName val="Forest land Trends"/>
      <sheetName val="Forest land conversions"/>
      <sheetName val="Cropland trends 2"/>
      <sheetName val="Grassland trends 2"/>
      <sheetName val="Settlement trends 2"/>
      <sheetName val="Other land trend 2"/>
      <sheetName val="Forest land cover"/>
      <sheetName val="Forest land Biomass &amp; DOM"/>
      <sheetName val="Forest land SOC"/>
      <sheetName val="Cropland Trends"/>
      <sheetName val="Cropland cover"/>
      <sheetName val="Cropland Biomass &amp; DOM"/>
      <sheetName val="Cropland SOC"/>
      <sheetName val="Grassland weighted AGB"/>
      <sheetName val="Grassland Trends"/>
      <sheetName val="Grassland Biomass &amp; DOM"/>
      <sheetName val="Grassland SOC"/>
      <sheetName val="Wetland"/>
      <sheetName val="Wetland Trends"/>
      <sheetName val="Wetland CH4"/>
      <sheetName val="Settlement Trends"/>
      <sheetName val="Settlements Biomass &amp; DOM"/>
      <sheetName val="Settlements SOC"/>
      <sheetName val="Otherland Trends"/>
      <sheetName val="Otherland Biomass &amp; DOM"/>
      <sheetName val="Otherlands SOC"/>
      <sheetName val="LULUCF Table"/>
    </sheetNames>
    <sheetDataSet>
      <sheetData sheetId="0"/>
      <sheetData sheetId="1"/>
      <sheetData sheetId="2"/>
      <sheetData sheetId="3"/>
      <sheetData sheetId="4"/>
      <sheetData sheetId="5">
        <row r="8">
          <cell r="E8">
            <v>21</v>
          </cell>
        </row>
        <row r="52">
          <cell r="E52">
            <v>0.47</v>
          </cell>
        </row>
      </sheetData>
      <sheetData sheetId="6" refreshError="1"/>
      <sheetData sheetId="7" refreshError="1"/>
      <sheetData sheetId="8"/>
      <sheetData sheetId="9"/>
      <sheetData sheetId="10" refreshError="1"/>
      <sheetData sheetId="11"/>
      <sheetData sheetId="12"/>
      <sheetData sheetId="13"/>
      <sheetData sheetId="14"/>
      <sheetData sheetId="15"/>
      <sheetData sheetId="16"/>
      <sheetData sheetId="17"/>
      <sheetData sheetId="18" refreshError="1"/>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sheetData sheetId="37"/>
      <sheetData sheetId="38" refreshError="1"/>
      <sheetData sheetId="39" refreshError="1"/>
      <sheetData sheetId="40"/>
      <sheetData sheetId="41"/>
      <sheetData sheetId="42"/>
      <sheetData sheetId="43" refreshError="1"/>
      <sheetData sheetId="44"/>
      <sheetData sheetId="45"/>
      <sheetData sheetId="46"/>
      <sheetData sheetId="47" refreshError="1"/>
      <sheetData sheetId="48"/>
      <sheetData sheetId="49" refreshError="1"/>
      <sheetData sheetId="50"/>
      <sheetData sheetId="51"/>
      <sheetData sheetId="52" refreshError="1"/>
      <sheetData sheetId="53"/>
      <sheetData sheetId="54"/>
      <sheetData sheetId="5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ndexG2E"/>
      <sheetName val="IndexE2G"/>
      <sheetName val="DriversCGE"/>
      <sheetName val="GHGSummary"/>
      <sheetName val="IPCC Categories"/>
      <sheetName val="Drivers"/>
      <sheetName val="Calculated drivers"/>
      <sheetName val="Annual land change driver"/>
      <sheetName val="Land areas"/>
      <sheetName val="Summary land areas"/>
      <sheetName val="Constants"/>
      <sheetName val="Variables"/>
      <sheetName val="Activity data"/>
      <sheetName val="Relationships"/>
      <sheetName val="Carbon stock data"/>
      <sheetName val="Aggregated stock data"/>
      <sheetName val="Baseline Emissions &amp; Removals"/>
      <sheetName val="Baseline emission summary"/>
      <sheetName val="Clearing assumptions"/>
      <sheetName val="Mitigation input scenarios"/>
      <sheetName val="Mitigation calculations"/>
      <sheetName val="Mitigation Emissions &amp; Removals"/>
      <sheetName val="Mitigation summary"/>
      <sheetName val="Sheet1"/>
      <sheetName val="Costs"/>
      <sheetName val="Jobs"/>
      <sheetName val="Inventory"/>
      <sheetName val="Inventory comparison"/>
    </sheetNames>
    <sheetDataSet>
      <sheetData sheetId="0"/>
      <sheetData sheetId="1"/>
      <sheetData sheetId="2"/>
      <sheetData sheetId="3"/>
      <sheetData sheetId="4"/>
      <sheetData sheetId="5"/>
      <sheetData sheetId="6"/>
      <sheetData sheetId="7"/>
      <sheetData sheetId="8"/>
      <sheetData sheetId="9"/>
      <sheetData sheetId="10"/>
      <sheetData sheetId="11">
        <row r="8">
          <cell r="B8">
            <v>1E-3</v>
          </cell>
        </row>
      </sheetData>
      <sheetData sheetId="12"/>
      <sheetData sheetId="13">
        <row r="545">
          <cell r="AE545">
            <v>13597.343916991533</v>
          </cell>
          <cell r="AF545">
            <v>13591.541699530653</v>
          </cell>
          <cell r="AG545">
            <v>13585.739482069775</v>
          </cell>
          <cell r="AH545">
            <v>13579.937264608896</v>
          </cell>
          <cell r="AI545">
            <v>13574.135047148016</v>
          </cell>
          <cell r="AJ545">
            <v>13568.332829687137</v>
          </cell>
          <cell r="AK545">
            <v>13562.530612226257</v>
          </cell>
          <cell r="AL545">
            <v>13556.72839476538</v>
          </cell>
          <cell r="AM545">
            <v>13550.9261773045</v>
          </cell>
          <cell r="AN545">
            <v>13545.12395984362</v>
          </cell>
          <cell r="AO545">
            <v>13539.321742382741</v>
          </cell>
          <cell r="AP545">
            <v>13533.519524921861</v>
          </cell>
          <cell r="AQ545">
            <v>13527.717307460984</v>
          </cell>
          <cell r="AR545">
            <v>13521.915090000104</v>
          </cell>
          <cell r="AS545">
            <v>13516.112872539225</v>
          </cell>
          <cell r="AT545">
            <v>13510.310655078345</v>
          </cell>
          <cell r="AU545">
            <v>13504.508437617465</v>
          </cell>
          <cell r="AV545">
            <v>13498.706220156588</v>
          </cell>
          <cell r="AW545">
            <v>13492.904002695708</v>
          </cell>
          <cell r="AX545">
            <v>13487.101785234829</v>
          </cell>
          <cell r="AY545">
            <v>13481.299567773949</v>
          </cell>
          <cell r="AZ545">
            <v>13475.49735031307</v>
          </cell>
          <cell r="BA545">
            <v>13469.695132852192</v>
          </cell>
          <cell r="BB545">
            <v>13463.892915391312</v>
          </cell>
          <cell r="BC545">
            <v>13458.090697930433</v>
          </cell>
          <cell r="BD545">
            <v>13452.288480469553</v>
          </cell>
          <cell r="BE545">
            <v>13446.486263008674</v>
          </cell>
          <cell r="BF545">
            <v>13440.684045547796</v>
          </cell>
          <cell r="BG545">
            <v>13434.881828086916</v>
          </cell>
          <cell r="BH545">
            <v>13429.079610626037</v>
          </cell>
          <cell r="BI545">
            <v>13423.277393165157</v>
          </cell>
          <cell r="BJ545">
            <v>13417.475175704278</v>
          </cell>
          <cell r="BK545">
            <v>13411.6729582434</v>
          </cell>
          <cell r="BL545">
            <v>13405.87074078252</v>
          </cell>
          <cell r="BM545">
            <v>13400.068523321641</v>
          </cell>
          <cell r="BN545">
            <v>13394.266305860761</v>
          </cell>
          <cell r="BO545">
            <v>13388.464088399882</v>
          </cell>
          <cell r="BP545">
            <v>13382.661870939004</v>
          </cell>
          <cell r="BQ545">
            <v>13376.859653478125</v>
          </cell>
        </row>
        <row r="546">
          <cell r="AE546">
            <v>393930.44129440375</v>
          </cell>
          <cell r="AF546">
            <v>393306.72804719064</v>
          </cell>
          <cell r="AG546">
            <v>392683.01479997754</v>
          </cell>
          <cell r="AH546">
            <v>392059.30155276449</v>
          </cell>
          <cell r="AI546">
            <v>391435.58830555138</v>
          </cell>
          <cell r="AJ546">
            <v>390811.87505833828</v>
          </cell>
          <cell r="AK546">
            <v>390188.16181112523</v>
          </cell>
          <cell r="AL546">
            <v>389564.44856391213</v>
          </cell>
          <cell r="AM546">
            <v>388940.73531669908</v>
          </cell>
          <cell r="AN546">
            <v>388317.02206948597</v>
          </cell>
          <cell r="AO546">
            <v>387693.30882227287</v>
          </cell>
          <cell r="AP546">
            <v>387069.59557505982</v>
          </cell>
          <cell r="AQ546">
            <v>386445.88232784672</v>
          </cell>
          <cell r="AR546">
            <v>385822.16908063361</v>
          </cell>
          <cell r="AS546">
            <v>385198.45583342056</v>
          </cell>
          <cell r="AT546">
            <v>384574.74258620746</v>
          </cell>
          <cell r="AU546">
            <v>383951.02933899435</v>
          </cell>
          <cell r="AV546">
            <v>383327.31609178131</v>
          </cell>
          <cell r="AW546">
            <v>382703.6028445682</v>
          </cell>
          <cell r="AX546">
            <v>382079.88959735516</v>
          </cell>
          <cell r="AY546">
            <v>381456.17635014205</v>
          </cell>
          <cell r="AZ546">
            <v>380832.46310292894</v>
          </cell>
          <cell r="BA546">
            <v>380208.7498557159</v>
          </cell>
          <cell r="BB546">
            <v>379585.03660850279</v>
          </cell>
          <cell r="BC546">
            <v>378961.32336128969</v>
          </cell>
          <cell r="BD546">
            <v>378337.61011407664</v>
          </cell>
          <cell r="BE546">
            <v>377713.89686686354</v>
          </cell>
          <cell r="BF546">
            <v>377090.18361965049</v>
          </cell>
          <cell r="BG546">
            <v>376466.47037243738</v>
          </cell>
          <cell r="BH546">
            <v>375842.75712522428</v>
          </cell>
          <cell r="BI546">
            <v>375219.04387801123</v>
          </cell>
          <cell r="BJ546">
            <v>374595.33063079813</v>
          </cell>
          <cell r="BK546">
            <v>373971.61738358502</v>
          </cell>
          <cell r="BL546">
            <v>373347.90413637197</v>
          </cell>
          <cell r="BM546">
            <v>372724.19088915887</v>
          </cell>
          <cell r="BN546">
            <v>372100.47764194576</v>
          </cell>
          <cell r="BO546">
            <v>371476.76439473272</v>
          </cell>
          <cell r="BP546">
            <v>370853.05114751961</v>
          </cell>
          <cell r="BQ546">
            <v>370229.33790030656</v>
          </cell>
        </row>
        <row r="547">
          <cell r="AE547">
            <v>664355.50457407185</v>
          </cell>
          <cell r="AF547">
            <v>665519.12191991892</v>
          </cell>
          <cell r="AG547">
            <v>666682.73926576588</v>
          </cell>
          <cell r="AH547">
            <v>667846.35661161283</v>
          </cell>
          <cell r="AI547">
            <v>669009.97395745991</v>
          </cell>
          <cell r="AJ547">
            <v>670173.59130330686</v>
          </cell>
          <cell r="AK547">
            <v>671337.20864915382</v>
          </cell>
          <cell r="AL547">
            <v>666658.3555590522</v>
          </cell>
          <cell r="AM547">
            <v>661979.50246895046</v>
          </cell>
          <cell r="AN547">
            <v>657300.64937884873</v>
          </cell>
          <cell r="AO547">
            <v>652621.79628874699</v>
          </cell>
          <cell r="AP547">
            <v>647942.94319864525</v>
          </cell>
          <cell r="AQ547">
            <v>643264.09010854363</v>
          </cell>
          <cell r="AR547">
            <v>638585.2370184419</v>
          </cell>
          <cell r="AS547">
            <v>633906.38392834016</v>
          </cell>
          <cell r="AT547">
            <v>629227.53083823842</v>
          </cell>
          <cell r="AU547">
            <v>624548.67774813669</v>
          </cell>
          <cell r="AV547">
            <v>619869.82465803507</v>
          </cell>
          <cell r="AW547">
            <v>615190.97156793333</v>
          </cell>
          <cell r="AX547">
            <v>610512.11847783159</v>
          </cell>
          <cell r="AY547">
            <v>605833.26538772986</v>
          </cell>
          <cell r="AZ547">
            <v>601154.41229762812</v>
          </cell>
          <cell r="BA547">
            <v>596475.55920752638</v>
          </cell>
          <cell r="BB547">
            <v>591796.70611742476</v>
          </cell>
          <cell r="BC547">
            <v>587117.85302732303</v>
          </cell>
          <cell r="BD547">
            <v>582438.99993722129</v>
          </cell>
          <cell r="BE547">
            <v>577760.14684711955</v>
          </cell>
          <cell r="BF547">
            <v>573081.29375701782</v>
          </cell>
          <cell r="BG547">
            <v>568402.44066691608</v>
          </cell>
          <cell r="BH547">
            <v>563723.58757681435</v>
          </cell>
          <cell r="BI547">
            <v>559044.73448671272</v>
          </cell>
          <cell r="BJ547">
            <v>554365.88139661099</v>
          </cell>
          <cell r="BK547">
            <v>549687.02830650925</v>
          </cell>
          <cell r="BL547">
            <v>545008.17521640752</v>
          </cell>
          <cell r="BM547">
            <v>540329.32212630589</v>
          </cell>
          <cell r="BN547">
            <v>535650.46903620427</v>
          </cell>
          <cell r="BO547">
            <v>530971.61594610265</v>
          </cell>
          <cell r="BP547">
            <v>526292.76285600092</v>
          </cell>
          <cell r="BQ547">
            <v>521613.90976589912</v>
          </cell>
        </row>
        <row r="548">
          <cell r="AE548">
            <v>13285.999123176394</v>
          </cell>
          <cell r="AF548">
            <v>24983.999123176392</v>
          </cell>
          <cell r="AG548">
            <v>20172.999123176392</v>
          </cell>
          <cell r="AH548">
            <v>15648.999123176394</v>
          </cell>
          <cell r="AI548">
            <v>17908.999123176392</v>
          </cell>
          <cell r="AJ548">
            <v>19831.999123176392</v>
          </cell>
          <cell r="AK548">
            <v>19831.999123176392</v>
          </cell>
          <cell r="AL548">
            <v>19918.097396718102</v>
          </cell>
          <cell r="AM548">
            <v>20004.195670259811</v>
          </cell>
          <cell r="AN548">
            <v>20090.29394380152</v>
          </cell>
          <cell r="AO548">
            <v>20176.392217343229</v>
          </cell>
          <cell r="AP548">
            <v>20262.490490884938</v>
          </cell>
          <cell r="AQ548">
            <v>20348.588764426648</v>
          </cell>
          <cell r="AR548">
            <v>20434.687037968357</v>
          </cell>
          <cell r="AS548">
            <v>20520.785311510066</v>
          </cell>
          <cell r="AT548">
            <v>20606.883585051775</v>
          </cell>
          <cell r="AU548">
            <v>20692.981858593485</v>
          </cell>
          <cell r="AV548">
            <v>20779.080132135194</v>
          </cell>
          <cell r="AW548">
            <v>20865.178405676903</v>
          </cell>
          <cell r="AX548">
            <v>20865.178405676903</v>
          </cell>
          <cell r="AY548">
            <v>20865.178405676903</v>
          </cell>
          <cell r="AZ548">
            <v>20865.178405676903</v>
          </cell>
          <cell r="BA548">
            <v>20865.178405676903</v>
          </cell>
          <cell r="BB548">
            <v>20865.178405676903</v>
          </cell>
          <cell r="BC548">
            <v>20865.178405676903</v>
          </cell>
          <cell r="BD548">
            <v>20865.178405676903</v>
          </cell>
          <cell r="BE548">
            <v>20865.178405676903</v>
          </cell>
          <cell r="BF548">
            <v>20779.080132135194</v>
          </cell>
          <cell r="BG548">
            <v>20692.981858593485</v>
          </cell>
          <cell r="BH548">
            <v>20606.883585051775</v>
          </cell>
          <cell r="BI548">
            <v>20520.785311510066</v>
          </cell>
          <cell r="BJ548">
            <v>20434.687037968357</v>
          </cell>
          <cell r="BK548">
            <v>20348.588764426648</v>
          </cell>
          <cell r="BL548">
            <v>20262.490490884938</v>
          </cell>
          <cell r="BM548">
            <v>20176.392217343229</v>
          </cell>
          <cell r="BN548">
            <v>20090.29394380152</v>
          </cell>
          <cell r="BO548">
            <v>20004.195670259811</v>
          </cell>
          <cell r="BP548">
            <v>19918.097396718102</v>
          </cell>
          <cell r="BQ548">
            <v>19831.999123176392</v>
          </cell>
        </row>
        <row r="549">
          <cell r="AE549">
            <v>329614.7597349711</v>
          </cell>
          <cell r="AF549">
            <v>328711.1609496483</v>
          </cell>
          <cell r="AG549">
            <v>327807.5621643255</v>
          </cell>
          <cell r="AH549">
            <v>326903.96337900264</v>
          </cell>
          <cell r="AI549">
            <v>326000.36459367984</v>
          </cell>
          <cell r="AJ549">
            <v>325096.76580835704</v>
          </cell>
          <cell r="AK549">
            <v>324193.16702303418</v>
          </cell>
          <cell r="AL549">
            <v>323289.56823771138</v>
          </cell>
          <cell r="AM549">
            <v>322385.96945238858</v>
          </cell>
          <cell r="AN549">
            <v>321482.37066706573</v>
          </cell>
          <cell r="AO549">
            <v>320578.77188174293</v>
          </cell>
          <cell r="AP549">
            <v>319675.17309642013</v>
          </cell>
          <cell r="AQ549">
            <v>318771.57431109727</v>
          </cell>
          <cell r="AR549">
            <v>317867.97552577447</v>
          </cell>
          <cell r="AS549">
            <v>316964.37674045167</v>
          </cell>
          <cell r="AT549">
            <v>316060.77795512887</v>
          </cell>
          <cell r="AU549">
            <v>315157.17916980601</v>
          </cell>
          <cell r="AV549">
            <v>314253.58038448321</v>
          </cell>
          <cell r="AW549">
            <v>313349.98159916041</v>
          </cell>
          <cell r="AX549">
            <v>312446.38281383755</v>
          </cell>
          <cell r="AY549">
            <v>311542.78402851475</v>
          </cell>
          <cell r="AZ549">
            <v>310639.18524319195</v>
          </cell>
          <cell r="BA549">
            <v>309735.5864578691</v>
          </cell>
          <cell r="BB549">
            <v>308831.9876725463</v>
          </cell>
          <cell r="BC549">
            <v>307928.3888872235</v>
          </cell>
          <cell r="BD549">
            <v>307024.79010190064</v>
          </cell>
          <cell r="BE549">
            <v>306121.19131657784</v>
          </cell>
          <cell r="BF549">
            <v>305217.59253125504</v>
          </cell>
          <cell r="BG549">
            <v>304313.99374593218</v>
          </cell>
          <cell r="BH549">
            <v>303410.39496060938</v>
          </cell>
          <cell r="BI549">
            <v>302506.79617528658</v>
          </cell>
          <cell r="BJ549">
            <v>301603.19738996372</v>
          </cell>
          <cell r="BK549">
            <v>300699.59860464092</v>
          </cell>
          <cell r="BL549">
            <v>299795.99981931812</v>
          </cell>
          <cell r="BM549">
            <v>298892.40103399527</v>
          </cell>
          <cell r="BN549">
            <v>297988.80224867247</v>
          </cell>
          <cell r="BO549">
            <v>297085.20346334967</v>
          </cell>
          <cell r="BP549">
            <v>296181.60467802687</v>
          </cell>
          <cell r="BQ549">
            <v>295278.00589270401</v>
          </cell>
        </row>
        <row r="550">
          <cell r="AE550">
            <v>27272.800964105933</v>
          </cell>
          <cell r="AF550">
            <v>28102.087515757019</v>
          </cell>
          <cell r="AG550">
            <v>28931.374067408098</v>
          </cell>
          <cell r="AH550">
            <v>29760.660619059196</v>
          </cell>
          <cell r="AI550">
            <v>30589.947170710278</v>
          </cell>
          <cell r="AJ550">
            <v>31419.233722361369</v>
          </cell>
          <cell r="AK550">
            <v>32248.520274012448</v>
          </cell>
          <cell r="AL550">
            <v>33077.806825663531</v>
          </cell>
          <cell r="AM550">
            <v>33907.093377314624</v>
          </cell>
          <cell r="AN550">
            <v>34736.379928965718</v>
          </cell>
          <cell r="AO550">
            <v>35565.666480616797</v>
          </cell>
          <cell r="AP550">
            <v>36394.953032267884</v>
          </cell>
          <cell r="AQ550">
            <v>37224.23958391897</v>
          </cell>
          <cell r="AR550">
            <v>38053.526135570057</v>
          </cell>
          <cell r="AS550">
            <v>38882.812687221151</v>
          </cell>
          <cell r="AT550">
            <v>39712.09923887223</v>
          </cell>
          <cell r="AU550">
            <v>40541.385790523324</v>
          </cell>
          <cell r="AV550">
            <v>41370.67234217441</v>
          </cell>
          <cell r="AW550">
            <v>42199.958893825504</v>
          </cell>
          <cell r="AX550">
            <v>43029.245445476583</v>
          </cell>
          <cell r="AY550">
            <v>43858.531997127677</v>
          </cell>
          <cell r="AZ550">
            <v>44687.818548778749</v>
          </cell>
          <cell r="BA550">
            <v>45517.105100429842</v>
          </cell>
          <cell r="BB550">
            <v>46346.391652080929</v>
          </cell>
          <cell r="BC550">
            <v>47175.678203732023</v>
          </cell>
          <cell r="BD550">
            <v>48004.964755383102</v>
          </cell>
          <cell r="BE550">
            <v>48834.251307034181</v>
          </cell>
          <cell r="BF550">
            <v>49663.537858685289</v>
          </cell>
          <cell r="BG550">
            <v>50492.824410336369</v>
          </cell>
          <cell r="BH550">
            <v>51322.110961987448</v>
          </cell>
          <cell r="BI550">
            <v>52151.397513638527</v>
          </cell>
          <cell r="BJ550">
            <v>52980.684065289621</v>
          </cell>
          <cell r="BK550">
            <v>53809.970616940707</v>
          </cell>
          <cell r="BL550">
            <v>54639.257168591786</v>
          </cell>
          <cell r="BM550">
            <v>55468.54372024288</v>
          </cell>
          <cell r="BN550">
            <v>56297.830271893945</v>
          </cell>
          <cell r="BO550">
            <v>57127.116823545024</v>
          </cell>
          <cell r="BP550">
            <v>57956.403375196111</v>
          </cell>
          <cell r="BQ550">
            <v>58785.68992684719</v>
          </cell>
        </row>
        <row r="551">
          <cell r="AE551">
            <v>3227.9349368076064</v>
          </cell>
          <cell r="AF551">
            <v>3255.5028892035903</v>
          </cell>
          <cell r="AG551">
            <v>3283.0708415995737</v>
          </cell>
          <cell r="AH551">
            <v>3310.6387939955575</v>
          </cell>
          <cell r="AI551">
            <v>3338.2067463915409</v>
          </cell>
          <cell r="AJ551">
            <v>3365.7746987875248</v>
          </cell>
          <cell r="AK551">
            <v>3393.3426511835082</v>
          </cell>
          <cell r="AL551">
            <v>3420.9106035794921</v>
          </cell>
          <cell r="AM551">
            <v>3448.4785559754755</v>
          </cell>
          <cell r="AN551">
            <v>3476.0465083714594</v>
          </cell>
          <cell r="AO551">
            <v>3503.6144607674428</v>
          </cell>
          <cell r="AP551">
            <v>3531.1824131634266</v>
          </cell>
          <cell r="AQ551">
            <v>3558.7503655594105</v>
          </cell>
          <cell r="AR551">
            <v>3586.3183179553939</v>
          </cell>
          <cell r="AS551">
            <v>3613.8862703513778</v>
          </cell>
          <cell r="AT551">
            <v>3641.4542227473612</v>
          </cell>
          <cell r="AU551">
            <v>3669.0221751433451</v>
          </cell>
          <cell r="AV551">
            <v>3696.5901275393285</v>
          </cell>
          <cell r="AW551">
            <v>3724.1580799353123</v>
          </cell>
          <cell r="AX551">
            <v>3751.7260323312958</v>
          </cell>
          <cell r="AY551">
            <v>3779.2939847272796</v>
          </cell>
          <cell r="AZ551">
            <v>3806.861937123263</v>
          </cell>
          <cell r="BA551">
            <v>3834.4298895192469</v>
          </cell>
          <cell r="BB551">
            <v>3861.9978419152303</v>
          </cell>
          <cell r="BC551">
            <v>3889.5657943112142</v>
          </cell>
          <cell r="BD551">
            <v>3917.1337467071976</v>
          </cell>
          <cell r="BE551">
            <v>3944.7016991031815</v>
          </cell>
          <cell r="BF551">
            <v>3972.2696514991649</v>
          </cell>
          <cell r="BG551">
            <v>3999.8376038951487</v>
          </cell>
          <cell r="BH551">
            <v>4027.4055562911321</v>
          </cell>
          <cell r="BI551">
            <v>4054.973508687116</v>
          </cell>
          <cell r="BJ551">
            <v>4082.5414610830994</v>
          </cell>
          <cell r="BK551">
            <v>4110.1094134790837</v>
          </cell>
          <cell r="BL551">
            <v>4137.6773658750672</v>
          </cell>
          <cell r="BM551">
            <v>4165.2453182710506</v>
          </cell>
          <cell r="BN551">
            <v>4192.813270667034</v>
          </cell>
          <cell r="BO551">
            <v>4220.3812230630174</v>
          </cell>
          <cell r="BP551">
            <v>4247.9491754590017</v>
          </cell>
          <cell r="BQ551">
            <v>4275.5171278549851</v>
          </cell>
        </row>
        <row r="552">
          <cell r="AE552">
            <v>892.04273910080849</v>
          </cell>
          <cell r="AF552">
            <v>897.91643360164323</v>
          </cell>
          <cell r="AG552">
            <v>903.79012810247798</v>
          </cell>
          <cell r="AH552">
            <v>909.66382260331272</v>
          </cell>
          <cell r="AI552">
            <v>915.53751710414724</v>
          </cell>
          <cell r="AJ552">
            <v>921.41121160498199</v>
          </cell>
          <cell r="AK552">
            <v>927.28490610581673</v>
          </cell>
          <cell r="AL552">
            <v>933.15860060665148</v>
          </cell>
          <cell r="AM552">
            <v>939.03229510748622</v>
          </cell>
          <cell r="AN552">
            <v>944.90598960832097</v>
          </cell>
          <cell r="AO552">
            <v>950.77968410915571</v>
          </cell>
          <cell r="AP552">
            <v>956.65337860999045</v>
          </cell>
          <cell r="AQ552">
            <v>962.5270731108252</v>
          </cell>
          <cell r="AR552">
            <v>968.40076761165994</v>
          </cell>
          <cell r="AS552">
            <v>974.27446211249469</v>
          </cell>
          <cell r="AT552">
            <v>980.14815661332921</v>
          </cell>
          <cell r="AU552">
            <v>986.02185111416395</v>
          </cell>
          <cell r="AV552">
            <v>991.8955456149987</v>
          </cell>
          <cell r="AW552">
            <v>997.76924011583344</v>
          </cell>
          <cell r="AX552">
            <v>1003.6429346166682</v>
          </cell>
          <cell r="AY552">
            <v>1009.5166291175029</v>
          </cell>
          <cell r="AZ552">
            <v>1015.3903236183377</v>
          </cell>
          <cell r="BA552">
            <v>1021.2640181191724</v>
          </cell>
          <cell r="BB552">
            <v>1027.1377126200073</v>
          </cell>
          <cell r="BC552">
            <v>1033.011407120842</v>
          </cell>
          <cell r="BD552">
            <v>1038.885101621677</v>
          </cell>
          <cell r="BE552">
            <v>1044.7587961225115</v>
          </cell>
          <cell r="BF552">
            <v>1050.6324906233463</v>
          </cell>
          <cell r="BG552">
            <v>1056.506185124181</v>
          </cell>
          <cell r="BH552">
            <v>1062.3798796250157</v>
          </cell>
          <cell r="BI552">
            <v>1068.2535741258505</v>
          </cell>
          <cell r="BJ552">
            <v>1074.1272686266852</v>
          </cell>
          <cell r="BK552">
            <v>1080.00096312752</v>
          </cell>
          <cell r="BL552">
            <v>1085.8746576283547</v>
          </cell>
          <cell r="BM552">
            <v>1091.7483521291895</v>
          </cell>
          <cell r="BN552">
            <v>1097.6220466300242</v>
          </cell>
          <cell r="BO552">
            <v>1103.495741130859</v>
          </cell>
          <cell r="BP552">
            <v>1109.3694356316935</v>
          </cell>
          <cell r="BQ552">
            <v>1115.2431301325282</v>
          </cell>
        </row>
        <row r="553">
          <cell r="AE553">
            <v>111446.90580100549</v>
          </cell>
          <cell r="AF553">
            <v>111463.54344556993</v>
          </cell>
          <cell r="AG553">
            <v>111480.18109013437</v>
          </cell>
          <cell r="AH553">
            <v>111496.81873469881</v>
          </cell>
          <cell r="AI553">
            <v>111513.45637926325</v>
          </cell>
          <cell r="AJ553">
            <v>111530.0940238277</v>
          </cell>
          <cell r="AK553">
            <v>111546.73166839214</v>
          </cell>
          <cell r="AL553">
            <v>111563.36931295661</v>
          </cell>
          <cell r="AM553">
            <v>111580.00695752105</v>
          </cell>
          <cell r="AN553">
            <v>111596.64460208549</v>
          </cell>
          <cell r="AO553">
            <v>111613.28224664993</v>
          </cell>
          <cell r="AP553">
            <v>111629.91989121438</v>
          </cell>
          <cell r="AQ553">
            <v>111646.55753577882</v>
          </cell>
          <cell r="AR553">
            <v>111663.19518034326</v>
          </cell>
          <cell r="AS553">
            <v>111679.83282490773</v>
          </cell>
          <cell r="AT553">
            <v>111696.47046947217</v>
          </cell>
          <cell r="AU553">
            <v>111713.10811403662</v>
          </cell>
          <cell r="AV553">
            <v>111729.74575860106</v>
          </cell>
          <cell r="AW553">
            <v>111746.3834031655</v>
          </cell>
          <cell r="AX553">
            <v>111763.02104772994</v>
          </cell>
          <cell r="AY553">
            <v>111779.65869229441</v>
          </cell>
          <cell r="AZ553">
            <v>111796.29633685885</v>
          </cell>
          <cell r="BA553">
            <v>111812.9339814233</v>
          </cell>
          <cell r="BB553">
            <v>111829.57162598774</v>
          </cell>
          <cell r="BC553">
            <v>111846.20927055218</v>
          </cell>
          <cell r="BD553">
            <v>111862.84691511662</v>
          </cell>
          <cell r="BE553">
            <v>111879.48455968106</v>
          </cell>
          <cell r="BF553">
            <v>111896.12220424553</v>
          </cell>
          <cell r="BG553">
            <v>111912.75984880998</v>
          </cell>
          <cell r="BH553">
            <v>111929.39749337442</v>
          </cell>
          <cell r="BI553">
            <v>111946.03513793886</v>
          </cell>
          <cell r="BJ553">
            <v>111962.6727825033</v>
          </cell>
          <cell r="BK553">
            <v>111979.31042706774</v>
          </cell>
          <cell r="BL553">
            <v>111995.94807163219</v>
          </cell>
          <cell r="BM553">
            <v>112012.58571619666</v>
          </cell>
          <cell r="BN553">
            <v>112029.2233607611</v>
          </cell>
          <cell r="BO553">
            <v>112045.86100532554</v>
          </cell>
          <cell r="BP553">
            <v>112062.49864988998</v>
          </cell>
          <cell r="BQ553">
            <v>112079.13629445442</v>
          </cell>
        </row>
        <row r="554">
          <cell r="AE554">
            <v>2029778.8780198463</v>
          </cell>
          <cell r="AF554">
            <v>2042800.9812413759</v>
          </cell>
          <cell r="AG554">
            <v>2055823.0844629053</v>
          </cell>
          <cell r="AH554">
            <v>2068845.1876844347</v>
          </cell>
          <cell r="AI554">
            <v>2081867.2909059643</v>
          </cell>
          <cell r="AJ554">
            <v>2094889.3941274937</v>
          </cell>
          <cell r="AK554">
            <v>2107911.4973490234</v>
          </cell>
          <cell r="AL554">
            <v>2129780.2741153426</v>
          </cell>
          <cell r="AM554">
            <v>2151649.0508816615</v>
          </cell>
          <cell r="AN554">
            <v>2173517.8276479808</v>
          </cell>
          <cell r="AO554">
            <v>2195386.6044142996</v>
          </cell>
          <cell r="AP554">
            <v>2217255.3811806189</v>
          </cell>
          <cell r="AQ554">
            <v>2239124.1579469377</v>
          </cell>
          <cell r="AR554">
            <v>2260992.934713257</v>
          </cell>
          <cell r="AS554">
            <v>2282861.7114795758</v>
          </cell>
          <cell r="AT554">
            <v>2304730.4882458951</v>
          </cell>
          <cell r="AU554">
            <v>2326599.2650122144</v>
          </cell>
          <cell r="AV554">
            <v>2348468.0417785333</v>
          </cell>
          <cell r="AW554">
            <v>2370336.8185448521</v>
          </cell>
          <cell r="AX554">
            <v>2392578.6068636663</v>
          </cell>
          <cell r="AY554">
            <v>2414820.3951824801</v>
          </cell>
          <cell r="AZ554">
            <v>2437062.1835012939</v>
          </cell>
          <cell r="BA554">
            <v>2459303.9718201077</v>
          </cell>
          <cell r="BB554">
            <v>2481545.7601389214</v>
          </cell>
          <cell r="BC554">
            <v>2503787.5484577357</v>
          </cell>
          <cell r="BD554">
            <v>2526029.336776549</v>
          </cell>
          <cell r="BE554">
            <v>2548271.1250953628</v>
          </cell>
          <cell r="BF554">
            <v>2570512.9134141766</v>
          </cell>
          <cell r="BG554">
            <v>2592754.7017329903</v>
          </cell>
          <cell r="BH554">
            <v>2614996.4900518041</v>
          </cell>
          <cell r="BI554">
            <v>2637238.2783706179</v>
          </cell>
          <cell r="BJ554">
            <v>2659480.0666894317</v>
          </cell>
          <cell r="BK554">
            <v>2681721.8550082454</v>
          </cell>
          <cell r="BL554">
            <v>2703963.6433270597</v>
          </cell>
          <cell r="BM554">
            <v>2726205.4316458735</v>
          </cell>
          <cell r="BN554">
            <v>2748447.2199646872</v>
          </cell>
          <cell r="BO554">
            <v>2770689.008283501</v>
          </cell>
          <cell r="BP554">
            <v>2792930.7966023148</v>
          </cell>
          <cell r="BQ554">
            <v>2815172.5849211286</v>
          </cell>
        </row>
        <row r="555">
          <cell r="AE555">
            <v>273139.2561664434</v>
          </cell>
          <cell r="AF555">
            <v>272318.52883358276</v>
          </cell>
          <cell r="AG555">
            <v>271497.80150072213</v>
          </cell>
          <cell r="AH555">
            <v>270677.07416786149</v>
          </cell>
          <cell r="AI555">
            <v>269856.34683500085</v>
          </cell>
          <cell r="AJ555">
            <v>269035.61950214021</v>
          </cell>
          <cell r="AK555">
            <v>268214.89216927957</v>
          </cell>
          <cell r="AL555">
            <v>267394.16483641899</v>
          </cell>
          <cell r="AM555">
            <v>266573.43750355835</v>
          </cell>
          <cell r="AN555">
            <v>265752.71017069771</v>
          </cell>
          <cell r="AO555">
            <v>264931.98283783707</v>
          </cell>
          <cell r="AP555">
            <v>264111.25550497643</v>
          </cell>
          <cell r="AQ555">
            <v>263290.5281721158</v>
          </cell>
          <cell r="AR555">
            <v>262469.80083925516</v>
          </cell>
          <cell r="AS555">
            <v>261649.07350639458</v>
          </cell>
          <cell r="AT555">
            <v>260828.34617353394</v>
          </cell>
          <cell r="AU555">
            <v>260007.6188406733</v>
          </cell>
          <cell r="AV555">
            <v>259186.89150781266</v>
          </cell>
          <cell r="AW555">
            <v>258366.16417495205</v>
          </cell>
          <cell r="AX555">
            <v>257545.43684209141</v>
          </cell>
          <cell r="AY555">
            <v>256724.70950923077</v>
          </cell>
          <cell r="AZ555">
            <v>255903.98217637016</v>
          </cell>
          <cell r="BA555">
            <v>255083.25484350952</v>
          </cell>
          <cell r="BB555">
            <v>254262.52751064888</v>
          </cell>
          <cell r="BC555">
            <v>253441.80017778825</v>
          </cell>
          <cell r="BD555">
            <v>252621.07284492764</v>
          </cell>
          <cell r="BE555">
            <v>251800.345512067</v>
          </cell>
          <cell r="BF555">
            <v>250979.61817920636</v>
          </cell>
          <cell r="BG555">
            <v>250158.89084634575</v>
          </cell>
          <cell r="BH555">
            <v>249338.16351348511</v>
          </cell>
          <cell r="BI555">
            <v>248517.43618062447</v>
          </cell>
          <cell r="BJ555">
            <v>247696.70884776386</v>
          </cell>
          <cell r="BK555">
            <v>246875.98151490322</v>
          </cell>
          <cell r="BL555">
            <v>246055.25418204258</v>
          </cell>
          <cell r="BM555">
            <v>245234.52684918194</v>
          </cell>
          <cell r="BN555">
            <v>244413.79951632133</v>
          </cell>
          <cell r="BO555">
            <v>243593.0721834607</v>
          </cell>
          <cell r="BP555">
            <v>242772.34485060006</v>
          </cell>
          <cell r="BQ555">
            <v>241951.61751773945</v>
          </cell>
        </row>
        <row r="556">
          <cell r="AE556">
            <v>57963.822619231716</v>
          </cell>
          <cell r="AF556">
            <v>57963.822619231716</v>
          </cell>
          <cell r="AG556">
            <v>57963.822619231716</v>
          </cell>
          <cell r="AH556">
            <v>57963.822619231716</v>
          </cell>
          <cell r="AI556">
            <v>57963.822619231716</v>
          </cell>
          <cell r="AJ556">
            <v>57963.822619231716</v>
          </cell>
          <cell r="AK556">
            <v>57963.822619231716</v>
          </cell>
          <cell r="AL556">
            <v>57963.822619231716</v>
          </cell>
          <cell r="AM556">
            <v>57963.822619231716</v>
          </cell>
          <cell r="AN556">
            <v>57963.822619231716</v>
          </cell>
          <cell r="AO556">
            <v>57963.822619231716</v>
          </cell>
          <cell r="AP556">
            <v>57963.822619231716</v>
          </cell>
          <cell r="AQ556">
            <v>57963.822619231716</v>
          </cell>
          <cell r="AR556">
            <v>57963.822619231716</v>
          </cell>
          <cell r="AS556">
            <v>57963.822619231716</v>
          </cell>
          <cell r="AT556">
            <v>57963.822619231716</v>
          </cell>
          <cell r="AU556">
            <v>57963.822619231716</v>
          </cell>
          <cell r="AV556">
            <v>57963.822619231716</v>
          </cell>
          <cell r="AW556">
            <v>57963.822619231716</v>
          </cell>
          <cell r="AX556">
            <v>57963.822619231716</v>
          </cell>
          <cell r="AY556">
            <v>57963.822619231716</v>
          </cell>
          <cell r="AZ556">
            <v>57963.822619231716</v>
          </cell>
          <cell r="BA556">
            <v>57963.822619231716</v>
          </cell>
          <cell r="BB556">
            <v>57963.822619231716</v>
          </cell>
          <cell r="BC556">
            <v>57963.822619231716</v>
          </cell>
          <cell r="BD556">
            <v>57963.822619231716</v>
          </cell>
          <cell r="BE556">
            <v>57963.822619231716</v>
          </cell>
          <cell r="BF556">
            <v>57963.822619231716</v>
          </cell>
          <cell r="BG556">
            <v>57963.822619231716</v>
          </cell>
          <cell r="BH556">
            <v>57963.822619231716</v>
          </cell>
          <cell r="BI556">
            <v>57963.822619231716</v>
          </cell>
          <cell r="BJ556">
            <v>57963.822619231716</v>
          </cell>
          <cell r="BK556">
            <v>57963.822619231716</v>
          </cell>
          <cell r="BL556">
            <v>57963.822619231716</v>
          </cell>
          <cell r="BM556">
            <v>57963.822619231716</v>
          </cell>
          <cell r="BN556">
            <v>57963.822619231716</v>
          </cell>
          <cell r="BO556">
            <v>57963.822619231716</v>
          </cell>
          <cell r="BP556">
            <v>57963.822619231716</v>
          </cell>
          <cell r="BQ556">
            <v>57963.822619231716</v>
          </cell>
        </row>
        <row r="557">
          <cell r="AE557">
            <v>91537.108006573035</v>
          </cell>
          <cell r="AF557">
            <v>91537.108006573035</v>
          </cell>
          <cell r="AG557">
            <v>91537.108006573035</v>
          </cell>
          <cell r="AH557">
            <v>91537.108006573035</v>
          </cell>
          <cell r="AI557">
            <v>91537.108006573035</v>
          </cell>
          <cell r="AJ557">
            <v>91537.108006573035</v>
          </cell>
          <cell r="AK557">
            <v>91537.108006573035</v>
          </cell>
          <cell r="AL557">
            <v>91537.108006573035</v>
          </cell>
          <cell r="AM557">
            <v>91537.108006573035</v>
          </cell>
          <cell r="AN557">
            <v>91537.108006573035</v>
          </cell>
          <cell r="AO557">
            <v>91537.108006573035</v>
          </cell>
          <cell r="AP557">
            <v>91537.108006573035</v>
          </cell>
          <cell r="AQ557">
            <v>91537.108006573035</v>
          </cell>
          <cell r="AR557">
            <v>91537.108006573035</v>
          </cell>
          <cell r="AS557">
            <v>91537.108006573035</v>
          </cell>
          <cell r="AT557">
            <v>91537.108006573035</v>
          </cell>
          <cell r="AU557">
            <v>91537.108006573035</v>
          </cell>
          <cell r="AV557">
            <v>91537.108006573035</v>
          </cell>
          <cell r="AW557">
            <v>91537.108006573035</v>
          </cell>
          <cell r="AX557">
            <v>91537.108006573035</v>
          </cell>
          <cell r="AY557">
            <v>91537.108006573035</v>
          </cell>
          <cell r="AZ557">
            <v>91537.108006573035</v>
          </cell>
          <cell r="BA557">
            <v>91537.108006573035</v>
          </cell>
          <cell r="BB557">
            <v>91537.108006573035</v>
          </cell>
          <cell r="BC557">
            <v>91537.108006573035</v>
          </cell>
          <cell r="BD557">
            <v>91537.108006573035</v>
          </cell>
          <cell r="BE557">
            <v>91537.108006573035</v>
          </cell>
          <cell r="BF557">
            <v>91537.108006573035</v>
          </cell>
          <cell r="BG557">
            <v>91537.108006573035</v>
          </cell>
          <cell r="BH557">
            <v>91537.108006573035</v>
          </cell>
          <cell r="BI557">
            <v>91537.108006573035</v>
          </cell>
          <cell r="BJ557">
            <v>91537.108006573035</v>
          </cell>
          <cell r="BK557">
            <v>91537.108006573035</v>
          </cell>
          <cell r="BL557">
            <v>91537.108006573035</v>
          </cell>
          <cell r="BM557">
            <v>91537.108006573035</v>
          </cell>
          <cell r="BN557">
            <v>91537.108006573035</v>
          </cell>
          <cell r="BO557">
            <v>91537.108006573035</v>
          </cell>
          <cell r="BP557">
            <v>91537.108006573035</v>
          </cell>
          <cell r="BQ557">
            <v>91537.108006573035</v>
          </cell>
        </row>
        <row r="558">
          <cell r="AE558">
            <v>45569.714076613083</v>
          </cell>
          <cell r="AF558">
            <v>45666.022187618808</v>
          </cell>
          <cell r="AG558">
            <v>45762.330298624533</v>
          </cell>
          <cell r="AH558">
            <v>45858.638409630257</v>
          </cell>
          <cell r="AI558">
            <v>45954.946520635982</v>
          </cell>
          <cell r="AJ558">
            <v>46051.254631641707</v>
          </cell>
          <cell r="AK558">
            <v>46147.562742647431</v>
          </cell>
          <cell r="AL558">
            <v>46243.870853653156</v>
          </cell>
          <cell r="AM558">
            <v>46340.17896465888</v>
          </cell>
          <cell r="AN558">
            <v>46436.487075664612</v>
          </cell>
          <cell r="AO558">
            <v>46532.795186670337</v>
          </cell>
          <cell r="AP558">
            <v>46629.103297676062</v>
          </cell>
          <cell r="AQ558">
            <v>46725.411408681786</v>
          </cell>
          <cell r="AR558">
            <v>46821.719519687511</v>
          </cell>
          <cell r="AS558">
            <v>46918.027630693236</v>
          </cell>
          <cell r="AT558">
            <v>47014.33574169896</v>
          </cell>
          <cell r="AU558">
            <v>47110.643852704685</v>
          </cell>
          <cell r="AV558">
            <v>47206.951963710409</v>
          </cell>
          <cell r="AW558">
            <v>47303.260074716134</v>
          </cell>
          <cell r="AX558">
            <v>47399.568185721859</v>
          </cell>
          <cell r="AY558">
            <v>47495.876296727583</v>
          </cell>
          <cell r="AZ558">
            <v>47592.184407733308</v>
          </cell>
          <cell r="BA558">
            <v>47688.492518739033</v>
          </cell>
          <cell r="BB558">
            <v>47784.800629744757</v>
          </cell>
          <cell r="BC558">
            <v>47881.108740750482</v>
          </cell>
          <cell r="BD558">
            <v>47977.416851756207</v>
          </cell>
          <cell r="BE558">
            <v>48073.724962761939</v>
          </cell>
          <cell r="BF558">
            <v>48170.033073767663</v>
          </cell>
          <cell r="BG558">
            <v>48266.341184773388</v>
          </cell>
          <cell r="BH558">
            <v>48362.649295779112</v>
          </cell>
          <cell r="BI558">
            <v>48458.957406784837</v>
          </cell>
          <cell r="BJ558">
            <v>48555.265517790562</v>
          </cell>
          <cell r="BK558">
            <v>48651.573628796286</v>
          </cell>
          <cell r="BL558">
            <v>48747.881739802011</v>
          </cell>
          <cell r="BM558">
            <v>48844.189850807736</v>
          </cell>
          <cell r="BN558">
            <v>48940.49796181346</v>
          </cell>
          <cell r="BO558">
            <v>49036.806072819185</v>
          </cell>
          <cell r="BP558">
            <v>49133.11418382491</v>
          </cell>
          <cell r="BQ558">
            <v>49229.422294830634</v>
          </cell>
        </row>
        <row r="559">
          <cell r="AE559">
            <v>0</v>
          </cell>
          <cell r="AF559">
            <v>0</v>
          </cell>
          <cell r="AG559">
            <v>0</v>
          </cell>
          <cell r="AH559">
            <v>0</v>
          </cell>
          <cell r="AI559">
            <v>0</v>
          </cell>
          <cell r="AJ559">
            <v>0</v>
          </cell>
          <cell r="AK559">
            <v>0</v>
          </cell>
          <cell r="AL559">
            <v>0</v>
          </cell>
          <cell r="AM559">
            <v>0</v>
          </cell>
          <cell r="AN559">
            <v>0</v>
          </cell>
          <cell r="AO559">
            <v>0</v>
          </cell>
          <cell r="AP559">
            <v>0</v>
          </cell>
          <cell r="AQ559">
            <v>0</v>
          </cell>
          <cell r="AR559">
            <v>0</v>
          </cell>
          <cell r="AS559">
            <v>0</v>
          </cell>
          <cell r="AT559">
            <v>0</v>
          </cell>
          <cell r="AU559">
            <v>0</v>
          </cell>
          <cell r="AV559">
            <v>0</v>
          </cell>
          <cell r="AW559">
            <v>0</v>
          </cell>
          <cell r="AX559">
            <v>0</v>
          </cell>
          <cell r="AY559">
            <v>0</v>
          </cell>
          <cell r="AZ559">
            <v>0</v>
          </cell>
          <cell r="BA559">
            <v>0</v>
          </cell>
          <cell r="BB559">
            <v>0</v>
          </cell>
          <cell r="BC559">
            <v>0</v>
          </cell>
          <cell r="BD559">
            <v>0</v>
          </cell>
          <cell r="BE559">
            <v>0</v>
          </cell>
          <cell r="BF559">
            <v>0</v>
          </cell>
          <cell r="BG559">
            <v>0</v>
          </cell>
          <cell r="BH559">
            <v>0</v>
          </cell>
          <cell r="BI559">
            <v>0</v>
          </cell>
          <cell r="BJ559">
            <v>0</v>
          </cell>
          <cell r="BK559">
            <v>0</v>
          </cell>
          <cell r="BL559">
            <v>0</v>
          </cell>
          <cell r="BM559">
            <v>0</v>
          </cell>
          <cell r="BN559">
            <v>0</v>
          </cell>
          <cell r="BO559">
            <v>0</v>
          </cell>
          <cell r="BP559">
            <v>0</v>
          </cell>
          <cell r="BQ559">
            <v>0</v>
          </cell>
        </row>
        <row r="560">
          <cell r="AE560">
            <v>0</v>
          </cell>
          <cell r="AF560">
            <v>0</v>
          </cell>
          <cell r="AG560">
            <v>0</v>
          </cell>
          <cell r="AH560">
            <v>0</v>
          </cell>
          <cell r="AI560">
            <v>0</v>
          </cell>
          <cell r="AJ560">
            <v>0</v>
          </cell>
          <cell r="AK560">
            <v>0</v>
          </cell>
          <cell r="AL560">
            <v>0</v>
          </cell>
          <cell r="AM560">
            <v>0</v>
          </cell>
          <cell r="AN560">
            <v>0</v>
          </cell>
          <cell r="AO560">
            <v>0</v>
          </cell>
          <cell r="AP560">
            <v>0</v>
          </cell>
          <cell r="AQ560">
            <v>0</v>
          </cell>
          <cell r="AR560">
            <v>0</v>
          </cell>
          <cell r="AS560">
            <v>0</v>
          </cell>
          <cell r="AT560">
            <v>0</v>
          </cell>
          <cell r="AU560">
            <v>0</v>
          </cell>
          <cell r="AV560">
            <v>0</v>
          </cell>
          <cell r="AW560">
            <v>0</v>
          </cell>
          <cell r="AX560">
            <v>0</v>
          </cell>
          <cell r="AY560">
            <v>0</v>
          </cell>
          <cell r="AZ560">
            <v>0</v>
          </cell>
          <cell r="BA560">
            <v>0</v>
          </cell>
          <cell r="BB560">
            <v>0</v>
          </cell>
          <cell r="BC560">
            <v>0</v>
          </cell>
          <cell r="BD560">
            <v>0</v>
          </cell>
          <cell r="BE560">
            <v>0</v>
          </cell>
          <cell r="BF560">
            <v>0</v>
          </cell>
          <cell r="BG560">
            <v>0</v>
          </cell>
          <cell r="BH560">
            <v>0</v>
          </cell>
          <cell r="BI560">
            <v>0</v>
          </cell>
          <cell r="BJ560">
            <v>0</v>
          </cell>
          <cell r="BK560">
            <v>0</v>
          </cell>
          <cell r="BL560">
            <v>0</v>
          </cell>
          <cell r="BM560">
            <v>0</v>
          </cell>
          <cell r="BN560">
            <v>0</v>
          </cell>
          <cell r="BO560">
            <v>0</v>
          </cell>
          <cell r="BP560">
            <v>0</v>
          </cell>
          <cell r="BQ560">
            <v>0</v>
          </cell>
        </row>
      </sheetData>
      <sheetData sheetId="14"/>
      <sheetData sheetId="15">
        <row r="4">
          <cell r="H4">
            <v>0.55347199999999996</v>
          </cell>
        </row>
        <row r="5">
          <cell r="H5">
            <v>1.0504499999999999</v>
          </cell>
        </row>
        <row r="6">
          <cell r="H6">
            <v>0.52451999999999999</v>
          </cell>
        </row>
        <row r="7">
          <cell r="H7">
            <v>5.1056799268327744</v>
          </cell>
        </row>
        <row r="13">
          <cell r="H13">
            <v>0.27</v>
          </cell>
        </row>
        <row r="14">
          <cell r="H14">
            <v>0.35</v>
          </cell>
        </row>
        <row r="17">
          <cell r="H17">
            <v>6.3906039999999997</v>
          </cell>
        </row>
        <row r="22">
          <cell r="H22">
            <v>0</v>
          </cell>
        </row>
        <row r="91">
          <cell r="H91">
            <v>0.85</v>
          </cell>
        </row>
        <row r="92">
          <cell r="H92">
            <v>1.0640000000000001</v>
          </cell>
        </row>
        <row r="96">
          <cell r="H96">
            <v>1.86</v>
          </cell>
        </row>
        <row r="97">
          <cell r="H97">
            <v>0.12</v>
          </cell>
        </row>
        <row r="98">
          <cell r="H98">
            <v>8.0828531999999995E-2</v>
          </cell>
        </row>
        <row r="99">
          <cell r="H99">
            <v>0.15409999999999999</v>
          </cell>
        </row>
        <row r="100">
          <cell r="H100">
            <v>17.29</v>
          </cell>
        </row>
      </sheetData>
      <sheetData sheetId="16"/>
      <sheetData sheetId="17"/>
      <sheetData sheetId="18"/>
      <sheetData sheetId="19"/>
      <sheetData sheetId="20"/>
      <sheetData sheetId="21"/>
      <sheetData sheetId="22"/>
      <sheetData sheetId="23">
        <row r="11">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row>
        <row r="16">
          <cell r="G16">
            <v>-2033.0187784308416</v>
          </cell>
          <cell r="H16">
            <v>-2033.0187784308416</v>
          </cell>
          <cell r="I16">
            <v>-2033.0187784308416</v>
          </cell>
          <cell r="J16">
            <v>-2033.0187784308416</v>
          </cell>
          <cell r="K16">
            <v>-2033.0187784308416</v>
          </cell>
          <cell r="L16">
            <v>-2033.0187784308416</v>
          </cell>
          <cell r="M16">
            <v>-2033.0187784308416</v>
          </cell>
          <cell r="N16">
            <v>-2033.0187784308416</v>
          </cell>
          <cell r="O16">
            <v>-2033.0187784308416</v>
          </cell>
          <cell r="P16">
            <v>-2033.0187784308416</v>
          </cell>
          <cell r="Q16">
            <v>-2033.0187784308416</v>
          </cell>
          <cell r="R16">
            <v>-2033.0187784308416</v>
          </cell>
          <cell r="S16">
            <v>-2033.0187784308416</v>
          </cell>
          <cell r="T16">
            <v>-2033.0187784308416</v>
          </cell>
          <cell r="U16">
            <v>-2033.0187784308416</v>
          </cell>
          <cell r="V16">
            <v>-2033.0187784308416</v>
          </cell>
          <cell r="W16">
            <v>-2033.0187784308416</v>
          </cell>
          <cell r="X16">
            <v>-2033.0187784308416</v>
          </cell>
          <cell r="Y16">
            <v>-2033.0187784308416</v>
          </cell>
          <cell r="Z16">
            <v>-2033.0187784308416</v>
          </cell>
          <cell r="AA16">
            <v>-2033.0187784308416</v>
          </cell>
          <cell r="AB16">
            <v>-2033.0187784308416</v>
          </cell>
          <cell r="AC16">
            <v>-2033.0187784308416</v>
          </cell>
          <cell r="AD16">
            <v>-2033.0187784308416</v>
          </cell>
          <cell r="AE16">
            <v>-2033.0187784308416</v>
          </cell>
          <cell r="AF16">
            <v>-2033.0187784308416</v>
          </cell>
          <cell r="AG16">
            <v>-2033.0187784308416</v>
          </cell>
          <cell r="AH16">
            <v>-2033.0187784308416</v>
          </cell>
          <cell r="AI16">
            <v>-2033.0187784308416</v>
          </cell>
          <cell r="AJ16">
            <v>-2035.9216395513552</v>
          </cell>
          <cell r="AK16">
            <v>-2038.8245006718687</v>
          </cell>
          <cell r="AL16">
            <v>-2041.727361792382</v>
          </cell>
          <cell r="AM16">
            <v>-2044.6302229128955</v>
          </cell>
          <cell r="AN16">
            <v>-2047.5330840334091</v>
          </cell>
          <cell r="AO16">
            <v>-2050.4359451539226</v>
          </cell>
          <cell r="AP16">
            <v>-2053.3388062744357</v>
          </cell>
          <cell r="AQ16">
            <v>-2056.2416673949492</v>
          </cell>
          <cell r="AR16">
            <v>-2059.1445285154628</v>
          </cell>
          <cell r="AS16">
            <v>-2062.0473896359763</v>
          </cell>
        </row>
        <row r="24">
          <cell r="G24">
            <v>12.039584863281849</v>
          </cell>
          <cell r="H24">
            <v>12.025408588332189</v>
          </cell>
          <cell r="I24">
            <v>12.011232313382529</v>
          </cell>
          <cell r="J24">
            <v>11.997056038432865</v>
          </cell>
          <cell r="K24">
            <v>11.982879763483202</v>
          </cell>
          <cell r="L24">
            <v>11.96870348853354</v>
          </cell>
          <cell r="M24">
            <v>11.95452721358388</v>
          </cell>
          <cell r="N24">
            <v>11.94035093863422</v>
          </cell>
          <cell r="O24">
            <v>11.926174663684558</v>
          </cell>
          <cell r="P24">
            <v>11.911998388734897</v>
          </cell>
          <cell r="Q24">
            <v>11.897822113785235</v>
          </cell>
          <cell r="R24">
            <v>11.883645838835573</v>
          </cell>
          <cell r="S24">
            <v>11.869469563885913</v>
          </cell>
          <cell r="T24">
            <v>11.855293288936252</v>
          </cell>
          <cell r="U24">
            <v>11.841117013986592</v>
          </cell>
          <cell r="V24">
            <v>11.826940739036928</v>
          </cell>
          <cell r="W24">
            <v>11.812764464087271</v>
          </cell>
          <cell r="X24">
            <v>11.798588189137607</v>
          </cell>
          <cell r="Y24">
            <v>11.784411914187945</v>
          </cell>
          <cell r="Z24">
            <v>11.770235639238283</v>
          </cell>
          <cell r="AA24">
            <v>11.756059364288626</v>
          </cell>
          <cell r="AB24">
            <v>11.741883089338963</v>
          </cell>
          <cell r="AC24">
            <v>11.7277068143893</v>
          </cell>
          <cell r="AD24">
            <v>11.713530539439638</v>
          </cell>
          <cell r="AE24">
            <v>11.699354264489978</v>
          </cell>
          <cell r="AF24">
            <v>11.685177989540316</v>
          </cell>
          <cell r="AG24">
            <v>11.671001714590655</v>
          </cell>
          <cell r="AH24">
            <v>11.656825439640995</v>
          </cell>
          <cell r="AI24">
            <v>11.642649164691337</v>
          </cell>
          <cell r="AJ24">
            <v>11.628472889741671</v>
          </cell>
          <cell r="AK24">
            <v>11.614296614792011</v>
          </cell>
          <cell r="AL24">
            <v>11.60012033984235</v>
          </cell>
          <cell r="AM24">
            <v>11.585944064892692</v>
          </cell>
          <cell r="AN24">
            <v>11.571767789943026</v>
          </cell>
          <cell r="AO24">
            <v>11.557591514993369</v>
          </cell>
          <cell r="AP24">
            <v>11.543415240043705</v>
          </cell>
          <cell r="AQ24">
            <v>11.529238965094041</v>
          </cell>
          <cell r="AR24">
            <v>11.515062690144381</v>
          </cell>
          <cell r="AS24">
            <v>11.500886415194721</v>
          </cell>
        </row>
        <row r="29">
          <cell r="G29">
            <v>1715.7336191464217</v>
          </cell>
          <cell r="H29">
            <v>1719.709290401963</v>
          </cell>
          <cell r="I29">
            <v>1723.6849616575048</v>
          </cell>
          <cell r="J29">
            <v>1727.6606329130461</v>
          </cell>
          <cell r="K29">
            <v>1731.6363041685877</v>
          </cell>
          <cell r="L29">
            <v>1735.6119754241288</v>
          </cell>
          <cell r="M29">
            <v>1739.5876466796708</v>
          </cell>
          <cell r="N29">
            <v>1743.5633179352121</v>
          </cell>
          <cell r="O29">
            <v>1747.5389891907532</v>
          </cell>
          <cell r="P29">
            <v>1751.5146604462952</v>
          </cell>
          <cell r="Q29">
            <v>1755.4903317018363</v>
          </cell>
          <cell r="R29">
            <v>1759.4660029573779</v>
          </cell>
          <cell r="S29">
            <v>1763.4416742129195</v>
          </cell>
          <cell r="T29">
            <v>1767.4173454684612</v>
          </cell>
          <cell r="U29">
            <v>1771.3930167240023</v>
          </cell>
          <cell r="V29">
            <v>1775.3686879795443</v>
          </cell>
          <cell r="W29">
            <v>1779.3443592350852</v>
          </cell>
          <cell r="X29">
            <v>1783.3200304906268</v>
          </cell>
          <cell r="Y29">
            <v>1787.2957017461686</v>
          </cell>
          <cell r="Z29">
            <v>1791.2713730017101</v>
          </cell>
          <cell r="AA29">
            <v>1795.2470442572514</v>
          </cell>
          <cell r="AB29">
            <v>1799.222715512793</v>
          </cell>
          <cell r="AC29">
            <v>1803.1983867683346</v>
          </cell>
          <cell r="AD29">
            <v>1807.1740580238759</v>
          </cell>
          <cell r="AE29">
            <v>1811.1497292794177</v>
          </cell>
          <cell r="AF29">
            <v>1815.125400534959</v>
          </cell>
          <cell r="AG29">
            <v>1819.1010717905003</v>
          </cell>
          <cell r="AH29">
            <v>1823.0767430460423</v>
          </cell>
          <cell r="AI29">
            <v>1827.0524143015834</v>
          </cell>
          <cell r="AJ29">
            <v>1831.028085557125</v>
          </cell>
          <cell r="AK29">
            <v>1835.0037568126666</v>
          </cell>
          <cell r="AL29">
            <v>1838.9794280682081</v>
          </cell>
          <cell r="AM29">
            <v>1842.9550993237494</v>
          </cell>
          <cell r="AN29">
            <v>1846.9307705792914</v>
          </cell>
          <cell r="AO29">
            <v>1850.9064418348325</v>
          </cell>
          <cell r="AP29">
            <v>1854.8821130903739</v>
          </cell>
          <cell r="AQ29">
            <v>1858.8577843459154</v>
          </cell>
          <cell r="AR29">
            <v>1862.8334556014568</v>
          </cell>
          <cell r="AS29">
            <v>1866.8091268569985</v>
          </cell>
        </row>
        <row r="37">
          <cell r="G37">
            <v>2015.9027318282567</v>
          </cell>
          <cell r="H37">
            <v>2015.9027318282567</v>
          </cell>
          <cell r="I37">
            <v>2015.9027318282567</v>
          </cell>
          <cell r="J37">
            <v>2015.9027318282567</v>
          </cell>
          <cell r="K37">
            <v>2015.9027318282567</v>
          </cell>
          <cell r="L37">
            <v>2015.9027318282567</v>
          </cell>
          <cell r="M37">
            <v>2015.9027318282567</v>
          </cell>
          <cell r="N37">
            <v>2015.9027318282567</v>
          </cell>
          <cell r="O37">
            <v>2015.9027318282567</v>
          </cell>
          <cell r="P37">
            <v>2015.9027318282567</v>
          </cell>
          <cell r="Q37">
            <v>2015.9027318282567</v>
          </cell>
          <cell r="R37">
            <v>2015.9027318282567</v>
          </cell>
          <cell r="S37">
            <v>2015.9027318282567</v>
          </cell>
          <cell r="T37">
            <v>2015.9027318282567</v>
          </cell>
          <cell r="U37">
            <v>2015.9027318282567</v>
          </cell>
          <cell r="V37">
            <v>2015.9027318282567</v>
          </cell>
          <cell r="W37">
            <v>2015.9027318282567</v>
          </cell>
          <cell r="X37">
            <v>2015.9027318282567</v>
          </cell>
          <cell r="Y37">
            <v>2015.9027318282567</v>
          </cell>
          <cell r="Z37">
            <v>2015.9027318282567</v>
          </cell>
          <cell r="AA37">
            <v>2015.9027318282567</v>
          </cell>
          <cell r="AB37">
            <v>2015.9027318282567</v>
          </cell>
          <cell r="AC37">
            <v>2015.9027318282567</v>
          </cell>
          <cell r="AD37">
            <v>2015.9027318282567</v>
          </cell>
          <cell r="AE37">
            <v>2015.9027318282567</v>
          </cell>
          <cell r="AF37">
            <v>2015.9027318282567</v>
          </cell>
          <cell r="AG37">
            <v>2015.9027318282567</v>
          </cell>
          <cell r="AH37">
            <v>2015.9027318282567</v>
          </cell>
          <cell r="AI37">
            <v>2015.9027318282567</v>
          </cell>
          <cell r="AJ37">
            <v>2015.9027318282567</v>
          </cell>
          <cell r="AK37">
            <v>2015.9027318282567</v>
          </cell>
          <cell r="AL37">
            <v>2015.9027318282567</v>
          </cell>
          <cell r="AM37">
            <v>2015.9027318282567</v>
          </cell>
          <cell r="AN37">
            <v>2015.9027318282567</v>
          </cell>
          <cell r="AO37">
            <v>2015.9027318282567</v>
          </cell>
          <cell r="AP37">
            <v>2015.9027318282567</v>
          </cell>
          <cell r="AQ37">
            <v>2015.9027318282567</v>
          </cell>
          <cell r="AR37">
            <v>2015.9027318282567</v>
          </cell>
          <cell r="AS37">
            <v>2015.9027318282567</v>
          </cell>
        </row>
        <row r="42">
          <cell r="G42">
            <v>-16356.408910494018</v>
          </cell>
          <cell r="H42">
            <v>-16356.408910494018</v>
          </cell>
          <cell r="I42">
            <v>-16356.408910494018</v>
          </cell>
          <cell r="J42">
            <v>-16356.408910494018</v>
          </cell>
          <cell r="K42">
            <v>-16356.408910494018</v>
          </cell>
          <cell r="L42">
            <v>-16356.408910494018</v>
          </cell>
          <cell r="M42">
            <v>-16356.408910494018</v>
          </cell>
          <cell r="N42">
            <v>-16356.408910494018</v>
          </cell>
          <cell r="O42">
            <v>-16356.408910494018</v>
          </cell>
          <cell r="P42">
            <v>-16356.408910494018</v>
          </cell>
          <cell r="Q42">
            <v>-16356.408910494018</v>
          </cell>
          <cell r="R42">
            <v>-16356.408910494018</v>
          </cell>
          <cell r="S42">
            <v>-16356.408910494018</v>
          </cell>
          <cell r="T42">
            <v>-16356.408910494018</v>
          </cell>
          <cell r="U42">
            <v>-16356.408910494018</v>
          </cell>
          <cell r="V42">
            <v>-16356.408910494018</v>
          </cell>
          <cell r="W42">
            <v>-16356.408910494018</v>
          </cell>
          <cell r="X42">
            <v>-16356.408910494018</v>
          </cell>
          <cell r="Y42">
            <v>-16356.408910494018</v>
          </cell>
          <cell r="Z42">
            <v>-16356.408910494018</v>
          </cell>
          <cell r="AA42">
            <v>-16356.408910494018</v>
          </cell>
          <cell r="AB42">
            <v>-16356.408910494018</v>
          </cell>
          <cell r="AC42">
            <v>-16356.408910494018</v>
          </cell>
          <cell r="AD42">
            <v>-16356.408910494018</v>
          </cell>
          <cell r="AE42">
            <v>-16356.408910494018</v>
          </cell>
          <cell r="AF42">
            <v>-16356.408910494018</v>
          </cell>
          <cell r="AG42">
            <v>-16356.408910494018</v>
          </cell>
          <cell r="AH42">
            <v>-16356.408910494018</v>
          </cell>
          <cell r="AI42">
            <v>-16356.408910494018</v>
          </cell>
          <cell r="AJ42">
            <v>-16356.40018606854</v>
          </cell>
          <cell r="AK42">
            <v>-16356.391461643068</v>
          </cell>
          <cell r="AL42">
            <v>-16356.382737217593</v>
          </cell>
          <cell r="AM42">
            <v>-16356.374012792119</v>
          </cell>
          <cell r="AN42">
            <v>-16356.365288366647</v>
          </cell>
          <cell r="AO42">
            <v>-16356.35656394117</v>
          </cell>
          <cell r="AP42">
            <v>-16356.347839515698</v>
          </cell>
          <cell r="AQ42">
            <v>-16356.339115090224</v>
          </cell>
          <cell r="AR42">
            <v>-16356.330390664745</v>
          </cell>
          <cell r="AS42">
            <v>-16356.321666239275</v>
          </cell>
        </row>
        <row r="53">
          <cell r="G53">
            <v>0.19614065557239718</v>
          </cell>
          <cell r="H53">
            <v>0.19614065557239718</v>
          </cell>
          <cell r="I53">
            <v>0.19614065557239718</v>
          </cell>
          <cell r="J53">
            <v>0.19614065557239718</v>
          </cell>
          <cell r="K53">
            <v>0.19614065557239718</v>
          </cell>
          <cell r="L53">
            <v>0.19614065557239718</v>
          </cell>
          <cell r="M53">
            <v>0.19614065557239718</v>
          </cell>
          <cell r="N53">
            <v>0.19614065557239718</v>
          </cell>
          <cell r="O53">
            <v>0.19614065557239718</v>
          </cell>
          <cell r="P53">
            <v>0.19614065557239718</v>
          </cell>
          <cell r="Q53">
            <v>0.19614065557239718</v>
          </cell>
          <cell r="R53">
            <v>0.19614065557239718</v>
          </cell>
          <cell r="S53">
            <v>0.19614065557239718</v>
          </cell>
          <cell r="T53">
            <v>0.19614065557239718</v>
          </cell>
          <cell r="U53">
            <v>0.19614065557239718</v>
          </cell>
          <cell r="V53">
            <v>0.19614065557239718</v>
          </cell>
          <cell r="W53">
            <v>0.19614065557239718</v>
          </cell>
          <cell r="X53">
            <v>0.19614065557239718</v>
          </cell>
          <cell r="Y53">
            <v>0.19614065557239718</v>
          </cell>
          <cell r="Z53">
            <v>0.19614065557239718</v>
          </cell>
          <cell r="AA53">
            <v>0.19614065557239718</v>
          </cell>
          <cell r="AB53">
            <v>0.19614065557239718</v>
          </cell>
          <cell r="AC53">
            <v>0.19614065557239718</v>
          </cell>
          <cell r="AD53">
            <v>0.19614065557239718</v>
          </cell>
          <cell r="AE53">
            <v>0.19614065557239718</v>
          </cell>
          <cell r="AF53">
            <v>0.19614065557239718</v>
          </cell>
          <cell r="AG53">
            <v>0.19614065557239718</v>
          </cell>
          <cell r="AH53">
            <v>0.19614065557239718</v>
          </cell>
          <cell r="AI53">
            <v>0.19614065557239718</v>
          </cell>
          <cell r="AJ53">
            <v>0.19614065557239718</v>
          </cell>
          <cell r="AK53">
            <v>0.19614065557239718</v>
          </cell>
          <cell r="AL53">
            <v>0.19614065557239718</v>
          </cell>
          <cell r="AM53">
            <v>0.19614065557239718</v>
          </cell>
          <cell r="AN53">
            <v>0.19614065557239718</v>
          </cell>
          <cell r="AO53">
            <v>0.19614065557239718</v>
          </cell>
          <cell r="AP53">
            <v>0.19614065557239718</v>
          </cell>
          <cell r="AQ53">
            <v>0.19614065557239718</v>
          </cell>
          <cell r="AR53">
            <v>0.19614065557239718</v>
          </cell>
          <cell r="AS53">
            <v>0.19614065557239718</v>
          </cell>
        </row>
        <row r="58">
          <cell r="G58">
            <v>213.88002646830932</v>
          </cell>
          <cell r="H58">
            <v>213.88002646830932</v>
          </cell>
          <cell r="I58">
            <v>213.88002646830932</v>
          </cell>
          <cell r="J58">
            <v>213.88002646830932</v>
          </cell>
          <cell r="K58">
            <v>213.88002646830932</v>
          </cell>
          <cell r="L58">
            <v>213.88002646830932</v>
          </cell>
          <cell r="M58">
            <v>213.88002646830932</v>
          </cell>
          <cell r="N58">
            <v>213.88002646830932</v>
          </cell>
          <cell r="O58">
            <v>213.88002646830932</v>
          </cell>
          <cell r="P58">
            <v>213.88002646830932</v>
          </cell>
          <cell r="Q58">
            <v>213.88002646830932</v>
          </cell>
          <cell r="R58">
            <v>213.88002646830932</v>
          </cell>
          <cell r="S58">
            <v>213.88002646830932</v>
          </cell>
          <cell r="T58">
            <v>213.88002646830932</v>
          </cell>
          <cell r="U58">
            <v>213.88002646830932</v>
          </cell>
          <cell r="V58">
            <v>213.88002646830932</v>
          </cell>
          <cell r="W58">
            <v>213.88002646830932</v>
          </cell>
          <cell r="X58">
            <v>213.88002646830932</v>
          </cell>
          <cell r="Y58">
            <v>213.88002646830932</v>
          </cell>
          <cell r="Z58">
            <v>213.88002646830932</v>
          </cell>
          <cell r="AA58">
            <v>213.88002646830932</v>
          </cell>
          <cell r="AB58">
            <v>213.88002646830932</v>
          </cell>
          <cell r="AC58">
            <v>213.88002646830932</v>
          </cell>
          <cell r="AD58">
            <v>213.88002646830932</v>
          </cell>
          <cell r="AE58">
            <v>213.88002646830932</v>
          </cell>
          <cell r="AF58">
            <v>213.88002646830932</v>
          </cell>
          <cell r="AG58">
            <v>213.88002646830932</v>
          </cell>
          <cell r="AH58">
            <v>213.88002646830932</v>
          </cell>
          <cell r="AI58">
            <v>213.88002646830932</v>
          </cell>
          <cell r="AJ58">
            <v>213.88002646830932</v>
          </cell>
          <cell r="AK58">
            <v>213.88002646830932</v>
          </cell>
          <cell r="AL58">
            <v>213.88002646830932</v>
          </cell>
          <cell r="AM58">
            <v>213.88002646830932</v>
          </cell>
          <cell r="AN58">
            <v>213.88002646830932</v>
          </cell>
          <cell r="AO58">
            <v>213.88002646830932</v>
          </cell>
          <cell r="AP58">
            <v>213.88002646830932</v>
          </cell>
          <cell r="AQ58">
            <v>213.88002646830932</v>
          </cell>
          <cell r="AR58">
            <v>213.88002646830932</v>
          </cell>
          <cell r="AS58">
            <v>213.88002646830932</v>
          </cell>
        </row>
        <row r="66">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row>
        <row r="71">
          <cell r="G71">
            <v>11186.601025250398</v>
          </cell>
          <cell r="H71">
            <v>11186.601025250397</v>
          </cell>
          <cell r="I71">
            <v>11186.601025250397</v>
          </cell>
          <cell r="J71">
            <v>11186.601025250397</v>
          </cell>
          <cell r="K71">
            <v>11186.601025250397</v>
          </cell>
          <cell r="L71">
            <v>11186.601025250397</v>
          </cell>
          <cell r="M71">
            <v>11186.601025250397</v>
          </cell>
          <cell r="N71">
            <v>11186.601025250397</v>
          </cell>
          <cell r="O71">
            <v>11186.601025250397</v>
          </cell>
          <cell r="P71">
            <v>11186.601025250397</v>
          </cell>
          <cell r="Q71">
            <v>11186.601025250397</v>
          </cell>
          <cell r="R71">
            <v>11186.601025250397</v>
          </cell>
          <cell r="S71">
            <v>11186.601025250397</v>
          </cell>
          <cell r="T71">
            <v>11186.601025250397</v>
          </cell>
          <cell r="U71">
            <v>11186.601025250397</v>
          </cell>
          <cell r="V71">
            <v>11186.601025250397</v>
          </cell>
          <cell r="W71">
            <v>11186.601025250397</v>
          </cell>
          <cell r="X71">
            <v>11186.601025250397</v>
          </cell>
          <cell r="Y71">
            <v>11186.601025250397</v>
          </cell>
          <cell r="Z71">
            <v>11186.601025250397</v>
          </cell>
          <cell r="AA71">
            <v>11186.601025250397</v>
          </cell>
          <cell r="AB71">
            <v>11186.601025250397</v>
          </cell>
          <cell r="AC71">
            <v>11186.601025250397</v>
          </cell>
          <cell r="AD71">
            <v>11186.601025250397</v>
          </cell>
          <cell r="AE71">
            <v>11186.601025250397</v>
          </cell>
          <cell r="AF71">
            <v>11186.601025250397</v>
          </cell>
          <cell r="AG71">
            <v>11186.601025250397</v>
          </cell>
          <cell r="AH71">
            <v>11186.601025250397</v>
          </cell>
          <cell r="AI71">
            <v>11186.601025250397</v>
          </cell>
          <cell r="AJ71">
            <v>11186.601025250397</v>
          </cell>
          <cell r="AK71">
            <v>11186.601025250397</v>
          </cell>
          <cell r="AL71">
            <v>11186.601025250397</v>
          </cell>
          <cell r="AM71">
            <v>11186.601025250397</v>
          </cell>
          <cell r="AN71">
            <v>11186.601025250397</v>
          </cell>
          <cell r="AO71">
            <v>11186.601025250397</v>
          </cell>
          <cell r="AP71">
            <v>11186.601025250397</v>
          </cell>
          <cell r="AQ71">
            <v>11186.601025250397</v>
          </cell>
          <cell r="AR71">
            <v>11186.601025250397</v>
          </cell>
          <cell r="AS71">
            <v>11186.601025250397</v>
          </cell>
        </row>
      </sheetData>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IPCC Categories"/>
      <sheetName val="Drivers"/>
      <sheetName val="Annual land change driver"/>
      <sheetName val="Land areas"/>
      <sheetName val="Summary land areas"/>
      <sheetName val="Constants"/>
      <sheetName val="Mitigation scenarios"/>
      <sheetName val="Activity data"/>
      <sheetName val="Carbon stock data"/>
      <sheetName val="Relationships"/>
      <sheetName val="Aggregated stock data"/>
      <sheetName val="Baseline Emissions &amp; Removals"/>
      <sheetName val="Baseline emission summary"/>
      <sheetName val="Case 1 Emissions &amp; Removals"/>
      <sheetName val="Case 2 Emissions &amp; Removals"/>
      <sheetName val="Case 3 Emissions &amp; Removals"/>
      <sheetName val="Case 1 summary"/>
      <sheetName val="Inventory comparison"/>
      <sheetName val="1990-2014 corrected"/>
      <sheetName val="1990-2014"/>
      <sheetName val="1990-2018"/>
      <sheetName val="2014-2018"/>
      <sheetName val="Inventor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
          <cell r="AD11">
            <v>0</v>
          </cell>
        </row>
        <row r="63">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row>
      </sheetData>
      <sheetData sheetId="14"/>
      <sheetData sheetId="15"/>
      <sheetData sheetId="16"/>
      <sheetData sheetId="17"/>
      <sheetData sheetId="18"/>
      <sheetData sheetId="19"/>
      <sheetData sheetId="20"/>
      <sheetData sheetId="21"/>
      <sheetData sheetId="22"/>
      <sheetData sheetId="23"/>
    </sheetDataSet>
  </externalBook>
</externalLink>
</file>

<file path=xl/persons/person.xml><?xml version="1.0" encoding="utf-8"?>
<personList xmlns="http://schemas.microsoft.com/office/spreadsheetml/2018/threadedcomments" xmlns:x="http://schemas.openxmlformats.org/spreadsheetml/2006/main">
  <person displayName="bruno merven" id="{8EF51A79-3B58-4A10-AB03-6BA3328B87EC}" userId="144eb91ed0ec6402" providerId="Windows Live"/>
</personList>
</file>

<file path=xl/theme/theme1.xml><?xml version="1.0" encoding="utf-8"?>
<a:theme xmlns:a="http://schemas.openxmlformats.org/drawingml/2006/main" name="Office Theme">
  <a:themeElements>
    <a:clrScheme name="Aether">
      <a:dk1>
        <a:sysClr val="windowText" lastClr="000000"/>
      </a:dk1>
      <a:lt1>
        <a:sysClr val="window" lastClr="FFFFFF"/>
      </a:lt1>
      <a:dk2>
        <a:srgbClr val="44546A"/>
      </a:dk2>
      <a:lt2>
        <a:srgbClr val="0096C8"/>
      </a:lt2>
      <a:accent1>
        <a:srgbClr val="0096C8"/>
      </a:accent1>
      <a:accent2>
        <a:srgbClr val="ED7D31"/>
      </a:accent2>
      <a:accent3>
        <a:srgbClr val="A5A5A5"/>
      </a:accent3>
      <a:accent4>
        <a:srgbClr val="1F3864"/>
      </a:accent4>
      <a:accent5>
        <a:srgbClr val="954F72"/>
      </a:accent5>
      <a:accent6>
        <a:srgbClr val="C55A11"/>
      </a:accent6>
      <a:hlink>
        <a:srgbClr val="0070C0"/>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Z6" dT="2020-07-23T08:09:40.78" personId="{8EF51A79-3B58-4A10-AB03-6BA3328B87EC}" id="{6704E445-3F8B-48DB-A842-B7D498DA546D}">
    <text>perhaps remove this?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2060"/>
  </sheetPr>
  <dimension ref="A1:D39"/>
  <sheetViews>
    <sheetView workbookViewId="0">
      <selection activeCell="A14" sqref="A14:XFD14"/>
    </sheetView>
  </sheetViews>
  <sheetFormatPr defaultRowHeight="15" x14ac:dyDescent="0.25"/>
  <cols>
    <col min="1" max="1" width="24.28515625" customWidth="1"/>
    <col min="2" max="2" width="18" customWidth="1"/>
    <col min="3" max="3" width="20.42578125" customWidth="1"/>
    <col min="4" max="4" width="37.28515625" customWidth="1"/>
  </cols>
  <sheetData>
    <row r="1" spans="1:4" ht="18.75" x14ac:dyDescent="0.3">
      <c r="A1" s="1" t="s">
        <v>800</v>
      </c>
    </row>
    <row r="3" spans="1:4" ht="15.75" x14ac:dyDescent="0.25">
      <c r="A3" s="20" t="s">
        <v>693</v>
      </c>
      <c r="B3" s="20"/>
      <c r="C3" s="20"/>
      <c r="D3" s="20"/>
    </row>
    <row r="4" spans="1:4" x14ac:dyDescent="0.25">
      <c r="A4" s="42" t="s">
        <v>691</v>
      </c>
      <c r="B4" s="42" t="s">
        <v>694</v>
      </c>
      <c r="C4" s="42" t="s">
        <v>695</v>
      </c>
      <c r="D4" s="42" t="s">
        <v>283</v>
      </c>
    </row>
    <row r="5" spans="1:4" x14ac:dyDescent="0.25">
      <c r="A5" t="s">
        <v>692</v>
      </c>
      <c r="B5" t="s">
        <v>696</v>
      </c>
      <c r="C5" t="s">
        <v>698</v>
      </c>
      <c r="D5" s="14"/>
    </row>
    <row r="6" spans="1:4" ht="30" x14ac:dyDescent="0.25">
      <c r="A6" t="s">
        <v>709</v>
      </c>
      <c r="B6" t="s">
        <v>696</v>
      </c>
      <c r="C6" t="s">
        <v>735</v>
      </c>
      <c r="D6" s="14" t="s">
        <v>710</v>
      </c>
    </row>
    <row r="7" spans="1:4" ht="75" x14ac:dyDescent="0.25">
      <c r="A7" t="s">
        <v>797</v>
      </c>
      <c r="B7" t="s">
        <v>696</v>
      </c>
      <c r="C7" t="s">
        <v>798</v>
      </c>
      <c r="D7" s="14" t="s">
        <v>799</v>
      </c>
    </row>
    <row r="8" spans="1:4" x14ac:dyDescent="0.25">
      <c r="A8" t="s">
        <v>802</v>
      </c>
      <c r="B8" t="s">
        <v>696</v>
      </c>
      <c r="C8" t="s">
        <v>803</v>
      </c>
      <c r="D8" s="14" t="s">
        <v>804</v>
      </c>
    </row>
    <row r="9" spans="1:4" ht="30" x14ac:dyDescent="0.25">
      <c r="A9" t="s">
        <v>819</v>
      </c>
      <c r="B9" t="s">
        <v>696</v>
      </c>
      <c r="C9" t="s">
        <v>820</v>
      </c>
      <c r="D9" s="14" t="s">
        <v>821</v>
      </c>
    </row>
    <row r="10" spans="1:4" ht="60" x14ac:dyDescent="0.25">
      <c r="A10" t="s">
        <v>822</v>
      </c>
      <c r="B10" t="s">
        <v>696</v>
      </c>
      <c r="C10" t="s">
        <v>823</v>
      </c>
      <c r="D10" s="14" t="s">
        <v>825</v>
      </c>
    </row>
    <row r="11" spans="1:4" ht="30" x14ac:dyDescent="0.25">
      <c r="A11" t="s">
        <v>824</v>
      </c>
      <c r="B11" t="s">
        <v>696</v>
      </c>
      <c r="C11" t="s">
        <v>823</v>
      </c>
      <c r="D11" s="14" t="s">
        <v>832</v>
      </c>
    </row>
    <row r="12" spans="1:4" ht="30" x14ac:dyDescent="0.25">
      <c r="A12" t="s">
        <v>879</v>
      </c>
      <c r="B12" t="s">
        <v>696</v>
      </c>
      <c r="C12" t="s">
        <v>880</v>
      </c>
      <c r="D12" s="14" t="s">
        <v>881</v>
      </c>
    </row>
    <row r="17" spans="1:4" ht="15.75" x14ac:dyDescent="0.25">
      <c r="A17" s="20" t="s">
        <v>697</v>
      </c>
      <c r="B17" s="20"/>
      <c r="C17" s="20"/>
      <c r="D17" s="20"/>
    </row>
    <row r="18" spans="1:4" x14ac:dyDescent="0.25">
      <c r="A18" s="42" t="s">
        <v>691</v>
      </c>
      <c r="B18" s="103" t="s">
        <v>700</v>
      </c>
      <c r="C18" s="103"/>
      <c r="D18" s="42" t="s">
        <v>283</v>
      </c>
    </row>
    <row r="19" spans="1:4" ht="51" customHeight="1" x14ac:dyDescent="0.25">
      <c r="A19" s="58" t="s">
        <v>7</v>
      </c>
      <c r="B19" s="99" t="s">
        <v>701</v>
      </c>
      <c r="C19" s="99"/>
      <c r="D19" s="29"/>
    </row>
    <row r="20" spans="1:4" ht="75" x14ac:dyDescent="0.25">
      <c r="A20" s="59" t="s">
        <v>316</v>
      </c>
      <c r="B20" s="99" t="s">
        <v>827</v>
      </c>
      <c r="C20" s="99"/>
      <c r="D20" s="60" t="s">
        <v>828</v>
      </c>
    </row>
    <row r="21" spans="1:4" ht="45" customHeight="1" x14ac:dyDescent="0.25">
      <c r="A21" s="63" t="s">
        <v>826</v>
      </c>
      <c r="B21" s="99" t="s">
        <v>781</v>
      </c>
      <c r="C21" s="99"/>
      <c r="D21" s="60"/>
    </row>
    <row r="22" spans="1:4" ht="99" customHeight="1" x14ac:dyDescent="0.25">
      <c r="A22" s="90" t="s">
        <v>829</v>
      </c>
      <c r="B22" s="104" t="s">
        <v>830</v>
      </c>
      <c r="C22" s="105"/>
      <c r="D22" s="60"/>
    </row>
    <row r="23" spans="1:4" x14ac:dyDescent="0.25">
      <c r="A23" s="61" t="s">
        <v>8</v>
      </c>
      <c r="B23" s="99" t="s">
        <v>728</v>
      </c>
      <c r="C23" s="99"/>
      <c r="D23" s="29"/>
    </row>
    <row r="24" spans="1:4" ht="60" customHeight="1" x14ac:dyDescent="0.25">
      <c r="A24" s="92" t="s">
        <v>876</v>
      </c>
      <c r="B24" s="104" t="s">
        <v>878</v>
      </c>
      <c r="C24" s="105"/>
      <c r="D24" s="91"/>
    </row>
    <row r="25" spans="1:4" ht="75" x14ac:dyDescent="0.25">
      <c r="A25" s="62" t="s">
        <v>783</v>
      </c>
      <c r="B25" s="99" t="s">
        <v>782</v>
      </c>
      <c r="C25" s="99"/>
      <c r="D25" s="84" t="s">
        <v>729</v>
      </c>
    </row>
    <row r="26" spans="1:4" ht="90" x14ac:dyDescent="0.25">
      <c r="A26" s="64" t="s">
        <v>142</v>
      </c>
      <c r="B26" s="99" t="s">
        <v>831</v>
      </c>
      <c r="C26" s="99"/>
      <c r="D26" s="60" t="s">
        <v>801</v>
      </c>
    </row>
    <row r="27" spans="1:4" ht="63" customHeight="1" x14ac:dyDescent="0.25">
      <c r="A27" s="64" t="s">
        <v>279</v>
      </c>
      <c r="B27" s="99" t="s">
        <v>730</v>
      </c>
      <c r="C27" s="99"/>
      <c r="D27" s="60" t="s">
        <v>731</v>
      </c>
    </row>
    <row r="28" spans="1:4" ht="46.5" customHeight="1" x14ac:dyDescent="0.25">
      <c r="A28" s="64" t="s">
        <v>699</v>
      </c>
      <c r="B28" s="99" t="s">
        <v>732</v>
      </c>
      <c r="C28" s="99"/>
      <c r="D28" s="29"/>
    </row>
    <row r="29" spans="1:4" x14ac:dyDescent="0.25">
      <c r="A29" s="64" t="s">
        <v>784</v>
      </c>
      <c r="B29" s="99" t="s">
        <v>733</v>
      </c>
      <c r="C29" s="99"/>
      <c r="D29" s="29"/>
    </row>
    <row r="30" spans="1:4" x14ac:dyDescent="0.25">
      <c r="A30" s="65" t="s">
        <v>785</v>
      </c>
      <c r="B30" s="99" t="s">
        <v>734</v>
      </c>
      <c r="C30" s="99"/>
      <c r="D30" s="29"/>
    </row>
    <row r="33" spans="1:3" ht="15.75" x14ac:dyDescent="0.25">
      <c r="A33" s="20" t="s">
        <v>702</v>
      </c>
      <c r="B33" s="101" t="s">
        <v>283</v>
      </c>
      <c r="C33" s="101"/>
    </row>
    <row r="34" spans="1:3" ht="50.25" customHeight="1" x14ac:dyDescent="0.25">
      <c r="A34" s="66" t="s">
        <v>324</v>
      </c>
      <c r="B34" s="102" t="s">
        <v>707</v>
      </c>
      <c r="C34" s="102"/>
    </row>
    <row r="35" spans="1:3" x14ac:dyDescent="0.25">
      <c r="A35" s="67" t="s">
        <v>703</v>
      </c>
      <c r="B35" s="100"/>
      <c r="C35" s="100"/>
    </row>
    <row r="36" spans="1:3" x14ac:dyDescent="0.25">
      <c r="A36" s="68" t="s">
        <v>704</v>
      </c>
      <c r="B36" s="100" t="s">
        <v>706</v>
      </c>
      <c r="C36" s="100"/>
    </row>
    <row r="37" spans="1:3" x14ac:dyDescent="0.25">
      <c r="A37" s="69" t="s">
        <v>708</v>
      </c>
      <c r="B37" s="97"/>
      <c r="C37" s="98"/>
    </row>
    <row r="38" spans="1:3" x14ac:dyDescent="0.25">
      <c r="A38" s="70" t="s">
        <v>714</v>
      </c>
      <c r="B38" s="97"/>
      <c r="C38" s="98"/>
    </row>
    <row r="39" spans="1:3" x14ac:dyDescent="0.25">
      <c r="A39" s="71" t="s">
        <v>715</v>
      </c>
      <c r="B39" s="97"/>
      <c r="C39" s="98"/>
    </row>
  </sheetData>
  <mergeCells count="20">
    <mergeCell ref="B25:C25"/>
    <mergeCell ref="B21:C21"/>
    <mergeCell ref="B26:C26"/>
    <mergeCell ref="B27:C27"/>
    <mergeCell ref="B18:C18"/>
    <mergeCell ref="B19:C19"/>
    <mergeCell ref="B20:C20"/>
    <mergeCell ref="B23:C23"/>
    <mergeCell ref="B22:C22"/>
    <mergeCell ref="B24:C24"/>
    <mergeCell ref="B37:C37"/>
    <mergeCell ref="B38:C38"/>
    <mergeCell ref="B39:C39"/>
    <mergeCell ref="B28:C28"/>
    <mergeCell ref="B29:C29"/>
    <mergeCell ref="B30:C30"/>
    <mergeCell ref="B36:C36"/>
    <mergeCell ref="B33:C33"/>
    <mergeCell ref="B34:C34"/>
    <mergeCell ref="B35:C3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0.59999389629810485"/>
  </sheetPr>
  <dimension ref="A1:BO65"/>
  <sheetViews>
    <sheetView workbookViewId="0">
      <pane xSplit="1" ySplit="3" topLeftCell="AT8" activePane="bottomRight" state="frozen"/>
      <selection pane="topRight" activeCell="B1" sqref="B1"/>
      <selection pane="bottomLeft" activeCell="A4" sqref="A4"/>
      <selection pane="bottomRight" activeCell="AG21" sqref="AG21"/>
    </sheetView>
  </sheetViews>
  <sheetFormatPr defaultRowHeight="15" x14ac:dyDescent="0.25"/>
  <cols>
    <col min="1" max="1" width="29.5703125" customWidth="1"/>
    <col min="2" max="2" width="12.85546875" customWidth="1"/>
    <col min="3" max="29" width="12.7109375" customWidth="1"/>
    <col min="30" max="30" width="13.85546875" customWidth="1"/>
    <col min="31" max="33" width="12.7109375" customWidth="1"/>
    <col min="34" max="35" width="11.42578125" customWidth="1"/>
    <col min="36" max="36" width="11.28515625" customWidth="1"/>
    <col min="37" max="63" width="11.42578125" bestFit="1" customWidth="1"/>
  </cols>
  <sheetData>
    <row r="1" spans="1:67" ht="18.75" x14ac:dyDescent="0.3">
      <c r="A1" s="1" t="s">
        <v>326</v>
      </c>
      <c r="AF1" s="11"/>
    </row>
    <row r="2" spans="1:67" x14ac:dyDescent="0.25">
      <c r="K2">
        <v>1</v>
      </c>
      <c r="L2">
        <v>2</v>
      </c>
      <c r="M2">
        <v>3</v>
      </c>
      <c r="N2">
        <v>4</v>
      </c>
      <c r="O2">
        <v>5</v>
      </c>
      <c r="P2">
        <v>6</v>
      </c>
      <c r="Q2">
        <v>7</v>
      </c>
      <c r="R2">
        <v>8</v>
      </c>
      <c r="S2">
        <v>9</v>
      </c>
      <c r="T2">
        <v>10</v>
      </c>
      <c r="U2">
        <v>11</v>
      </c>
      <c r="V2">
        <v>12</v>
      </c>
      <c r="W2">
        <v>13</v>
      </c>
      <c r="X2">
        <v>14</v>
      </c>
      <c r="Y2">
        <v>15</v>
      </c>
      <c r="Z2">
        <v>16</v>
      </c>
      <c r="AA2">
        <v>17</v>
      </c>
      <c r="AB2">
        <v>18</v>
      </c>
      <c r="AC2">
        <v>19</v>
      </c>
      <c r="AD2">
        <v>20</v>
      </c>
      <c r="AE2">
        <v>21</v>
      </c>
      <c r="AF2">
        <v>22</v>
      </c>
      <c r="AG2">
        <v>23</v>
      </c>
      <c r="AH2">
        <v>24</v>
      </c>
      <c r="AI2">
        <v>25</v>
      </c>
      <c r="AJ2">
        <v>26</v>
      </c>
      <c r="AK2">
        <v>27</v>
      </c>
      <c r="AL2">
        <v>28</v>
      </c>
      <c r="AM2">
        <v>29</v>
      </c>
      <c r="AN2">
        <v>30</v>
      </c>
      <c r="AO2">
        <v>31</v>
      </c>
      <c r="AP2">
        <v>32</v>
      </c>
      <c r="AQ2">
        <v>33</v>
      </c>
      <c r="AR2">
        <v>34</v>
      </c>
      <c r="AS2">
        <v>35</v>
      </c>
      <c r="AT2">
        <v>36</v>
      </c>
      <c r="AU2">
        <v>37</v>
      </c>
      <c r="AV2">
        <v>38</v>
      </c>
      <c r="AW2">
        <v>39</v>
      </c>
      <c r="AX2">
        <v>40</v>
      </c>
      <c r="AY2">
        <v>41</v>
      </c>
      <c r="AZ2">
        <v>42</v>
      </c>
      <c r="BA2">
        <v>43</v>
      </c>
      <c r="BB2">
        <v>44</v>
      </c>
      <c r="BC2">
        <v>45</v>
      </c>
      <c r="BD2">
        <v>46</v>
      </c>
      <c r="BE2">
        <v>47</v>
      </c>
      <c r="BF2">
        <v>48</v>
      </c>
      <c r="BG2">
        <v>49</v>
      </c>
      <c r="BH2">
        <v>50</v>
      </c>
      <c r="BI2">
        <v>51</v>
      </c>
      <c r="BJ2">
        <v>52</v>
      </c>
      <c r="BK2">
        <v>53</v>
      </c>
    </row>
    <row r="3" spans="1:6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2018</v>
      </c>
      <c r="AF3" s="17">
        <v>2019</v>
      </c>
      <c r="AG3" s="17">
        <v>2020</v>
      </c>
      <c r="AH3" s="17">
        <v>2021</v>
      </c>
      <c r="AI3" s="17">
        <v>2022</v>
      </c>
      <c r="AJ3" s="17">
        <v>2023</v>
      </c>
      <c r="AK3" s="17">
        <v>2024</v>
      </c>
      <c r="AL3" s="17">
        <v>2025</v>
      </c>
      <c r="AM3" s="17">
        <v>2026</v>
      </c>
      <c r="AN3" s="17">
        <v>2027</v>
      </c>
      <c r="AO3" s="17">
        <v>2028</v>
      </c>
      <c r="AP3" s="17">
        <v>2029</v>
      </c>
      <c r="AQ3" s="17">
        <v>2030</v>
      </c>
      <c r="AR3" s="17">
        <v>2031</v>
      </c>
      <c r="AS3" s="17">
        <v>2032</v>
      </c>
      <c r="AT3" s="17">
        <v>2033</v>
      </c>
      <c r="AU3" s="17">
        <v>2034</v>
      </c>
      <c r="AV3" s="17">
        <v>2035</v>
      </c>
      <c r="AW3" s="17">
        <v>2036</v>
      </c>
      <c r="AX3" s="17">
        <v>2037</v>
      </c>
      <c r="AY3" s="17">
        <v>2038</v>
      </c>
      <c r="AZ3" s="17">
        <v>2039</v>
      </c>
      <c r="BA3" s="17">
        <v>2040</v>
      </c>
      <c r="BB3" s="17">
        <v>2041</v>
      </c>
      <c r="BC3" s="17">
        <v>2042</v>
      </c>
      <c r="BD3" s="17">
        <v>2043</v>
      </c>
      <c r="BE3" s="17">
        <v>2044</v>
      </c>
      <c r="BF3" s="17">
        <v>2045</v>
      </c>
      <c r="BG3" s="17">
        <v>2046</v>
      </c>
      <c r="BH3" s="17">
        <v>2047</v>
      </c>
      <c r="BI3" s="17">
        <v>2048</v>
      </c>
      <c r="BJ3" s="17">
        <v>2049</v>
      </c>
      <c r="BK3" s="17">
        <v>2050</v>
      </c>
      <c r="BN3" s="18" t="s">
        <v>308</v>
      </c>
      <c r="BO3" s="17" t="s">
        <v>282</v>
      </c>
    </row>
    <row r="4" spans="1:67" x14ac:dyDescent="0.25">
      <c r="A4" t="s">
        <v>807</v>
      </c>
      <c r="B4" t="s">
        <v>808</v>
      </c>
      <c r="C4" s="22">
        <f>(Drivers!D5*1000000)/Drivers!D4</f>
        <v>37.860001946084395</v>
      </c>
      <c r="D4" s="22">
        <f>(Drivers!E5*1000000)/Drivers!E4</f>
        <v>38.046270180575107</v>
      </c>
      <c r="E4" s="22">
        <f>(Drivers!F5*1000000)/Drivers!F4</f>
        <v>38.221300247651563</v>
      </c>
      <c r="F4" s="22">
        <f>(Drivers!G5*1000000)/Drivers!G4</f>
        <v>38.413242330378139</v>
      </c>
      <c r="G4" s="22">
        <f>(Drivers!H5*1000000)/Drivers!H4</f>
        <v>38.658228667598905</v>
      </c>
      <c r="H4" s="22">
        <f>(Drivers!I5*1000000)/Drivers!I4</f>
        <v>38.980310401542859</v>
      </c>
      <c r="I4" s="22">
        <f>(Drivers!J5*1000000)/Drivers!J4</f>
        <v>39.843180228874438</v>
      </c>
      <c r="J4" s="22">
        <f>(Drivers!K5*1000000)/Drivers!K4</f>
        <v>40.169263215970403</v>
      </c>
      <c r="K4" s="22">
        <f>(Drivers!L5*1000000)/Drivers!L4</f>
        <v>39.807053443355009</v>
      </c>
      <c r="L4" s="22">
        <f>(Drivers!M5*1000000)/Drivers!M4</f>
        <v>40.276725690374732</v>
      </c>
      <c r="M4" s="22">
        <f>(Drivers!N5*1000000)/Drivers!N4</f>
        <v>41.460575055647659</v>
      </c>
      <c r="N4" s="22">
        <f>(Drivers!O5*1000000)/Drivers!O4</f>
        <v>42.097885096656867</v>
      </c>
      <c r="O4" s="22">
        <f>(Drivers!P5*1000000)/Drivers!P4</f>
        <v>43.14895311609127</v>
      </c>
      <c r="P4" s="22">
        <f>(Drivers!Q5*1000000)/Drivers!Q4</f>
        <v>43.894922366906613</v>
      </c>
      <c r="Q4" s="22">
        <f>(Drivers!R5*1000000)/Drivers!R4</f>
        <v>45.313977429919198</v>
      </c>
      <c r="R4" s="22">
        <f>(Drivers!S5*1000000)/Drivers!S4</f>
        <v>47.134219703689652</v>
      </c>
      <c r="S4" s="22">
        <f>(Drivers!T5*1000000)/Drivers!T4</f>
        <v>49.114391395955856</v>
      </c>
      <c r="T4" s="22">
        <f>(Drivers!U5*1000000)/Drivers!U4</f>
        <v>51.192334626133288</v>
      </c>
      <c r="U4" s="22">
        <f>(Drivers!V5*1000000)/Drivers!V4</f>
        <v>52.414183192109149</v>
      </c>
      <c r="V4" s="22">
        <f>(Drivers!W5*1000000)/Drivers!W4</f>
        <v>50.996059718481895</v>
      </c>
      <c r="W4" s="22">
        <f>(Drivers!X5*1000000)/Drivers!X4</f>
        <v>51.807136604333046</v>
      </c>
      <c r="X4" s="22">
        <f>(Drivers!Y5*1000000)/Drivers!Y4</f>
        <v>52.773755281587846</v>
      </c>
      <c r="Y4" s="22">
        <f>(Drivers!Z5*1000000)/Drivers!Z4</f>
        <v>53.728853330625171</v>
      </c>
      <c r="Z4" s="22">
        <f>(Drivers!AA5*1000000)/Drivers!AA4</f>
        <v>54.321092720924852</v>
      </c>
      <c r="AA4" s="22">
        <f>(Drivers!AB5*1000000)/Drivers!AB4</f>
        <v>54.480101646002176</v>
      </c>
      <c r="AB4" s="22">
        <f>(Drivers!AC5*1000000)/Drivers!AC4</f>
        <v>54.289353458429851</v>
      </c>
      <c r="AC4" s="22">
        <f>(Drivers!AD5*1000000)/Drivers!AD4</f>
        <v>53.870420594253417</v>
      </c>
      <c r="AD4" s="22">
        <f>(Drivers!AE5*1000000)/Drivers!AE4</f>
        <v>53.579230022094251</v>
      </c>
      <c r="AE4" s="22">
        <f>(Drivers!AF5*1000000)/Drivers!AF4</f>
        <v>53.373066314189415</v>
      </c>
      <c r="AF4" s="22">
        <f>(Drivers!AG5*1000000)/Drivers!AG4</f>
        <v>53.140460765768537</v>
      </c>
      <c r="AG4" s="22">
        <f>(Drivers!AH5*1000000)/Drivers!AH4</f>
        <v>48.354585043839705</v>
      </c>
      <c r="AH4" s="22">
        <f>(Drivers!AI5*1000000)/Drivers!AI4</f>
        <v>48.783357491800203</v>
      </c>
      <c r="AI4" s="22">
        <f>(Drivers!AJ5*1000000)/Drivers!AJ4</f>
        <v>49.245956601625934</v>
      </c>
      <c r="AJ4" s="22">
        <f>(Drivers!AK5*1000000)/Drivers!AK4</f>
        <v>49.835693296615958</v>
      </c>
      <c r="AK4" s="22">
        <f>(Drivers!AL5*1000000)/Drivers!AL4</f>
        <v>50.491846241525955</v>
      </c>
      <c r="AL4" s="22">
        <f>(Drivers!AM5*1000000)/Drivers!AM4</f>
        <v>51.132517692237798</v>
      </c>
      <c r="AM4" s="22">
        <f>(Drivers!AN5*1000000)/Drivers!AN4</f>
        <v>51.931066937283646</v>
      </c>
      <c r="AN4" s="22">
        <f>(Drivers!AO5*1000000)/Drivers!AO4</f>
        <v>52.770822742207677</v>
      </c>
      <c r="AO4" s="22">
        <f>(Drivers!AP5*1000000)/Drivers!AP4</f>
        <v>53.675036031014727</v>
      </c>
      <c r="AP4" s="22">
        <f>(Drivers!AQ5*1000000)/Drivers!AQ4</f>
        <v>54.614933878230012</v>
      </c>
      <c r="AQ4" s="22">
        <f>(Drivers!AR5*1000000)/Drivers!AR4</f>
        <v>55.34418007042251</v>
      </c>
      <c r="AR4" s="22">
        <f>(Drivers!AS5*1000000)/Drivers!AS4</f>
        <v>56.359695601610092</v>
      </c>
      <c r="AS4" s="22">
        <f>(Drivers!AT5*1000000)/Drivers!AT4</f>
        <v>57.399295389698253</v>
      </c>
      <c r="AT4" s="22">
        <f>(Drivers!AU5*1000000)/Drivers!AU4</f>
        <v>58.472412888505893</v>
      </c>
      <c r="AU4" s="22">
        <f>(Drivers!AV5*1000000)/Drivers!AV4</f>
        <v>59.481068162594497</v>
      </c>
      <c r="AV4" s="22">
        <f>(Drivers!AW5*1000000)/Drivers!AW4</f>
        <v>60.562817003921744</v>
      </c>
      <c r="AW4" s="22">
        <f>(Drivers!AX5*1000000)/Drivers!AX4</f>
        <v>61.719205658511846</v>
      </c>
      <c r="AX4" s="22">
        <f>(Drivers!AY5*1000000)/Drivers!AY4</f>
        <v>62.924044420373065</v>
      </c>
      <c r="AY4" s="22">
        <f>(Drivers!AZ5*1000000)/Drivers!AZ4</f>
        <v>64.108133988206774</v>
      </c>
      <c r="AZ4" s="22">
        <f>(Drivers!BA5*1000000)/Drivers!BA4</f>
        <v>65.341000105446952</v>
      </c>
      <c r="BA4" s="22">
        <f>(Drivers!BB5*1000000)/Drivers!BB4</f>
        <v>66.664767294172634</v>
      </c>
      <c r="BB4" s="22">
        <f>(Drivers!BC5*1000000)/Drivers!BC4</f>
        <v>68.059882386785318</v>
      </c>
      <c r="BC4" s="22">
        <f>(Drivers!BD5*1000000)/Drivers!BD4</f>
        <v>69.520398155586221</v>
      </c>
      <c r="BD4" s="22">
        <f>(Drivers!BE5*1000000)/Drivers!BE4</f>
        <v>71.049417799902471</v>
      </c>
      <c r="BE4" s="22">
        <f>(Drivers!BF5*1000000)/Drivers!BF4</f>
        <v>72.6477202649193</v>
      </c>
      <c r="BF4" s="22">
        <f>(Drivers!BG5*1000000)/Drivers!BG4</f>
        <v>74.332275535678235</v>
      </c>
      <c r="BG4" s="22">
        <f>(Drivers!BH5*1000000)/Drivers!BH4</f>
        <v>75.901237268126607</v>
      </c>
      <c r="BH4" s="22">
        <f>(Drivers!BI5*1000000)/Drivers!BI4</f>
        <v>77.549989845991192</v>
      </c>
      <c r="BI4" s="22">
        <f>(Drivers!BJ5*1000000)/Drivers!BJ4</f>
        <v>79.294323515256892</v>
      </c>
      <c r="BJ4" s="22">
        <f>(Drivers!BK5*1000000)/Drivers!BK4</f>
        <v>81.142973155824976</v>
      </c>
      <c r="BK4" s="22">
        <f>(Drivers!BL5*1000000)/Drivers!BL4</f>
        <v>83.144015516005183</v>
      </c>
    </row>
    <row r="5" spans="1:67" s="87" customFormat="1" x14ac:dyDescent="0.25">
      <c r="A5" s="87" t="s">
        <v>318</v>
      </c>
      <c r="B5" s="87" t="s">
        <v>321</v>
      </c>
      <c r="C5" s="28">
        <v>668000</v>
      </c>
      <c r="D5" s="28">
        <v>714000</v>
      </c>
      <c r="E5" s="28">
        <v>741000</v>
      </c>
      <c r="F5" s="28">
        <v>718000</v>
      </c>
      <c r="G5" s="28">
        <v>663000</v>
      </c>
      <c r="H5" s="28">
        <v>587000</v>
      </c>
      <c r="I5" s="28">
        <v>591000</v>
      </c>
      <c r="J5" s="28">
        <v>573000</v>
      </c>
      <c r="K5" s="28">
        <v>560000</v>
      </c>
      <c r="L5" s="28">
        <v>559000</v>
      </c>
      <c r="M5" s="28">
        <v>671000</v>
      </c>
      <c r="N5" s="28">
        <v>554000</v>
      </c>
      <c r="O5" s="28">
        <v>602000</v>
      </c>
      <c r="P5" s="28">
        <v>643000</v>
      </c>
      <c r="Q5" s="28">
        <v>675000</v>
      </c>
      <c r="R5" s="28">
        <v>723000</v>
      </c>
      <c r="S5" s="28">
        <v>825000</v>
      </c>
      <c r="T5" s="28">
        <v>865000</v>
      </c>
      <c r="U5" s="28">
        <v>767000</v>
      </c>
      <c r="V5" s="28">
        <v>784000</v>
      </c>
      <c r="W5" s="28">
        <v>880000</v>
      </c>
      <c r="X5" s="28">
        <v>879000</v>
      </c>
      <c r="Y5" s="28">
        <f>((Data!$AJ$5*'Intermediate calculations'!Y4)+Data!$AK$5)*Drivers!Z4</f>
        <v>923113.9523166779</v>
      </c>
      <c r="Z5" s="28">
        <f>((Data!$AJ$5*'Intermediate calculations'!Z4)+Data!$AK$5)*Drivers!AA4</f>
        <v>948595.1903158786</v>
      </c>
      <c r="AA5" s="28">
        <f>((Data!$AJ$5*'Intermediate calculations'!AA4)+Data!$AK$5)*Drivers!AB4</f>
        <v>966227.75374736264</v>
      </c>
      <c r="AB5" s="28">
        <f>((Data!$AJ$5*'Intermediate calculations'!AB4)+Data!$AK$5)*Drivers!AC4</f>
        <v>977350.67864862655</v>
      </c>
      <c r="AC5" s="28">
        <f>((Data!$AJ$5*'Intermediate calculations'!AC4)+Data!$AK$5)*Drivers!AD4</f>
        <v>984173.9494838448</v>
      </c>
      <c r="AD5" s="28">
        <f>((Data!$AJ$5*'Intermediate calculations'!AD4)+Data!$AK$5)*Drivers!AE4</f>
        <v>993991.33300265751</v>
      </c>
      <c r="AE5" s="28">
        <f>((Data!$AJ$5*'Intermediate calculations'!AE4)+Data!$AK$5)*Drivers!AF4</f>
        <v>1005645.9904958234</v>
      </c>
      <c r="AF5" s="28">
        <f>((Data!$AJ$5*'Intermediate calculations'!AF4)+Data!$AK$5)*Drivers!AG4</f>
        <v>1016841.6103448493</v>
      </c>
      <c r="AG5" s="28">
        <f>((Data!$AJ$5*'Intermediate calculations'!AG4)+Data!$AK$5)*Drivers!AH4</f>
        <v>927338.97522770369</v>
      </c>
      <c r="AH5" s="28">
        <f>((Data!$AJ$5*'Intermediate calculations'!AH4)+Data!$AK$5)*Drivers!AI4</f>
        <v>949296.69105558051</v>
      </c>
      <c r="AI5" s="28">
        <f>((Data!$AJ$5*'Intermediate calculations'!AI4)+Data!$AK$5)*Drivers!AJ4</f>
        <v>971549.59442199732</v>
      </c>
      <c r="AJ5" s="28">
        <f>((Data!$AJ$5*'Intermediate calculations'!AJ4)+Data!$AK$5)*Drivers!AK4</f>
        <v>996213.43955022492</v>
      </c>
      <c r="AK5" s="28">
        <f>((Data!$AJ$5*'Intermediate calculations'!AK4)+Data!$AK$5)*Drivers!AL4</f>
        <v>1022520.252095058</v>
      </c>
      <c r="AL5" s="28">
        <f>((Data!$AJ$5*'Intermediate calculations'!AL4)+Data!$AK$5)*Drivers!AM4</f>
        <v>1048579.0964343073</v>
      </c>
      <c r="AM5" s="28">
        <f>((Data!$AJ$5*'Intermediate calculations'!AM4)+Data!$AK$5)*Drivers!AN4</f>
        <v>1078470.9614045764</v>
      </c>
      <c r="AN5" s="28">
        <f>((Data!$AJ$5*'Intermediate calculations'!AN4)+Data!$AK$5)*Drivers!AO4</f>
        <v>1109494.0827530043</v>
      </c>
      <c r="AO5" s="28">
        <f>((Data!$AJ$5*'Intermediate calculations'!AO4)+Data!$AK$5)*Drivers!AP4</f>
        <v>1142216.9721685653</v>
      </c>
      <c r="AP5" s="28">
        <f>((Data!$AJ$5*'Intermediate calculations'!AP4)+Data!$AK$5)*Drivers!AQ4</f>
        <v>1176039.7104280673</v>
      </c>
      <c r="AQ5" s="28">
        <f>((Data!$AJ$5*'Intermediate calculations'!AQ4)+Data!$AK$5)*Drivers!AR4</f>
        <v>1204895.3826486298</v>
      </c>
      <c r="AR5" s="28">
        <f>((Data!$AJ$5*'Intermediate calculations'!AR4)+Data!$AK$5)*Drivers!AS4</f>
        <v>1240983.4097321499</v>
      </c>
      <c r="AS5" s="28">
        <f>((Data!$AJ$5*'Intermediate calculations'!AS4)+Data!$AK$5)*Drivers!AT4</f>
        <v>1277894.8135159179</v>
      </c>
      <c r="AT5" s="28">
        <f>((Data!$AJ$5*'Intermediate calculations'!AT4)+Data!$AK$5)*Drivers!AU4</f>
        <v>1315861.7654512092</v>
      </c>
      <c r="AU5" s="28">
        <f>((Data!$AJ$5*'Intermediate calculations'!AU4)+Data!$AK$5)*Drivers!AV4</f>
        <v>1352409.667706748</v>
      </c>
      <c r="AV5" s="28">
        <f>((Data!$AJ$5*'Intermediate calculations'!AV4)+Data!$AK$5)*Drivers!AW4</f>
        <v>1391014.6537631599</v>
      </c>
      <c r="AW5" s="28">
        <f>((Data!$AJ$5*'Intermediate calculations'!AW4)+Data!$AK$5)*Drivers!AX4</f>
        <v>1431739.3938653441</v>
      </c>
      <c r="AX5" s="28">
        <f>((Data!$AJ$5*'Intermediate calculations'!AX4)+Data!$AK$5)*Drivers!AY4</f>
        <v>1473921.1887261975</v>
      </c>
      <c r="AY5" s="28">
        <f>((Data!$AJ$5*'Intermediate calculations'!AY4)+Data!$AK$5)*Drivers!AZ4</f>
        <v>1515743.9471686683</v>
      </c>
      <c r="AZ5" s="28">
        <f>((Data!$AJ$5*'Intermediate calculations'!AZ4)+Data!$AK$5)*Drivers!BA4</f>
        <v>1559043.8539265462</v>
      </c>
      <c r="BA5" s="28">
        <f>((Data!$AJ$5*'Intermediate calculations'!BA4)+Data!$AK$5)*Drivers!BB4</f>
        <v>1604947.5943662571</v>
      </c>
      <c r="BB5" s="28">
        <f>((Data!$AJ$5*'Intermediate calculations'!BB4)+Data!$AK$5)*Drivers!BC4</f>
        <v>1652954.4947515246</v>
      </c>
      <c r="BC5" s="28">
        <f>((Data!$AJ$5*'Intermediate calculations'!BC4)+Data!$AK$5)*Drivers!BD4</f>
        <v>1702914.9473719604</v>
      </c>
      <c r="BD5" s="28">
        <f>((Data!$AJ$5*'Intermediate calculations'!BD4)+Data!$AK$5)*Drivers!BE4</f>
        <v>1754918.7930618315</v>
      </c>
      <c r="BE5" s="28">
        <f>((Data!$AJ$5*'Intermediate calculations'!BE4)+Data!$AK$5)*Drivers!BF4</f>
        <v>1808993.4292031142</v>
      </c>
      <c r="BF5" s="28">
        <f>((Data!$AJ$5*'Intermediate calculations'!BF4)+Data!$AK$5)*Drivers!BG4</f>
        <v>1865607.9262700388</v>
      </c>
      <c r="BG5" s="28">
        <f>((Data!$AJ$5*'Intermediate calculations'!BG4)+Data!$AK$5)*Drivers!BH4</f>
        <v>1919191.0405063904</v>
      </c>
      <c r="BH5" s="28">
        <f>((Data!$AJ$5*'Intermediate calculations'!BH4)+Data!$AK$5)*Drivers!BI4</f>
        <v>1975087.9810586669</v>
      </c>
      <c r="BI5" s="28">
        <f>((Data!$AJ$5*'Intermediate calculations'!BI4)+Data!$AK$5)*Drivers!BJ4</f>
        <v>2033741.5049125466</v>
      </c>
      <c r="BJ5" s="28">
        <f>((Data!$AJ$5*'Intermediate calculations'!BJ4)+Data!$AK$5)*Drivers!BK4</f>
        <v>2095396.2836412205</v>
      </c>
      <c r="BK5" s="28">
        <f>((Data!$AJ$5*'Intermediate calculations'!BK4)+Data!$AK$5)*Drivers!BL4</f>
        <v>2161412.0037912647</v>
      </c>
    </row>
    <row r="6" spans="1:67" x14ac:dyDescent="0.25">
      <c r="A6" t="s">
        <v>318</v>
      </c>
      <c r="B6" t="s">
        <v>322</v>
      </c>
      <c r="C6" s="22">
        <f>C5/Drivers!D4</f>
        <v>1.8151922844328049E-2</v>
      </c>
      <c r="D6" s="22">
        <f>D5/Drivers!E4</f>
        <v>1.8929477093079208E-2</v>
      </c>
      <c r="E6" s="22">
        <f>E5/Drivers!F4</f>
        <v>1.9160849435363898E-2</v>
      </c>
      <c r="F6" s="22">
        <f>F5/Drivers!G4</f>
        <v>1.8115873466426971E-2</v>
      </c>
      <c r="G6" s="22">
        <f>G5/Drivers!H4</f>
        <v>1.6344518185421236E-2</v>
      </c>
      <c r="H6" s="22">
        <f>H5/Drivers!I4</f>
        <v>1.4166508067741876E-2</v>
      </c>
      <c r="I6" s="22">
        <f>I5/Drivers!J4</f>
        <v>1.3991142399503649E-2</v>
      </c>
      <c r="J6" s="22">
        <f>J5/Drivers!K4</f>
        <v>1.3329468330311484E-2</v>
      </c>
      <c r="K6" s="22">
        <f>K5/Drivers!L4</f>
        <v>1.2819849522437712E-2</v>
      </c>
      <c r="L6" s="22">
        <f>L5/Drivers!M4</f>
        <v>1.2607541028129859E-2</v>
      </c>
      <c r="M6" s="22">
        <f>M5/Drivers!N4</f>
        <v>1.4921819008431562E-2</v>
      </c>
      <c r="N6" s="22">
        <f>N5/Drivers!O4</f>
        <v>1.21567810458843E-2</v>
      </c>
      <c r="O6" s="22">
        <f>O5/Drivers!P4</f>
        <v>1.3044162311588505E-2</v>
      </c>
      <c r="P6" s="22">
        <f>P5/Drivers!Q4</f>
        <v>1.3763079313265579E-2</v>
      </c>
      <c r="Q6" s="22">
        <f>Q5/Drivers!R4</f>
        <v>1.4273144855926876E-2</v>
      </c>
      <c r="R6" s="22">
        <f>R5/Drivers!S4</f>
        <v>1.5100061087370227E-2</v>
      </c>
      <c r="S6" s="22">
        <f>S5/Drivers!T4</f>
        <v>1.701400710616301E-2</v>
      </c>
      <c r="T6" s="22">
        <f>T5/Drivers!U4</f>
        <v>1.7610021254379524E-2</v>
      </c>
      <c r="U6" s="22">
        <f>U5/Drivers!V4</f>
        <v>1.5407958031534726E-2</v>
      </c>
      <c r="V6" s="22">
        <f>V5/Drivers!W4</f>
        <v>1.553182299165852E-2</v>
      </c>
      <c r="W6" s="22">
        <f>W5/Drivers!X4</f>
        <v>1.7181807184041598E-2</v>
      </c>
      <c r="X6" s="22">
        <f>X5/Drivers!Y4</f>
        <v>1.6902490054067201E-2</v>
      </c>
      <c r="Y6" s="22"/>
      <c r="Z6" s="22"/>
      <c r="AA6" s="22"/>
      <c r="AB6" s="22"/>
      <c r="AC6" s="22"/>
      <c r="AD6" s="22"/>
      <c r="AE6" s="22"/>
      <c r="AF6" s="22"/>
      <c r="AG6" s="22"/>
      <c r="AH6" s="22"/>
      <c r="AI6" s="22"/>
      <c r="AJ6" s="22"/>
      <c r="AK6" s="22"/>
      <c r="AL6" s="22"/>
      <c r="AM6" s="22"/>
      <c r="AN6" s="22"/>
      <c r="AO6" s="22">
        <f>(AO5-AE5)/AE5</f>
        <v>0.13580423226806373</v>
      </c>
      <c r="AP6" s="22"/>
      <c r="AQ6" s="22">
        <f>(AQ8-AD8)/AD8</f>
        <v>0.24002044730553893</v>
      </c>
      <c r="AR6" s="22"/>
      <c r="AS6" s="22"/>
      <c r="AT6" s="22"/>
      <c r="AU6" s="22"/>
      <c r="AV6" s="22"/>
      <c r="AW6" s="22"/>
      <c r="AX6" s="22"/>
      <c r="AY6" s="22"/>
      <c r="AZ6" s="22"/>
      <c r="BA6" s="22"/>
      <c r="BB6" s="22"/>
      <c r="BC6" s="22"/>
      <c r="BD6" s="22"/>
      <c r="BE6" s="22"/>
      <c r="BF6" s="22"/>
      <c r="BG6" s="22"/>
      <c r="BH6" s="22"/>
      <c r="BI6" s="22"/>
      <c r="BJ6" s="22"/>
      <c r="BK6" s="22"/>
    </row>
    <row r="7" spans="1:67" x14ac:dyDescent="0.25">
      <c r="A7" t="s">
        <v>318</v>
      </c>
      <c r="B7" t="s">
        <v>663</v>
      </c>
      <c r="C7" s="53">
        <f>C5*ttokg/Drivers!D4</f>
        <v>18.151922844328048</v>
      </c>
      <c r="D7" s="53">
        <f>D5*ttokg/Drivers!E4</f>
        <v>18.929477093079207</v>
      </c>
      <c r="E7" s="53">
        <f>E5*ttokg/Drivers!F4</f>
        <v>19.1608494353639</v>
      </c>
      <c r="F7" s="53">
        <f>F5*ttokg/Drivers!G4</f>
        <v>18.115873466426972</v>
      </c>
      <c r="G7" s="53">
        <f>G5*ttokg/Drivers!H4</f>
        <v>16.344518185421236</v>
      </c>
      <c r="H7" s="53">
        <f>H5*ttokg/Drivers!I4</f>
        <v>14.166508067741876</v>
      </c>
      <c r="I7" s="53">
        <f>I5*ttokg/Drivers!J4</f>
        <v>13.991142399503648</v>
      </c>
      <c r="J7" s="53">
        <f>J5*ttokg/Drivers!K4</f>
        <v>13.329468330311483</v>
      </c>
      <c r="K7" s="53">
        <f>K5*ttokg/Drivers!L4</f>
        <v>12.819849522437712</v>
      </c>
      <c r="L7" s="53">
        <f>L5*ttokg/Drivers!M4</f>
        <v>12.607541028129861</v>
      </c>
      <c r="M7" s="53">
        <f>M5*ttokg/Drivers!N4</f>
        <v>14.921819008431562</v>
      </c>
      <c r="N7" s="53">
        <f>N5*ttokg/Drivers!O4</f>
        <v>12.1567810458843</v>
      </c>
      <c r="O7" s="53">
        <f>O5*ttokg/Drivers!P4</f>
        <v>13.044162311588506</v>
      </c>
      <c r="P7" s="53">
        <f>P5*ttokg/Drivers!Q4</f>
        <v>13.76307931326558</v>
      </c>
      <c r="Q7" s="53">
        <f>Q5*ttokg/Drivers!R4</f>
        <v>14.273144855926876</v>
      </c>
      <c r="R7" s="53">
        <f>R5*ttokg/Drivers!S4</f>
        <v>15.100061087370227</v>
      </c>
      <c r="S7" s="53">
        <f>S5*ttokg/Drivers!T4</f>
        <v>17.01400710616301</v>
      </c>
      <c r="T7" s="53">
        <f>T5*ttokg/Drivers!U4</f>
        <v>17.610021254379525</v>
      </c>
      <c r="U7" s="53">
        <f>U5*ttokg/Drivers!V4</f>
        <v>15.407958031534726</v>
      </c>
      <c r="V7" s="53">
        <f>V5*ttokg/Drivers!W4</f>
        <v>15.531822991658519</v>
      </c>
      <c r="W7" s="53">
        <f>W5*ttokg/Drivers!X4</f>
        <v>17.181807184041599</v>
      </c>
      <c r="X7" s="53">
        <f>X5*ttokg/Drivers!Y4</f>
        <v>16.902490054067201</v>
      </c>
      <c r="Y7" s="53">
        <f>Y5*ttokg/Drivers!Z4</f>
        <v>17.641783382799183</v>
      </c>
      <c r="Z7" s="53">
        <f>Z5*ttokg/Drivers!AA4</f>
        <v>17.862840597142682</v>
      </c>
      <c r="AA7" s="53">
        <f>AA5*ttokg/Drivers!AB4</f>
        <v>17.9221917153038</v>
      </c>
      <c r="AB7" s="53">
        <f>AB5*ttokg/Drivers!AC4</f>
        <v>17.850993710448922</v>
      </c>
      <c r="AC7" s="53">
        <f>AC5*ttokg/Drivers!AD4</f>
        <v>17.694624287089685</v>
      </c>
      <c r="AD7" s="53">
        <f>AD5*ttokg/Drivers!AE4</f>
        <v>17.585935507216362</v>
      </c>
      <c r="AE7" s="53">
        <f>AE5*ttokg/Drivers!AF4</f>
        <v>17.508983558874814</v>
      </c>
      <c r="AF7" s="53">
        <f>AF5*ttokg/Drivers!AG4</f>
        <v>17.422162021136934</v>
      </c>
      <c r="AG7" s="53">
        <f>AG5*ttokg/Drivers!AH4</f>
        <v>15.635802699869171</v>
      </c>
      <c r="AH7" s="53">
        <f>AH5*ttokg/Drivers!AI4</f>
        <v>15.795844812038423</v>
      </c>
      <c r="AI7" s="53">
        <f>AI5*ttokg/Drivers!AJ4</f>
        <v>15.968512946328028</v>
      </c>
      <c r="AJ7" s="53">
        <f>AJ5*ttokg/Drivers!AK4</f>
        <v>16.188636013327454</v>
      </c>
      <c r="AK7" s="53">
        <f>AK5*ttokg/Drivers!AL4</f>
        <v>16.433549378701027</v>
      </c>
      <c r="AL7" s="53">
        <f>AL5*ttokg/Drivers!AM4</f>
        <v>16.672684175412378</v>
      </c>
      <c r="AM7" s="53">
        <f>AM5*ttokg/Drivers!AN4</f>
        <v>16.970747888358954</v>
      </c>
      <c r="AN7" s="53">
        <f>AN5*ttokg/Drivers!AO4</f>
        <v>17.284192218482548</v>
      </c>
      <c r="AO7" s="53">
        <f>AO5*ttokg/Drivers!AP4</f>
        <v>17.621695724784143</v>
      </c>
      <c r="AP7" s="53">
        <f>AP5*ttokg/Drivers!AQ4</f>
        <v>17.972518725205859</v>
      </c>
      <c r="AQ7" s="53">
        <f>AQ5*ttokg/Drivers!AR4</f>
        <v>18.244714621758952</v>
      </c>
      <c r="AR7" s="53">
        <f>AR5*ttokg/Drivers!AS4</f>
        <v>18.62376241581617</v>
      </c>
      <c r="AS7" s="53">
        <f>AS5*ttokg/Drivers!AT4</f>
        <v>19.011799815811759</v>
      </c>
      <c r="AT7" s="53">
        <f>AT5*ttokg/Drivers!AU4</f>
        <v>19.412347919897918</v>
      </c>
      <c r="AU7" s="53">
        <f>AU5*ttokg/Drivers!AV4</f>
        <v>19.788835078258121</v>
      </c>
      <c r="AV7" s="53">
        <f>AV5*ttokg/Drivers!AW4</f>
        <v>20.192604887223563</v>
      </c>
      <c r="AW7" s="53">
        <f>AW5*ttokg/Drivers!AX4</f>
        <v>20.624234493205638</v>
      </c>
      <c r="AX7" s="53">
        <f>AX5*ttokg/Drivers!AY4</f>
        <v>21.073948417663352</v>
      </c>
      <c r="AY7" s="53">
        <f>AY5*ttokg/Drivers!AZ4</f>
        <v>21.515917570147565</v>
      </c>
      <c r="AZ7" s="53">
        <f>AZ5*ttokg/Drivers!BA4</f>
        <v>21.976092887763123</v>
      </c>
      <c r="BA7" s="53">
        <f>BA5*ttokg/Drivers!BB4</f>
        <v>22.470197623064422</v>
      </c>
      <c r="BB7" s="53">
        <f>BB5*ttokg/Drivers!BC4</f>
        <v>22.990933428741716</v>
      </c>
      <c r="BC7" s="53">
        <f>BC5*ttokg/Drivers!BD4</f>
        <v>23.536080463275354</v>
      </c>
      <c r="BD7" s="53">
        <f>BD5*ttokg/Drivers!BE4</f>
        <v>24.106797016049743</v>
      </c>
      <c r="BE7" s="53">
        <f>BE5*ttokg/Drivers!BF4</f>
        <v>24.703373833434661</v>
      </c>
      <c r="BF7" s="53">
        <f>BF5*ttokg/Drivers!BG4</f>
        <v>25.332145073005872</v>
      </c>
      <c r="BG7" s="53">
        <f>BG5*ttokg/Drivers!BH4</f>
        <v>25.917770270632609</v>
      </c>
      <c r="BH7" s="53">
        <f>BH5*ttokg/Drivers!BI4</f>
        <v>26.533177921616417</v>
      </c>
      <c r="BI7" s="53">
        <f>BI5*ttokg/Drivers!BJ4</f>
        <v>27.184261838237251</v>
      </c>
      <c r="BJ7" s="53">
        <f>BJ5*ttokg/Drivers!BK4</f>
        <v>27.874282371377248</v>
      </c>
      <c r="BK7" s="53">
        <f>BK5*ttokg/Drivers!BL4</f>
        <v>28.621184480845081</v>
      </c>
    </row>
    <row r="8" spans="1:67" x14ac:dyDescent="0.25">
      <c r="A8" t="s">
        <v>320</v>
      </c>
      <c r="B8" t="s">
        <v>321</v>
      </c>
      <c r="C8" s="22">
        <v>610300</v>
      </c>
      <c r="D8" s="22">
        <v>664900</v>
      </c>
      <c r="E8" s="22">
        <v>703500</v>
      </c>
      <c r="F8" s="22">
        <v>694000</v>
      </c>
      <c r="G8" s="22">
        <v>611200</v>
      </c>
      <c r="H8" s="22">
        <v>507500</v>
      </c>
      <c r="I8" s="22">
        <v>507000</v>
      </c>
      <c r="J8" s="22">
        <v>502400</v>
      </c>
      <c r="K8" s="22">
        <v>496300</v>
      </c>
      <c r="L8" s="22">
        <v>511700</v>
      </c>
      <c r="M8" s="22">
        <v>624600</v>
      </c>
      <c r="N8" s="22">
        <v>524300</v>
      </c>
      <c r="O8" s="22">
        <v>573400</v>
      </c>
      <c r="P8" s="22">
        <v>609700</v>
      </c>
      <c r="Q8" s="22">
        <v>631700</v>
      </c>
      <c r="R8" s="22">
        <v>672300</v>
      </c>
      <c r="S8" s="22">
        <v>808100</v>
      </c>
      <c r="T8" s="22">
        <v>861400</v>
      </c>
      <c r="U8" s="22">
        <v>770200</v>
      </c>
      <c r="V8" s="22">
        <v>796700</v>
      </c>
      <c r="W8" s="22">
        <v>885800</v>
      </c>
      <c r="X8" s="22">
        <v>869500</v>
      </c>
      <c r="Y8" s="22">
        <f>((Data!$AJ$14*'Intermediate calculations'!Y5)+Data!$AK$14)</f>
        <v>922982.16526620812</v>
      </c>
      <c r="Z8" s="22">
        <f>((Data!$AJ$14*'Intermediate calculations'!Z5)+Data!$AK$14)</f>
        <v>952096.18143379269</v>
      </c>
      <c r="AA8" s="22">
        <f>((Data!$AJ$14*'Intermediate calculations'!AA5)+Data!$AK$14)</f>
        <v>972242.56273741252</v>
      </c>
      <c r="AB8" s="22">
        <f>((Data!$AJ$14*'Intermediate calculations'!AB5)+Data!$AK$14)</f>
        <v>984951.24727685214</v>
      </c>
      <c r="AC8" s="22">
        <f>((Data!$AJ$14*'Intermediate calculations'!AC5)+Data!$AK$14)</f>
        <v>992747.28989529121</v>
      </c>
      <c r="AD8" s="22">
        <f>((Data!$AJ$14*'Intermediate calculations'!AD5)+Data!$AK$14)</f>
        <v>1003964.3062152618</v>
      </c>
      <c r="AE8" s="22">
        <f>((Data!$AJ$14*'Intermediate calculations'!AE5)+Data!$AK$14)</f>
        <v>1017280.5307524814</v>
      </c>
      <c r="AF8" s="22">
        <f>((Data!$AJ$14*'Intermediate calculations'!AF5)+Data!$AK$14)</f>
        <v>1030072.27412464</v>
      </c>
      <c r="AG8" s="22">
        <f>((Data!$AJ$14*'Intermediate calculations'!AG5)+Data!$AK$14)</f>
        <v>927809.53610838926</v>
      </c>
      <c r="AH8" s="22">
        <f>((Data!$AJ$14*'Intermediate calculations'!AH5)+Data!$AK$14)</f>
        <v>952897.69287832663</v>
      </c>
      <c r="AI8" s="22">
        <f>((Data!$AJ$14*'Intermediate calculations'!AI5)+Data!$AK$14)</f>
        <v>978323.12112501846</v>
      </c>
      <c r="AJ8" s="22">
        <f>((Data!$AJ$14*'Intermediate calculations'!AJ5)+Data!$AK$14)</f>
        <v>1006503.2113482857</v>
      </c>
      <c r="AK8" s="22">
        <f>((Data!$AJ$14*'Intermediate calculations'!AK5)+Data!$AK$14)</f>
        <v>1036560.5015698953</v>
      </c>
      <c r="AL8" s="22">
        <f>((Data!$AJ$14*'Intermediate calculations'!AL5)+Data!$AK$14)</f>
        <v>1066334.471556176</v>
      </c>
      <c r="AM8" s="22">
        <f>((Data!$AJ$14*'Intermediate calculations'!AM5)+Data!$AK$14)</f>
        <v>1100487.9236000273</v>
      </c>
      <c r="AN8" s="22">
        <f>((Data!$AJ$14*'Intermediate calculations'!AN5)+Data!$AK$14)</f>
        <v>1135933.9116063949</v>
      </c>
      <c r="AO8" s="22">
        <f>((Data!$AJ$14*'Intermediate calculations'!AO5)+Data!$AK$14)</f>
        <v>1173321.99814774</v>
      </c>
      <c r="AP8" s="22">
        <f>((Data!$AJ$14*'Intermediate calculations'!AP5)+Data!$AK$14)</f>
        <v>1211966.7354462184</v>
      </c>
      <c r="AQ8" s="22">
        <f>((Data!$AJ$14*'Intermediate calculations'!AQ5)+Data!$AK$14)</f>
        <v>1244936.268071844</v>
      </c>
      <c r="AR8" s="22">
        <f>((Data!$AJ$14*'Intermediate calculations'!AR5)+Data!$AK$14)</f>
        <v>1286169.2491381012</v>
      </c>
      <c r="AS8" s="22">
        <f>((Data!$AJ$14*'Intermediate calculations'!AS5)+Data!$AK$14)</f>
        <v>1328342.9930732495</v>
      </c>
      <c r="AT8" s="22">
        <f>((Data!$AJ$14*'Intermediate calculations'!AT5)+Data!$AK$14)</f>
        <v>1371722.7712658416</v>
      </c>
      <c r="AU8" s="22">
        <f>((Data!$AJ$14*'Intermediate calculations'!AU5)+Data!$AK$14)</f>
        <v>1413481.1904286952</v>
      </c>
      <c r="AV8" s="22">
        <f>((Data!$AJ$14*'Intermediate calculations'!AV5)+Data!$AK$14)</f>
        <v>1457589.9652155014</v>
      </c>
      <c r="AW8" s="22">
        <f>((Data!$AJ$14*'Intermediate calculations'!AW5)+Data!$AK$14)</f>
        <v>1504120.7005664627</v>
      </c>
      <c r="AX8" s="22">
        <f>((Data!$AJ$14*'Intermediate calculations'!AX5)+Data!$AK$14)</f>
        <v>1552316.2182879776</v>
      </c>
      <c r="AY8" s="22">
        <f>((Data!$AJ$14*'Intermediate calculations'!AY5)+Data!$AK$14)</f>
        <v>1600101.5129233981</v>
      </c>
      <c r="AZ8" s="22">
        <f>((Data!$AJ$14*'Intermediate calculations'!AZ5)+Data!$AK$14)</f>
        <v>1649574.5481598848</v>
      </c>
      <c r="BA8" s="22">
        <f>((Data!$AJ$14*'Intermediate calculations'!BA5)+Data!$AK$14)</f>
        <v>1702022.6372737759</v>
      </c>
      <c r="BB8" s="22">
        <f>((Data!$AJ$14*'Intermediate calculations'!BB5)+Data!$AK$14)</f>
        <v>1756873.7270840961</v>
      </c>
      <c r="BC8" s="22">
        <f>((Data!$AJ$14*'Intermediate calculations'!BC5)+Data!$AK$14)</f>
        <v>1813956.8807902399</v>
      </c>
      <c r="BD8" s="22">
        <f>((Data!$AJ$14*'Intermediate calculations'!BD5)+Data!$AK$14)</f>
        <v>1873374.7475453392</v>
      </c>
      <c r="BE8" s="22">
        <f>((Data!$AJ$14*'Intermediate calculations'!BE5)+Data!$AK$14)</f>
        <v>1935158.630688024</v>
      </c>
      <c r="BF8" s="22">
        <f>((Data!$AJ$14*'Intermediate calculations'!BF5)+Data!$AK$14)</f>
        <v>1999844.4745617718</v>
      </c>
      <c r="BG8" s="22">
        <f>((Data!$AJ$14*'Intermediate calculations'!BG5)+Data!$AK$14)</f>
        <v>2061066.7611019942</v>
      </c>
      <c r="BH8" s="22">
        <f>((Data!$AJ$14*'Intermediate calculations'!BH5)+Data!$AK$14)</f>
        <v>2124932.7487360542</v>
      </c>
      <c r="BI8" s="22">
        <f>((Data!$AJ$14*'Intermediate calculations'!BI5)+Data!$AK$14)</f>
        <v>2191948.3168894234</v>
      </c>
      <c r="BJ8" s="22">
        <f>((Data!$AJ$14*'Intermediate calculations'!BJ5)+Data!$AK$14)</f>
        <v>2262393.0191747583</v>
      </c>
      <c r="BK8" s="22">
        <f>((Data!$AJ$14*'Intermediate calculations'!BK5)+Data!$AK$14)</f>
        <v>2337820.3882776024</v>
      </c>
    </row>
    <row r="9" spans="1:67" x14ac:dyDescent="0.25">
      <c r="A9" t="s">
        <v>845</v>
      </c>
      <c r="B9" t="s">
        <v>321</v>
      </c>
      <c r="C9" s="22">
        <f>C8*0.65</f>
        <v>396695</v>
      </c>
      <c r="D9" s="22">
        <f t="shared" ref="D9:X9" si="0">D8*0.65</f>
        <v>432185</v>
      </c>
      <c r="E9" s="22">
        <f t="shared" si="0"/>
        <v>457275</v>
      </c>
      <c r="F9" s="22">
        <f t="shared" si="0"/>
        <v>451100</v>
      </c>
      <c r="G9" s="22">
        <f t="shared" si="0"/>
        <v>397280</v>
      </c>
      <c r="H9" s="22">
        <f t="shared" si="0"/>
        <v>329875</v>
      </c>
      <c r="I9" s="22">
        <f t="shared" si="0"/>
        <v>329550</v>
      </c>
      <c r="J9" s="22">
        <f t="shared" si="0"/>
        <v>326560</v>
      </c>
      <c r="K9" s="22">
        <f t="shared" si="0"/>
        <v>322595</v>
      </c>
      <c r="L9" s="22">
        <f t="shared" si="0"/>
        <v>332605</v>
      </c>
      <c r="M9" s="22">
        <f t="shared" si="0"/>
        <v>405990</v>
      </c>
      <c r="N9" s="22">
        <f t="shared" si="0"/>
        <v>340795</v>
      </c>
      <c r="O9" s="22">
        <f t="shared" si="0"/>
        <v>372710</v>
      </c>
      <c r="P9" s="22">
        <f t="shared" si="0"/>
        <v>396305</v>
      </c>
      <c r="Q9" s="22">
        <f t="shared" si="0"/>
        <v>410605</v>
      </c>
      <c r="R9" s="22">
        <f t="shared" si="0"/>
        <v>436995</v>
      </c>
      <c r="S9" s="22">
        <f t="shared" si="0"/>
        <v>525265</v>
      </c>
      <c r="T9" s="22">
        <f t="shared" si="0"/>
        <v>559910</v>
      </c>
      <c r="U9" s="22">
        <f t="shared" si="0"/>
        <v>500630</v>
      </c>
      <c r="V9" s="22">
        <f t="shared" si="0"/>
        <v>517855</v>
      </c>
      <c r="W9" s="22">
        <f t="shared" si="0"/>
        <v>575770</v>
      </c>
      <c r="X9" s="22">
        <f t="shared" si="0"/>
        <v>565175</v>
      </c>
      <c r="Y9" s="22">
        <f t="shared" ref="Y9:BK9" si="1">Y8*Y63</f>
        <v>646087.51568634564</v>
      </c>
      <c r="Z9" s="22">
        <f t="shared" si="1"/>
        <v>671227.80791082385</v>
      </c>
      <c r="AA9" s="22">
        <f t="shared" si="1"/>
        <v>690292.21954356285</v>
      </c>
      <c r="AB9" s="22">
        <f t="shared" si="1"/>
        <v>704240.14180294925</v>
      </c>
      <c r="AC9" s="22">
        <f t="shared" si="1"/>
        <v>714778.04872460966</v>
      </c>
      <c r="AD9" s="22">
        <f t="shared" si="1"/>
        <v>727874.12200606475</v>
      </c>
      <c r="AE9" s="22">
        <f t="shared" si="1"/>
        <v>742614.78744931147</v>
      </c>
      <c r="AF9" s="22">
        <f t="shared" si="1"/>
        <v>757103.12148161046</v>
      </c>
      <c r="AG9" s="22">
        <f t="shared" si="1"/>
        <v>686579.05672020803</v>
      </c>
      <c r="AH9" s="22">
        <f t="shared" si="1"/>
        <v>707050.08811571833</v>
      </c>
      <c r="AI9" s="22">
        <f t="shared" si="1"/>
        <v>727872.4021170137</v>
      </c>
      <c r="AJ9" s="22">
        <f t="shared" si="1"/>
        <v>750851.39566582115</v>
      </c>
      <c r="AK9" s="22">
        <f t="shared" si="1"/>
        <v>775347.25517428166</v>
      </c>
      <c r="AL9" s="22">
        <f t="shared" si="1"/>
        <v>799750.85366713197</v>
      </c>
      <c r="AM9" s="22">
        <f t="shared" si="1"/>
        <v>827566.91854722053</v>
      </c>
      <c r="AN9" s="22">
        <f t="shared" si="1"/>
        <v>856494.16935122176</v>
      </c>
      <c r="AO9" s="22">
        <f t="shared" si="1"/>
        <v>887031.43059969146</v>
      </c>
      <c r="AP9" s="22">
        <f t="shared" si="1"/>
        <v>918670.78546823352</v>
      </c>
      <c r="AQ9" s="22">
        <f t="shared" si="1"/>
        <v>946151.56373460148</v>
      </c>
      <c r="AR9" s="22">
        <f t="shared" si="1"/>
        <v>982633.30634150933</v>
      </c>
      <c r="AS9" s="22">
        <f t="shared" si="1"/>
        <v>1020167.4186802557</v>
      </c>
      <c r="AT9" s="22">
        <f t="shared" si="1"/>
        <v>1058969.9794172298</v>
      </c>
      <c r="AU9" s="22">
        <f t="shared" si="1"/>
        <v>1096861.4037726675</v>
      </c>
      <c r="AV9" s="22">
        <f t="shared" si="1"/>
        <v>1136920.1728680911</v>
      </c>
      <c r="AW9" s="22">
        <f t="shared" si="1"/>
        <v>1179230.6292441068</v>
      </c>
      <c r="AX9" s="22">
        <f t="shared" si="1"/>
        <v>1223225.1800109264</v>
      </c>
      <c r="AY9" s="22">
        <f t="shared" si="1"/>
        <v>1267280.3982353313</v>
      </c>
      <c r="AZ9" s="22">
        <f t="shared" si="1"/>
        <v>1313061.3403352683</v>
      </c>
      <c r="BA9" s="22">
        <f t="shared" si="1"/>
        <v>1361618.1098190208</v>
      </c>
      <c r="BB9" s="22">
        <f t="shared" si="1"/>
        <v>1410769.6028485291</v>
      </c>
      <c r="BC9" s="22">
        <f t="shared" si="1"/>
        <v>1462049.2459169335</v>
      </c>
      <c r="BD9" s="22">
        <f t="shared" si="1"/>
        <v>1515560.1707641794</v>
      </c>
      <c r="BE9" s="22">
        <f t="shared" si="1"/>
        <v>1571348.8081186756</v>
      </c>
      <c r="BF9" s="22">
        <f t="shared" si="1"/>
        <v>1629873.2467678441</v>
      </c>
      <c r="BG9" s="22">
        <f t="shared" si="1"/>
        <v>1685952.6105814313</v>
      </c>
      <c r="BH9" s="22">
        <f t="shared" si="1"/>
        <v>1744569.7867123005</v>
      </c>
      <c r="BI9" s="22">
        <f t="shared" si="1"/>
        <v>1806165.4131168851</v>
      </c>
      <c r="BJ9" s="22">
        <f t="shared" si="1"/>
        <v>1870999.0268575253</v>
      </c>
      <c r="BK9" s="22">
        <f t="shared" si="1"/>
        <v>1940390.92227041</v>
      </c>
    </row>
    <row r="10" spans="1:67" x14ac:dyDescent="0.25">
      <c r="A10" t="s">
        <v>846</v>
      </c>
      <c r="B10" t="s">
        <v>321</v>
      </c>
      <c r="C10" s="22">
        <f t="shared" ref="C10:AH10" si="2">C8-C9</f>
        <v>213605</v>
      </c>
      <c r="D10" s="22">
        <f t="shared" si="2"/>
        <v>232715</v>
      </c>
      <c r="E10" s="22">
        <f t="shared" si="2"/>
        <v>246225</v>
      </c>
      <c r="F10" s="22">
        <f t="shared" si="2"/>
        <v>242900</v>
      </c>
      <c r="G10" s="22">
        <f t="shared" si="2"/>
        <v>213920</v>
      </c>
      <c r="H10" s="22">
        <f t="shared" si="2"/>
        <v>177625</v>
      </c>
      <c r="I10" s="22">
        <f t="shared" si="2"/>
        <v>177450</v>
      </c>
      <c r="J10" s="22">
        <f t="shared" si="2"/>
        <v>175840</v>
      </c>
      <c r="K10" s="22">
        <f t="shared" si="2"/>
        <v>173705</v>
      </c>
      <c r="L10" s="22">
        <f t="shared" si="2"/>
        <v>179095</v>
      </c>
      <c r="M10" s="22">
        <f t="shared" si="2"/>
        <v>218610</v>
      </c>
      <c r="N10" s="22">
        <f t="shared" si="2"/>
        <v>183505</v>
      </c>
      <c r="O10" s="22">
        <f t="shared" si="2"/>
        <v>200690</v>
      </c>
      <c r="P10" s="22">
        <f t="shared" si="2"/>
        <v>213395</v>
      </c>
      <c r="Q10" s="22">
        <f t="shared" si="2"/>
        <v>221095</v>
      </c>
      <c r="R10" s="22">
        <f t="shared" si="2"/>
        <v>235305</v>
      </c>
      <c r="S10" s="22">
        <f t="shared" si="2"/>
        <v>282835</v>
      </c>
      <c r="T10" s="22">
        <f t="shared" si="2"/>
        <v>301490</v>
      </c>
      <c r="U10" s="22">
        <f t="shared" si="2"/>
        <v>269570</v>
      </c>
      <c r="V10" s="22">
        <f t="shared" si="2"/>
        <v>278845</v>
      </c>
      <c r="W10" s="22">
        <f t="shared" si="2"/>
        <v>310030</v>
      </c>
      <c r="X10" s="22">
        <f t="shared" si="2"/>
        <v>304325</v>
      </c>
      <c r="Y10" s="22">
        <f t="shared" si="2"/>
        <v>276894.64957986248</v>
      </c>
      <c r="Z10" s="22">
        <f t="shared" si="2"/>
        <v>280868.37352296885</v>
      </c>
      <c r="AA10" s="22">
        <f t="shared" si="2"/>
        <v>281950.34319384967</v>
      </c>
      <c r="AB10" s="22">
        <f t="shared" si="2"/>
        <v>280711.10547390289</v>
      </c>
      <c r="AC10" s="22">
        <f t="shared" si="2"/>
        <v>277969.24117068155</v>
      </c>
      <c r="AD10" s="22">
        <f t="shared" si="2"/>
        <v>276090.18420919706</v>
      </c>
      <c r="AE10" s="22">
        <f t="shared" si="2"/>
        <v>274665.74330316996</v>
      </c>
      <c r="AF10" s="22">
        <f t="shared" si="2"/>
        <v>272969.15264302958</v>
      </c>
      <c r="AG10" s="22">
        <f t="shared" si="2"/>
        <v>241230.47938818124</v>
      </c>
      <c r="AH10" s="22">
        <f t="shared" si="2"/>
        <v>245847.6047626083</v>
      </c>
      <c r="AI10" s="22">
        <f t="shared" ref="AI10:BK10" si="3">AI8-AI9</f>
        <v>250450.71900800476</v>
      </c>
      <c r="AJ10" s="22">
        <f t="shared" si="3"/>
        <v>255651.81568246451</v>
      </c>
      <c r="AK10" s="22">
        <f t="shared" si="3"/>
        <v>261213.24639561365</v>
      </c>
      <c r="AL10" s="22">
        <f t="shared" si="3"/>
        <v>266583.61788904399</v>
      </c>
      <c r="AM10" s="22">
        <f t="shared" si="3"/>
        <v>272921.00505280681</v>
      </c>
      <c r="AN10" s="22">
        <f t="shared" si="3"/>
        <v>279439.74225517316</v>
      </c>
      <c r="AO10" s="22">
        <f t="shared" si="3"/>
        <v>286290.56754804857</v>
      </c>
      <c r="AP10" s="22">
        <f t="shared" si="3"/>
        <v>293295.94997798488</v>
      </c>
      <c r="AQ10" s="22">
        <f t="shared" si="3"/>
        <v>298784.70433724253</v>
      </c>
      <c r="AR10" s="22">
        <f t="shared" si="3"/>
        <v>303535.9427965919</v>
      </c>
      <c r="AS10" s="22">
        <f t="shared" si="3"/>
        <v>308175.57439299382</v>
      </c>
      <c r="AT10" s="22">
        <f t="shared" si="3"/>
        <v>312752.79184861179</v>
      </c>
      <c r="AU10" s="22">
        <f t="shared" si="3"/>
        <v>316619.78665602766</v>
      </c>
      <c r="AV10" s="22">
        <f t="shared" si="3"/>
        <v>320669.79234741023</v>
      </c>
      <c r="AW10" s="22">
        <f t="shared" si="3"/>
        <v>324890.07132235589</v>
      </c>
      <c r="AX10" s="22">
        <f t="shared" si="3"/>
        <v>329091.03827705118</v>
      </c>
      <c r="AY10" s="22">
        <f t="shared" si="3"/>
        <v>332821.11468806677</v>
      </c>
      <c r="AZ10" s="22">
        <f t="shared" si="3"/>
        <v>336513.20782461646</v>
      </c>
      <c r="BA10" s="22">
        <f t="shared" si="3"/>
        <v>340404.52745475504</v>
      </c>
      <c r="BB10" s="22">
        <f t="shared" si="3"/>
        <v>346104.12423556694</v>
      </c>
      <c r="BC10" s="22">
        <f t="shared" si="3"/>
        <v>351907.63487330638</v>
      </c>
      <c r="BD10" s="22">
        <f t="shared" si="3"/>
        <v>357814.57678115973</v>
      </c>
      <c r="BE10" s="22">
        <f t="shared" si="3"/>
        <v>363809.82256934838</v>
      </c>
      <c r="BF10" s="22">
        <f t="shared" si="3"/>
        <v>369971.22779392777</v>
      </c>
      <c r="BG10" s="22">
        <f t="shared" si="3"/>
        <v>375114.15052056289</v>
      </c>
      <c r="BH10" s="22">
        <f t="shared" si="3"/>
        <v>380362.96202375367</v>
      </c>
      <c r="BI10" s="22">
        <f t="shared" si="3"/>
        <v>385782.9037725383</v>
      </c>
      <c r="BJ10" s="22">
        <f t="shared" si="3"/>
        <v>391393.992317233</v>
      </c>
      <c r="BK10" s="22">
        <f t="shared" si="3"/>
        <v>397429.46600719239</v>
      </c>
    </row>
    <row r="11" spans="1:67" x14ac:dyDescent="0.25">
      <c r="A11" t="s">
        <v>847</v>
      </c>
      <c r="B11" t="s">
        <v>815</v>
      </c>
      <c r="C11" s="22">
        <f>Data!C15</f>
        <v>53.402776152243625</v>
      </c>
      <c r="D11" s="22">
        <f>Data!D15</f>
        <v>48.956276991169453</v>
      </c>
      <c r="E11" s="22">
        <f>Data!E15</f>
        <v>47.194598436389484</v>
      </c>
      <c r="F11" s="22">
        <f>Data!F15</f>
        <v>45.863112391930834</v>
      </c>
      <c r="G11" s="22">
        <f>Data!G15</f>
        <v>49.897391548242332</v>
      </c>
      <c r="H11" s="22">
        <f>Data!H15</f>
        <v>60.053089373680507</v>
      </c>
      <c r="I11" s="22">
        <f>Data!I15</f>
        <v>62.291011552550017</v>
      </c>
      <c r="J11" s="22">
        <f>Data!J15</f>
        <v>65.440741583257505</v>
      </c>
      <c r="K11" s="22">
        <f>Data!K15</f>
        <v>68.203390806251974</v>
      </c>
      <c r="L11" s="22">
        <f>Data!L15</f>
        <v>66.6343560680086</v>
      </c>
      <c r="M11" s="22">
        <f>Data!M15</f>
        <v>51.89867801106994</v>
      </c>
      <c r="N11" s="22">
        <f>Data!N15</f>
        <v>61.355058445273968</v>
      </c>
      <c r="O11" s="22">
        <f>Data!O15</f>
        <v>57.102047934625539</v>
      </c>
      <c r="P11" s="22">
        <f>Data!P15</f>
        <v>55.049415403359966</v>
      </c>
      <c r="Q11" s="22">
        <f>Data!Q15</f>
        <v>52.98274497388001</v>
      </c>
      <c r="R11" s="22">
        <f>Data!R15</f>
        <v>49.327893584921696</v>
      </c>
      <c r="S11" s="22">
        <f>Data!S15</f>
        <v>41.133098803189135</v>
      </c>
      <c r="T11" s="22">
        <f>Data!T15</f>
        <v>39.914690371156588</v>
      </c>
      <c r="U11" s="22">
        <f>Data!U15</f>
        <v>43.655274140297507</v>
      </c>
      <c r="V11" s="22">
        <f>Data!V15</f>
        <v>41.61781844154757</v>
      </c>
      <c r="W11" s="22">
        <f>Data!W15</f>
        <v>37.11227193067338</v>
      </c>
      <c r="X11" s="22">
        <f>Data!X15</f>
        <v>37.868331005777812</v>
      </c>
      <c r="Y11" s="22">
        <f>((Data!$AJ$15*LN('Intermediate calculations'!Y2))+Data!$AK$15)</f>
        <v>40.799938770595602</v>
      </c>
      <c r="Z11" s="22">
        <f>((Data!$AJ$15*LN('Intermediate calculations'!Z2))+Data!$AK$15)</f>
        <v>40.0802255082396</v>
      </c>
      <c r="AA11" s="22">
        <f>((Data!$AJ$15*LN('Intermediate calculations'!AA2))+Data!$AK$15)</f>
        <v>39.404158818493208</v>
      </c>
      <c r="AB11" s="22">
        <f>((Data!$AJ$15*LN('Intermediate calculations'!AB2))+Data!$AK$15)</f>
        <v>38.766746188474087</v>
      </c>
      <c r="AC11" s="22">
        <f>((Data!$AJ$15*LN('Intermediate calculations'!AC2))+Data!$AK$15)</f>
        <v>38.163805564470529</v>
      </c>
      <c r="AD11" s="22">
        <f>((Data!$AJ$15*LN('Intermediate calculations'!AD2))+Data!$AK$15)</f>
        <v>37.591798899459427</v>
      </c>
      <c r="AE11" s="22">
        <f>((Data!$AJ$15*LN('Intermediate calculations'!AE2))+Data!$AK$15)</f>
        <v>37.047706354320134</v>
      </c>
      <c r="AF11" s="22">
        <f>((Data!$AJ$15*LN('Intermediate calculations'!AF2))+Data!$AK$15)</f>
        <v>36.528929790691222</v>
      </c>
      <c r="AG11" s="22">
        <f>((Data!$AJ$15*LN('Intermediate calculations'!AG2))+Data!$AK$15)</f>
        <v>36.033217733869627</v>
      </c>
      <c r="AH11" s="22">
        <f>((Data!$AJ$15*LN('Intermediate calculations'!AH2))+Data!$AK$15)</f>
        <v>35.558606317337905</v>
      </c>
      <c r="AI11" s="22">
        <f>((Data!$AJ$15*LN('Intermediate calculations'!AI2))+Data!$AK$15)</f>
        <v>35.103372290679246</v>
      </c>
      <c r="AJ11" s="22">
        <f>((Data!$AJ$15*LN('Intermediate calculations'!AJ2))+Data!$AK$15)</f>
        <v>34.665995249527235</v>
      </c>
      <c r="AK11" s="22">
        <f>((Data!$AJ$15*LN('Intermediate calculations'!AK2))+Data!$AK$15)</f>
        <v>34.245126997572392</v>
      </c>
      <c r="AL11" s="22">
        <f>((Data!$AJ$15*LN('Intermediate calculations'!AL2))+Data!$AK$15)</f>
        <v>33.839566483183951</v>
      </c>
      <c r="AM11" s="22">
        <f>((Data!$AJ$15*LN('Intermediate calculations'!AM2))+Data!$AK$15)</f>
        <v>33.448239136095971</v>
      </c>
      <c r="AN11" s="22">
        <f>((Data!$AJ$15*LN('Intermediate calculations'!AN2))+Data!$AK$15)</f>
        <v>33.070179708557724</v>
      </c>
      <c r="AO11" s="22">
        <f>((Data!$AJ$15*LN('Intermediate calculations'!AO2))+Data!$AK$15)</f>
        <v>32.704517931063542</v>
      </c>
      <c r="AP11" s="22">
        <f>((Data!$AJ$15*LN('Intermediate calculations'!AP2))+Data!$AK$15)</f>
        <v>32.350466446201722</v>
      </c>
      <c r="AQ11" s="22">
        <f>((Data!$AJ$15*LN('Intermediate calculations'!AQ2))+Data!$AK$15)</f>
        <v>32.007310599789527</v>
      </c>
      <c r="AR11" s="22">
        <f>((Data!$AJ$15*LN('Intermediate calculations'!AR2))+Data!$AK$15)</f>
        <v>31.67439975645533</v>
      </c>
      <c r="AS11" s="22">
        <f>((Data!$AJ$15*LN('Intermediate calculations'!AS2))+Data!$AK$15)</f>
        <v>31.351139874403778</v>
      </c>
      <c r="AT11" s="22">
        <f>((Data!$AJ$15*LN('Intermediate calculations'!AT2))+Data!$AK$15)</f>
        <v>31.036987126436209</v>
      </c>
      <c r="AU11" s="22">
        <f>((Data!$AJ$15*LN('Intermediate calculations'!AU2))+Data!$AK$15)</f>
        <v>30.731442395157018</v>
      </c>
      <c r="AV11" s="22">
        <f>((Data!$AJ$15*LN('Intermediate calculations'!AV2))+Data!$AK$15)</f>
        <v>30.434046502432651</v>
      </c>
      <c r="AW11" s="22">
        <f>((Data!$AJ$15*LN('Intermediate calculations'!AW2))+Data!$AK$15)</f>
        <v>30.144376058625546</v>
      </c>
      <c r="AX11" s="22">
        <f>((Data!$AJ$15*LN('Intermediate calculations'!AX2))+Data!$AK$15)</f>
        <v>29.862039837421548</v>
      </c>
      <c r="AY11" s="22">
        <f>((Data!$AJ$15*LN('Intermediate calculations'!AY2))+Data!$AK$15)</f>
        <v>29.586675598355278</v>
      </c>
      <c r="AZ11" s="22">
        <f>((Data!$AJ$15*LN('Intermediate calculations'!AZ2))+Data!$AK$15)</f>
        <v>29.317947292282255</v>
      </c>
      <c r="BA11" s="22">
        <f>((Data!$AJ$15*LN('Intermediate calculations'!BA2))+Data!$AK$15)</f>
        <v>29.055542595715828</v>
      </c>
      <c r="BB11" s="22">
        <f>((Data!$AJ$15*LN('Intermediate calculations'!BB2))+Data!$AK$15)</f>
        <v>28.799170728653344</v>
      </c>
      <c r="BC11" s="22">
        <f>((Data!$AJ$15*LN('Intermediate calculations'!BC2))+Data!$AK$15)</f>
        <v>28.548560517656036</v>
      </c>
      <c r="BD11" s="22">
        <f>((Data!$AJ$15*LN('Intermediate calculations'!BD2))+Data!$AK$15)</f>
        <v>28.303458671831748</v>
      </c>
      <c r="BE11" s="22">
        <f>((Data!$AJ$15*LN('Intermediate calculations'!BE2))+Data!$AK$15)</f>
        <v>28.063628244241329</v>
      </c>
      <c r="BF11" s="22">
        <f>((Data!$AJ$15*LN('Intermediate calculations'!BF2))+Data!$AK$15)</f>
        <v>27.828847255300026</v>
      </c>
      <c r="BG11" s="22">
        <f>((Data!$AJ$15*LN('Intermediate calculations'!BG2))+Data!$AK$15)</f>
        <v>27.598907458128302</v>
      </c>
      <c r="BH11" s="22">
        <f>((Data!$AJ$15*LN('Intermediate calculations'!BH2))+Data!$AK$15)</f>
        <v>27.373613228641368</v>
      </c>
      <c r="BI11" s="22">
        <f>((Data!$AJ$15*LN('Intermediate calculations'!BI2))+Data!$AK$15)</f>
        <v>27.152780565553641</v>
      </c>
      <c r="BJ11" s="22">
        <f>((Data!$AJ$15*LN('Intermediate calculations'!BJ2))+Data!$AK$15)</f>
        <v>26.936236187489357</v>
      </c>
      <c r="BK11" s="22">
        <f>((Data!$AJ$15*LN('Intermediate calculations'!BK2))+Data!$AK$15)</f>
        <v>26.723816716099101</v>
      </c>
    </row>
    <row r="12" spans="1:67" x14ac:dyDescent="0.25">
      <c r="A12" t="s">
        <v>328</v>
      </c>
      <c r="B12" t="s">
        <v>321</v>
      </c>
      <c r="C12" s="22">
        <v>1167000</v>
      </c>
      <c r="D12" s="22">
        <v>1153000</v>
      </c>
      <c r="E12" s="22">
        <v>1174000</v>
      </c>
      <c r="F12" s="22">
        <v>1092000</v>
      </c>
      <c r="G12" s="22">
        <v>1088000</v>
      </c>
      <c r="H12" s="22">
        <v>1397000</v>
      </c>
      <c r="I12" s="22">
        <v>1487000</v>
      </c>
      <c r="J12" s="22">
        <v>1571000</v>
      </c>
      <c r="K12" s="22">
        <v>1608000</v>
      </c>
      <c r="L12" s="22">
        <v>1606000</v>
      </c>
      <c r="M12" s="22">
        <v>1284000</v>
      </c>
      <c r="N12" s="22">
        <v>1575000</v>
      </c>
      <c r="O12" s="22">
        <v>1611000</v>
      </c>
      <c r="P12" s="22">
        <v>1528000</v>
      </c>
      <c r="Q12" s="22">
        <v>1626000</v>
      </c>
      <c r="R12" s="22">
        <v>1835000</v>
      </c>
      <c r="S12" s="22">
        <v>1697000</v>
      </c>
      <c r="T12" s="22">
        <v>1799000</v>
      </c>
      <c r="U12" s="22">
        <v>1819000</v>
      </c>
      <c r="V12" s="22">
        <v>1788000</v>
      </c>
      <c r="W12" s="22">
        <v>1868000</v>
      </c>
      <c r="X12" s="22">
        <v>1852000</v>
      </c>
      <c r="Y12" s="22">
        <f>((Data!$AJ$6*'Intermediate calculations'!Y4)+Data!$AK$6)*Drivers!Z4</f>
        <v>1955063.745268503</v>
      </c>
      <c r="Z12" s="22">
        <f>((Data!$AJ$6*'Intermediate calculations'!Z4)+Data!$AK$6)*Drivers!AA4</f>
        <v>1996394.9636785376</v>
      </c>
      <c r="AA12" s="22">
        <f>((Data!$AJ$6*'Intermediate calculations'!AA4)+Data!$AK$6)*Drivers!AB4</f>
        <v>2030102.6395845911</v>
      </c>
      <c r="AB12" s="22">
        <f>((Data!$AJ$6*'Intermediate calculations'!AB4)+Data!$AK$6)*Drivers!AC4</f>
        <v>2057602.7168089268</v>
      </c>
      <c r="AC12" s="22">
        <f>((Data!$AJ$6*'Intermediate calculations'!AC4)+Data!$AK$6)*Drivers!AD4</f>
        <v>2081219.3270885614</v>
      </c>
      <c r="AD12" s="22">
        <f>((Data!$AJ$6*'Intermediate calculations'!AD4)+Data!$AK$6)*Drivers!AE4</f>
        <v>2108572.6774735837</v>
      </c>
      <c r="AE12" s="22">
        <f>((Data!$AJ$6*'Intermediate calculations'!AE4)+Data!$AK$6)*Drivers!AF4</f>
        <v>2138068.3438430508</v>
      </c>
      <c r="AF12" s="22">
        <f>((Data!$AJ$6*'Intermediate calculations'!AF4)+Data!$AK$6)*Drivers!AG4</f>
        <v>2167366.5932653933</v>
      </c>
      <c r="AG12" s="22">
        <f>((Data!$AJ$6*'Intermediate calculations'!AG4)+Data!$AK$6)*Drivers!AH4</f>
        <v>2092068.8109308924</v>
      </c>
      <c r="AH12" s="22">
        <f>((Data!$AJ$6*'Intermediate calculations'!AH4)+Data!$AK$6)*Drivers!AI4</f>
        <v>2129924.4045861065</v>
      </c>
      <c r="AI12" s="22">
        <f>((Data!$AJ$6*'Intermediate calculations'!AI4)+Data!$AK$6)*Drivers!AJ4</f>
        <v>2167223.9134665984</v>
      </c>
      <c r="AJ12" s="22">
        <f>((Data!$AJ$6*'Intermediate calculations'!AJ4)+Data!$AK$6)*Drivers!AK4</f>
        <v>2206133.1820241613</v>
      </c>
      <c r="AK12" s="22">
        <f>((Data!$AJ$6*'Intermediate calculations'!AK4)+Data!$AK$6)*Drivers!AL4</f>
        <v>2246515.2281930288</v>
      </c>
      <c r="AL12" s="22">
        <f>((Data!$AJ$6*'Intermediate calculations'!AL4)+Data!$AK$6)*Drivers!AM4</f>
        <v>2286389.1784633594</v>
      </c>
      <c r="AM12" s="22">
        <f>((Data!$AJ$6*'Intermediate calculations'!AM4)+Data!$AK$6)*Drivers!AN4</f>
        <v>2329994.27714684</v>
      </c>
      <c r="AN12" s="22">
        <f>((Data!$AJ$6*'Intermediate calculations'!AN4)+Data!$AK$6)*Drivers!AO4</f>
        <v>2374505.3959762217</v>
      </c>
      <c r="AO12" s="22">
        <f>((Data!$AJ$6*'Intermediate calculations'!AO4)+Data!$AK$6)*Drivers!AP4</f>
        <v>2420503.6822863119</v>
      </c>
      <c r="AP12" s="22">
        <f>((Data!$AJ$6*'Intermediate calculations'!AP4)+Data!$AK$6)*Drivers!AQ4</f>
        <v>2467441.0028323755</v>
      </c>
      <c r="AQ12" s="22">
        <f>((Data!$AJ$6*'Intermediate calculations'!AQ4)+Data!$AK$6)*Drivers!AR4</f>
        <v>2508990.2587746871</v>
      </c>
      <c r="AR12" s="22">
        <f>((Data!$AJ$6*'Intermediate calculations'!AR4)+Data!$AK$6)*Drivers!AS4</f>
        <v>2557849.5597571605</v>
      </c>
      <c r="AS12" s="22">
        <f>((Data!$AJ$6*'Intermediate calculations'!AS4)+Data!$AK$6)*Drivers!AT4</f>
        <v>2607335.7220662851</v>
      </c>
      <c r="AT12" s="22">
        <f>((Data!$AJ$6*'Intermediate calculations'!AT4)+Data!$AK$6)*Drivers!AU4</f>
        <v>2657682.6927721025</v>
      </c>
      <c r="AU12" s="22">
        <f>((Data!$AJ$6*'Intermediate calculations'!AU4)+Data!$AK$6)*Drivers!AV4</f>
        <v>2706330.8272868153</v>
      </c>
      <c r="AV12" s="22">
        <f>((Data!$AJ$6*'Intermediate calculations'!AV4)+Data!$AK$6)*Drivers!AW4</f>
        <v>2756893.653985085</v>
      </c>
      <c r="AW12" s="22">
        <f>((Data!$AJ$6*'Intermediate calculations'!AW4)+Data!$AK$6)*Drivers!AX4</f>
        <v>2809429.5493068118</v>
      </c>
      <c r="AX12" s="22">
        <f>((Data!$AJ$6*'Intermediate calculations'!AX4)+Data!$AK$6)*Drivers!AY4</f>
        <v>2863241.5024576378</v>
      </c>
      <c r="AY12" s="22">
        <f>((Data!$AJ$6*'Intermediate calculations'!AY4)+Data!$AK$6)*Drivers!AZ4</f>
        <v>2916431.3205247303</v>
      </c>
      <c r="AZ12" s="22">
        <f>((Data!$AJ$6*'Intermediate calculations'!AZ4)+Data!$AK$6)*Drivers!BA4</f>
        <v>2970932.4564315635</v>
      </c>
      <c r="BA12" s="22">
        <f>((Data!$AJ$6*'Intermediate calculations'!BA4)+Data!$AK$6)*Drivers!BB4</f>
        <v>3027912.5754374629</v>
      </c>
      <c r="BB12" s="22">
        <f>((Data!$AJ$6*'Intermediate calculations'!BB4)+Data!$AK$6)*Drivers!BC4</f>
        <v>3086844.4961978476</v>
      </c>
      <c r="BC12" s="22">
        <f>((Data!$AJ$6*'Intermediate calculations'!BC4)+Data!$AK$6)*Drivers!BD4</f>
        <v>3147566.8055549329</v>
      </c>
      <c r="BD12" s="22">
        <f>((Data!$AJ$6*'Intermediate calculations'!BD4)+Data!$AK$6)*Drivers!BE4</f>
        <v>3210167.6102675856</v>
      </c>
      <c r="BE12" s="22">
        <f>((Data!$AJ$6*'Intermediate calculations'!BE4)+Data!$AK$6)*Drivers!BF4</f>
        <v>3274671.2539074002</v>
      </c>
      <c r="BF12" s="22">
        <f>((Data!$AJ$6*'Intermediate calculations'!BF4)+Data!$AK$6)*Drivers!BG4</f>
        <v>3341561.1124921697</v>
      </c>
      <c r="BG12" s="22">
        <f>((Data!$AJ$6*'Intermediate calculations'!BG4)+Data!$AK$6)*Drivers!BH4</f>
        <v>3405029.4733486683</v>
      </c>
      <c r="BH12" s="22">
        <f>((Data!$AJ$6*'Intermediate calculations'!BH4)+Data!$AK$6)*Drivers!BI4</f>
        <v>3470638.6916051419</v>
      </c>
      <c r="BI12" s="22">
        <f>((Data!$AJ$6*'Intermediate calculations'!BI4)+Data!$AK$6)*Drivers!BJ4</f>
        <v>3538845.1730654715</v>
      </c>
      <c r="BJ12" s="22">
        <f>((Data!$AJ$6*'Intermediate calculations'!BJ4)+Data!$AK$6)*Drivers!BK4</f>
        <v>3609895.3294467768</v>
      </c>
      <c r="BK12" s="22">
        <f>((Data!$AJ$6*'Intermediate calculations'!BK4)+Data!$AK$6)*Drivers!BL4</f>
        <v>3685200.8472240181</v>
      </c>
    </row>
    <row r="13" spans="1:67" x14ac:dyDescent="0.25">
      <c r="A13" t="s">
        <v>328</v>
      </c>
      <c r="B13" t="s">
        <v>663</v>
      </c>
      <c r="C13" s="53">
        <f>C12*ttokg/Drivers!D4</f>
        <v>31.711517903189872</v>
      </c>
      <c r="D13" s="53">
        <f>D12*ttokg/Drivers!E4</f>
        <v>30.568189199328188</v>
      </c>
      <c r="E13" s="53">
        <f>E12*ttokg/Drivers!F4</f>
        <v>30.357405178295842</v>
      </c>
      <c r="F13" s="53">
        <f>F12*ttokg/Drivers!G4</f>
        <v>27.552275522755227</v>
      </c>
      <c r="G13" s="53">
        <f>G12*ttokg/Drivers!H4</f>
        <v>26.821773432486133</v>
      </c>
      <c r="H13" s="53">
        <f>H12*ttokg/Drivers!I4</f>
        <v>33.714841176550941</v>
      </c>
      <c r="I13" s="53">
        <f>I12*ttokg/Drivers!J4</f>
        <v>35.202755918886503</v>
      </c>
      <c r="J13" s="53">
        <f>J12*ttokg/Drivers!K4</f>
        <v>36.545540570539863</v>
      </c>
      <c r="K13" s="53">
        <f>K12*ttokg/Drivers!L4</f>
        <v>36.811282200142578</v>
      </c>
      <c r="L13" s="53">
        <f>L12*ttokg/Drivers!M4</f>
        <v>36.22130749763248</v>
      </c>
      <c r="M13" s="53">
        <f>M12*ttokg/Drivers!N4</f>
        <v>28.553823557117923</v>
      </c>
      <c r="N13" s="53">
        <f>N12*ttokg/Drivers!O4</f>
        <v>34.561245753190924</v>
      </c>
      <c r="O13" s="53">
        <f>O12*ttokg/Drivers!P4</f>
        <v>34.907218411908772</v>
      </c>
      <c r="P13" s="53">
        <f>P12*ttokg/Drivers!Q4</f>
        <v>32.706042287200319</v>
      </c>
      <c r="Q13" s="53">
        <f>Q12*ttokg/Drivers!R4</f>
        <v>34.38242005294385</v>
      </c>
      <c r="R13" s="53">
        <f>R12*ttokg/Drivers!S4</f>
        <v>38.324498057156802</v>
      </c>
      <c r="S13" s="53">
        <f>S12*ttokg/Drivers!T4</f>
        <v>34.997297041404401</v>
      </c>
      <c r="T13" s="53">
        <f>T12*ttokg/Drivers!U4</f>
        <v>36.624772527894528</v>
      </c>
      <c r="U13" s="53">
        <f>U12*ttokg/Drivers!V4</f>
        <v>36.541167743626687</v>
      </c>
      <c r="V13" s="53">
        <f>V12*ttokg/Drivers!W4</f>
        <v>35.422065700364072</v>
      </c>
      <c r="W13" s="53">
        <f>W12*ttokg/Drivers!X4</f>
        <v>36.472290704306488</v>
      </c>
      <c r="X13" s="53">
        <f>X12*ttokg/Drivers!Y4</f>
        <v>35.612527394917471</v>
      </c>
      <c r="Y13" s="53">
        <f>Y12*ttokg/Drivers!Z4</f>
        <v>37.363546512358205</v>
      </c>
      <c r="Z13" s="53">
        <f>Z12*ttokg/Drivers!AA4</f>
        <v>37.593786442510947</v>
      </c>
      <c r="AA13" s="53">
        <f>AA12*ttokg/Drivers!AB4</f>
        <v>37.655603005885659</v>
      </c>
      <c r="AB13" s="53">
        <f>AB12*ttokg/Drivers!AC4</f>
        <v>37.5814474361908</v>
      </c>
      <c r="AC13" s="53">
        <f>AC12*ttokg/Drivers!AD4</f>
        <v>37.41858242760388</v>
      </c>
      <c r="AD13" s="53">
        <f>AD12*ttokg/Drivers!AE4</f>
        <v>37.305378716244626</v>
      </c>
      <c r="AE13" s="53">
        <f>AE12*ttokg/Drivers!AF4</f>
        <v>37.225230184273428</v>
      </c>
      <c r="AF13" s="53">
        <f>AF12*ttokg/Drivers!AG4</f>
        <v>37.134802080201425</v>
      </c>
      <c r="AG13" s="53">
        <f>AG12*ttokg/Drivers!AH4</f>
        <v>35.274237399795751</v>
      </c>
      <c r="AH13" s="53">
        <f>AH12*ttokg/Drivers!AI4</f>
        <v>35.440927660671321</v>
      </c>
      <c r="AI13" s="53">
        <f>AI12*ttokg/Drivers!AJ4</f>
        <v>35.620768428576177</v>
      </c>
      <c r="AJ13" s="53">
        <f>AJ12*ttokg/Drivers!AK4</f>
        <v>35.850035406907864</v>
      </c>
      <c r="AK13" s="53">
        <f>AK12*ttokg/Drivers!AL4</f>
        <v>36.105122472510082</v>
      </c>
      <c r="AL13" s="53">
        <f>AL12*ttokg/Drivers!AM4</f>
        <v>36.354190927730706</v>
      </c>
      <c r="AM13" s="53">
        <f>AM12*ttokg/Drivers!AN4</f>
        <v>36.664636206133821</v>
      </c>
      <c r="AN13" s="53">
        <f>AN12*ttokg/Drivers!AO4</f>
        <v>36.991101012490638</v>
      </c>
      <c r="AO13" s="53">
        <f>AO12*ttokg/Drivers!AP4</f>
        <v>37.342624413108709</v>
      </c>
      <c r="AP13" s="53">
        <f>AP12*ttokg/Drivers!AQ4</f>
        <v>37.708020599579946</v>
      </c>
      <c r="AQ13" s="53">
        <f>AQ12*ttokg/Drivers!AR4</f>
        <v>37.991523512598938</v>
      </c>
      <c r="AR13" s="53">
        <f>AR12*ttokg/Drivers!AS4</f>
        <v>38.386316950521625</v>
      </c>
      <c r="AS13" s="53">
        <f>AS12*ttokg/Drivers!AT4</f>
        <v>38.790473422577804</v>
      </c>
      <c r="AT13" s="53">
        <f>AT12*ttokg/Drivers!AU4</f>
        <v>39.207660293322967</v>
      </c>
      <c r="AU13" s="53">
        <f>AU12*ttokg/Drivers!AV4</f>
        <v>39.599786726751915</v>
      </c>
      <c r="AV13" s="53">
        <f>AV12*ttokg/Drivers!AW4</f>
        <v>40.020329131984305</v>
      </c>
      <c r="AW13" s="53">
        <f>AW12*ttokg/Drivers!AX4</f>
        <v>40.469888630091177</v>
      </c>
      <c r="AX13" s="53">
        <f>AX12*ttokg/Drivers!AY4</f>
        <v>40.938283669191605</v>
      </c>
      <c r="AY13" s="53">
        <f>AY12*ttokg/Drivers!AZ4</f>
        <v>41.398612218521414</v>
      </c>
      <c r="AZ13" s="53">
        <f>AZ12*ttokg/Drivers!BA4</f>
        <v>41.877903217010079</v>
      </c>
      <c r="BA13" s="53">
        <f>BA12*ttokg/Drivers!BB4</f>
        <v>42.392533061060917</v>
      </c>
      <c r="BB13" s="53">
        <f>BB12*ttokg/Drivers!BC4</f>
        <v>42.934900230045805</v>
      </c>
      <c r="BC13" s="53">
        <f>BC12*ttokg/Drivers!BD4</f>
        <v>43.502692670237153</v>
      </c>
      <c r="BD13" s="53">
        <f>BD12*ttokg/Drivers!BE4</f>
        <v>44.097116786355812</v>
      </c>
      <c r="BE13" s="53">
        <f>BE12*ttokg/Drivers!BF4</f>
        <v>44.718475402374594</v>
      </c>
      <c r="BF13" s="53">
        <f>BF12*ttokg/Drivers!BG4</f>
        <v>45.37336579674993</v>
      </c>
      <c r="BG13" s="53">
        <f>BG12*ttokg/Drivers!BH4</f>
        <v>45.983317862769098</v>
      </c>
      <c r="BH13" s="53">
        <f>BH12*ttokg/Drivers!BI4</f>
        <v>46.62428954513998</v>
      </c>
      <c r="BI13" s="53">
        <f>BI12*ttokg/Drivers!BJ4</f>
        <v>47.302419485081295</v>
      </c>
      <c r="BJ13" s="53">
        <f>BJ12*ttokg/Drivers!BK4</f>
        <v>48.021103468437929</v>
      </c>
      <c r="BK13" s="53">
        <f>BK12*ttokg/Drivers!BL4</f>
        <v>48.799031888578007</v>
      </c>
    </row>
    <row r="14" spans="1:67" x14ac:dyDescent="0.25">
      <c r="A14" t="s">
        <v>328</v>
      </c>
      <c r="B14" t="s">
        <v>322</v>
      </c>
      <c r="C14" s="53">
        <f>C12/Drivers!D4</f>
        <v>3.1711517903189872E-2</v>
      </c>
      <c r="D14" s="53">
        <f>D12/Drivers!E4</f>
        <v>3.0568189199328188E-2</v>
      </c>
      <c r="E14" s="53">
        <f>E12/Drivers!F4</f>
        <v>3.035740517829584E-2</v>
      </c>
      <c r="F14" s="53">
        <f>F12/Drivers!G4</f>
        <v>2.7552275522755229E-2</v>
      </c>
      <c r="G14" s="53">
        <f>G12/Drivers!H4</f>
        <v>2.6821773432486134E-2</v>
      </c>
      <c r="H14" s="53">
        <f>H12/Drivers!I4</f>
        <v>3.3714841176550943E-2</v>
      </c>
      <c r="I14" s="53">
        <f>I12/Drivers!J4</f>
        <v>3.5202755918886504E-2</v>
      </c>
      <c r="J14" s="53">
        <f>J12/Drivers!K4</f>
        <v>3.654554057053986E-2</v>
      </c>
      <c r="K14" s="53">
        <f>K12/Drivers!L4</f>
        <v>3.6811282200142577E-2</v>
      </c>
      <c r="L14" s="53">
        <f>L12/Drivers!M4</f>
        <v>3.6221307497632478E-2</v>
      </c>
      <c r="M14" s="53">
        <f>M12/Drivers!N4</f>
        <v>2.855382355711792E-2</v>
      </c>
      <c r="N14" s="53">
        <f>N12/Drivers!O4</f>
        <v>3.4561245753190924E-2</v>
      </c>
      <c r="O14" s="53">
        <f>O12/Drivers!P4</f>
        <v>3.4907218411908775E-2</v>
      </c>
      <c r="P14" s="53">
        <f>P12/Drivers!Q4</f>
        <v>3.2706042287200317E-2</v>
      </c>
      <c r="Q14" s="53">
        <f>Q12/Drivers!R4</f>
        <v>3.4382420052943855E-2</v>
      </c>
      <c r="R14" s="53">
        <f>R12/Drivers!S4</f>
        <v>3.8324498057156799E-2</v>
      </c>
      <c r="S14" s="53">
        <f>S12/Drivers!T4</f>
        <v>3.4997297041404404E-2</v>
      </c>
      <c r="T14" s="53">
        <f>T12/Drivers!U4</f>
        <v>3.6624772527894527E-2</v>
      </c>
      <c r="U14" s="53">
        <f>U12/Drivers!V4</f>
        <v>3.6541167743626687E-2</v>
      </c>
      <c r="V14" s="53">
        <f>V12/Drivers!W4</f>
        <v>3.5422065700364075E-2</v>
      </c>
      <c r="W14" s="53">
        <f>W12/Drivers!X4</f>
        <v>3.6472290704306486E-2</v>
      </c>
      <c r="X14" s="53">
        <f>X12/Drivers!Y4</f>
        <v>3.5612527394917472E-2</v>
      </c>
      <c r="Y14" s="22">
        <f>((Data!$AJ$6*LN('Intermediate calculations'!Y4))+Data!$AK$6)</f>
        <v>1.8024638600593276E-2</v>
      </c>
      <c r="Z14" s="22">
        <f>((Data!$AJ$6*LN('Intermediate calculations'!Z4))+Data!$AK$6)</f>
        <v>1.8028900374787875E-2</v>
      </c>
      <c r="AA14" s="22">
        <f>((Data!$AJ$6*LN('Intermediate calculations'!AA4))+Data!$AK$6)</f>
        <v>1.8030036697008332E-2</v>
      </c>
      <c r="AB14" s="22">
        <f>((Data!$AJ$6*LN('Intermediate calculations'!AB4))+Data!$AK$6)</f>
        <v>1.8028673158951729E-2</v>
      </c>
      <c r="AC14" s="22">
        <f>((Data!$AJ$6*LN('Intermediate calculations'!AC4))+Data!$AK$6)</f>
        <v>1.8025661580488857E-2</v>
      </c>
      <c r="AD14" s="22">
        <f>((Data!$AJ$6*LN('Intermediate calculations'!AD4))+Data!$AK$6)</f>
        <v>1.8023554472874428E-2</v>
      </c>
      <c r="AE14" s="22">
        <f>((Data!$AJ$6*LN('Intermediate calculations'!AE4))+Data!$AK$6)</f>
        <v>1.8022055699421457E-2</v>
      </c>
      <c r="AF14" s="22">
        <f>((Data!$AJ$6*LN('Intermediate calculations'!AF4))+Data!$AK$6)</f>
        <v>1.8020357732030777E-2</v>
      </c>
      <c r="AG14" s="22">
        <f>((Data!$AJ$6*LN('Intermediate calculations'!AG4))+Data!$AK$6)</f>
        <v>1.7983667359924151E-2</v>
      </c>
      <c r="AH14" s="22">
        <f>((Data!$AJ$6*LN('Intermediate calculations'!AH4))+Data!$AK$6)</f>
        <v>1.7987099414158145E-2</v>
      </c>
      <c r="AI14" s="22">
        <f>((Data!$AJ$6*LN('Intermediate calculations'!AI4))+Data!$AK$6)</f>
        <v>1.7990768563627045E-2</v>
      </c>
      <c r="AJ14" s="22">
        <f>((Data!$AJ$6*LN('Intermediate calculations'!AJ4))+Data!$AK$6)</f>
        <v>1.7995396457611657E-2</v>
      </c>
      <c r="AK14" s="22">
        <f>((Data!$AJ$6*LN('Intermediate calculations'!AK4))+Data!$AK$6)</f>
        <v>1.8000481615761003E-2</v>
      </c>
      <c r="AL14" s="22">
        <f>((Data!$AJ$6*LN('Intermediate calculations'!AL4))+Data!$AK$6)</f>
        <v>1.8005383427597128E-2</v>
      </c>
      <c r="AM14" s="22">
        <f>((Data!$AJ$6*LN('Intermediate calculations'!AM4))+Data!$AK$6)</f>
        <v>1.8011407892826133E-2</v>
      </c>
      <c r="AN14" s="22">
        <f>((Data!$AJ$6*LN('Intermediate calculations'!AN4))+Data!$AK$6)</f>
        <v>1.8017644108960399E-2</v>
      </c>
      <c r="AO14" s="22">
        <f>((Data!$AJ$6*LN('Intermediate calculations'!AO4))+Data!$AK$6)</f>
        <v>1.8024249003882675E-2</v>
      </c>
      <c r="AP14" s="22">
        <f>((Data!$AJ$6*LN('Intermediate calculations'!AP4))+Data!$AK$6)</f>
        <v>1.8030997650366684E-2</v>
      </c>
      <c r="AQ14" s="22">
        <f>((Data!$AJ$6*LN('Intermediate calculations'!AQ4))+Data!$AK$6)</f>
        <v>1.8036154241019228E-2</v>
      </c>
      <c r="AR14" s="22">
        <f>((Data!$AJ$6*LN('Intermediate calculations'!AR4))+Data!$AK$6)</f>
        <v>1.8043223007657639E-2</v>
      </c>
      <c r="AS14" s="22">
        <f>((Data!$AJ$6*LN('Intermediate calculations'!AS4))+Data!$AK$6)</f>
        <v>1.8050328691701562E-2</v>
      </c>
      <c r="AT14" s="22">
        <f>((Data!$AJ$6*LN('Intermediate calculations'!AT4))+Data!$AK$6)</f>
        <v>1.8057529738532575E-2</v>
      </c>
      <c r="AU14" s="22">
        <f>((Data!$AJ$6*LN('Intermediate calculations'!AU4))+Data!$AK$6)</f>
        <v>1.8064178732498576E-2</v>
      </c>
      <c r="AV14" s="22">
        <f>((Data!$AJ$6*LN('Intermediate calculations'!AV4))+Data!$AK$6)</f>
        <v>1.8071185399907319E-2</v>
      </c>
      <c r="AW14" s="22">
        <f>((Data!$AJ$6*LN('Intermediate calculations'!AW4))+Data!$AK$6)</f>
        <v>1.8078538449691432E-2</v>
      </c>
      <c r="AX14" s="22">
        <f>((Data!$AJ$6*LN('Intermediate calculations'!AX4))+Data!$AK$6)</f>
        <v>1.8086054454419267E-2</v>
      </c>
      <c r="AY14" s="22">
        <f>((Data!$AJ$6*LN('Intermediate calculations'!AY4))+Data!$AK$6)</f>
        <v>1.8093302096513986E-2</v>
      </c>
      <c r="AZ14" s="22">
        <f>((Data!$AJ$6*LN('Intermediate calculations'!AZ4))+Data!$AK$6)</f>
        <v>1.8100707406623992E-2</v>
      </c>
      <c r="BA14" s="22">
        <f>((Data!$AJ$6*LN('Intermediate calculations'!BA4))+Data!$AK$6)</f>
        <v>1.8108504749211437E-2</v>
      </c>
      <c r="BB14" s="22">
        <f>((Data!$AJ$6*LN('Intermediate calculations'!BB4))+Data!$AK$6)</f>
        <v>1.8116556528272768E-2</v>
      </c>
      <c r="BC14" s="22">
        <f>((Data!$AJ$6*LN('Intermediate calculations'!BC4))+Data!$AK$6)</f>
        <v>1.8124810818325031E-2</v>
      </c>
      <c r="BD14" s="22">
        <f>((Data!$AJ$6*LN('Intermediate calculations'!BD4))+Data!$AK$6)</f>
        <v>1.8133268502600365E-2</v>
      </c>
      <c r="BE14" s="22">
        <f>((Data!$AJ$6*LN('Intermediate calculations'!BE4))+Data!$AK$6)</f>
        <v>1.8141917028939081E-2</v>
      </c>
      <c r="BF14" s="22">
        <f>((Data!$AJ$6*LN('Intermediate calculations'!BF4))+Data!$AK$6)</f>
        <v>1.8150828705224505E-2</v>
      </c>
      <c r="BG14" s="22">
        <f>((Data!$AJ$6*LN('Intermediate calculations'!BG4))+Data!$AK$6)</f>
        <v>1.8158949053756368E-2</v>
      </c>
      <c r="BH14" s="22">
        <f>((Data!$AJ$6*LN('Intermediate calculations'!BH4))+Data!$AK$6)</f>
        <v>1.8167303452238749E-2</v>
      </c>
      <c r="BI14" s="22">
        <f>((Data!$AJ$6*LN('Intermediate calculations'!BI4))+Data!$AK$6)</f>
        <v>1.8175950981574592E-2</v>
      </c>
      <c r="BJ14" s="22">
        <f>((Data!$AJ$6*LN('Intermediate calculations'!BJ4))+Data!$AK$6)</f>
        <v>1.8184910441840476E-2</v>
      </c>
      <c r="BK14" s="22">
        <f>((Data!$AJ$6*LN('Intermediate calculations'!BK4))+Data!$AK$6)</f>
        <v>1.8194381269689582E-2</v>
      </c>
    </row>
    <row r="15" spans="1:67" x14ac:dyDescent="0.25">
      <c r="A15" t="s">
        <v>329</v>
      </c>
      <c r="B15" t="s">
        <v>321</v>
      </c>
      <c r="C15" s="22">
        <v>2119000</v>
      </c>
      <c r="D15" s="22">
        <v>2163000</v>
      </c>
      <c r="E15" s="22">
        <v>2107000</v>
      </c>
      <c r="F15" s="22">
        <v>2002000</v>
      </c>
      <c r="G15" s="22">
        <v>2006000</v>
      </c>
      <c r="H15" s="22">
        <v>2297000</v>
      </c>
      <c r="I15" s="22">
        <v>2450000</v>
      </c>
      <c r="J15" s="22">
        <v>2437000</v>
      </c>
      <c r="K15" s="22">
        <v>2501000</v>
      </c>
      <c r="L15" s="22">
        <v>2543000</v>
      </c>
      <c r="M15" s="22">
        <v>2370000</v>
      </c>
      <c r="N15" s="22">
        <v>2358000</v>
      </c>
      <c r="O15" s="22">
        <v>2457000</v>
      </c>
      <c r="P15" s="22">
        <v>2354000</v>
      </c>
      <c r="Q15" s="22">
        <v>2505000</v>
      </c>
      <c r="R15" s="22">
        <v>2657000</v>
      </c>
      <c r="S15" s="22">
        <v>2513000</v>
      </c>
      <c r="T15" s="22">
        <v>2559000</v>
      </c>
      <c r="U15" s="22">
        <v>2625000</v>
      </c>
      <c r="V15" s="22">
        <v>2587000</v>
      </c>
      <c r="W15" s="22">
        <v>2711000</v>
      </c>
      <c r="X15" s="22">
        <v>2720000</v>
      </c>
      <c r="Y15" s="22">
        <f>((Data!$AJ$17*'Intermediate calculations'!Y12)+Data!$AK$17)</f>
        <v>2858719.8415709268</v>
      </c>
      <c r="Z15" s="22">
        <f>((Data!$AJ$17*'Intermediate calculations'!Z12)+Data!$AK$17)</f>
        <v>2903942.4955433067</v>
      </c>
      <c r="AA15" s="22">
        <f>((Data!$AJ$17*'Intermediate calculations'!AA12)+Data!$AK$17)</f>
        <v>2940823.831791128</v>
      </c>
      <c r="AB15" s="22">
        <f>((Data!$AJ$17*'Intermediate calculations'!AB12)+Data!$AK$17)</f>
        <v>2970913.1087195799</v>
      </c>
      <c r="AC15" s="22">
        <f>((Data!$AJ$17*'Intermediate calculations'!AC12)+Data!$AK$17)</f>
        <v>2996753.2807677668</v>
      </c>
      <c r="AD15" s="22">
        <f>((Data!$AJ$17*'Intermediate calculations'!AD12)+Data!$AK$17)</f>
        <v>3026682.0161651922</v>
      </c>
      <c r="AE15" s="22">
        <f>((Data!$AJ$17*'Intermediate calculations'!AE12)+Data!$AK$17)</f>
        <v>3058954.7718502106</v>
      </c>
      <c r="AF15" s="22">
        <f>((Data!$AJ$17*'Intermediate calculations'!AF12)+Data!$AK$17)</f>
        <v>3091011.5232984433</v>
      </c>
      <c r="AG15" s="22">
        <f>((Data!$AJ$17*'Intermediate calculations'!AG12)+Data!$AK$17)</f>
        <v>3008624.2701180717</v>
      </c>
      <c r="AH15" s="22">
        <f>((Data!$AJ$17*'Intermediate calculations'!AH12)+Data!$AK$17)</f>
        <v>3050044.0607423224</v>
      </c>
      <c r="AI15" s="22">
        <f>((Data!$AJ$17*'Intermediate calculations'!AI12)+Data!$AK$17)</f>
        <v>3090855.409846724</v>
      </c>
      <c r="AJ15" s="22">
        <f>((Data!$AJ$17*'Intermediate calculations'!AJ12)+Data!$AK$17)</f>
        <v>3133428.0814491147</v>
      </c>
      <c r="AK15" s="22">
        <f>((Data!$AJ$17*'Intermediate calculations'!AK12)+Data!$AK$17)</f>
        <v>3177612.1962863393</v>
      </c>
      <c r="AL15" s="22">
        <f>((Data!$AJ$17*'Intermediate calculations'!AL12)+Data!$AK$17)</f>
        <v>3221240.376750269</v>
      </c>
      <c r="AM15" s="22">
        <f>((Data!$AJ$17*'Intermediate calculations'!AM12)+Data!$AK$17)</f>
        <v>3268951.0023996634</v>
      </c>
      <c r="AN15" s="22">
        <f>((Data!$AJ$17*'Intermediate calculations'!AN12)+Data!$AK$17)</f>
        <v>3317652.9522133647</v>
      </c>
      <c r="AO15" s="22">
        <f>((Data!$AJ$17*'Intermediate calculations'!AO12)+Data!$AK$17)</f>
        <v>3367982.0899727941</v>
      </c>
      <c r="AP15" s="22">
        <f>((Data!$AJ$17*'Intermediate calculations'!AP12)+Data!$AK$17)</f>
        <v>3419338.6743441364</v>
      </c>
      <c r="AQ15" s="22">
        <f>((Data!$AJ$17*'Intermediate calculations'!AQ12)+Data!$AK$17)</f>
        <v>3464799.8946171114</v>
      </c>
      <c r="AR15" s="22">
        <f>((Data!$AJ$17*'Intermediate calculations'!AR12)+Data!$AK$17)</f>
        <v>3518259.4185958756</v>
      </c>
      <c r="AS15" s="22">
        <f>((Data!$AJ$17*'Intermediate calculations'!AS12)+Data!$AK$17)</f>
        <v>3572404.824432333</v>
      </c>
      <c r="AT15" s="22">
        <f>((Data!$AJ$17*'Intermediate calculations'!AT12)+Data!$AK$17)</f>
        <v>3627492.0858868361</v>
      </c>
      <c r="AU15" s="22">
        <f>((Data!$AJ$17*'Intermediate calculations'!AU12)+Data!$AK$17)</f>
        <v>3680720.5615570946</v>
      </c>
      <c r="AV15" s="22">
        <f>((Data!$AJ$17*'Intermediate calculations'!AV12)+Data!$AK$17)</f>
        <v>3736044.0023750439</v>
      </c>
      <c r="AW15" s="22">
        <f>((Data!$AJ$17*'Intermediate calculations'!AW12)+Data!$AK$17)</f>
        <v>3793526.2810655469</v>
      </c>
      <c r="AX15" s="22">
        <f>((Data!$AJ$17*'Intermediate calculations'!AX12)+Data!$AK$17)</f>
        <v>3852404.7615588037</v>
      </c>
      <c r="AY15" s="22">
        <f>((Data!$AJ$17*'Intermediate calculations'!AY12)+Data!$AK$17)</f>
        <v>3910602.5314246444</v>
      </c>
      <c r="AZ15" s="22">
        <f>((Data!$AJ$17*'Intermediate calculations'!AZ12)+Data!$AK$17)</f>
        <v>3970235.0829203436</v>
      </c>
      <c r="BA15" s="22">
        <f>((Data!$AJ$17*'Intermediate calculations'!BA12)+Data!$AK$17)</f>
        <v>4032580.0198526466</v>
      </c>
      <c r="BB15" s="22">
        <f>((Data!$AJ$17*'Intermediate calculations'!BB12)+Data!$AK$17)</f>
        <v>4097060.5254606679</v>
      </c>
      <c r="BC15" s="22">
        <f>((Data!$AJ$17*'Intermediate calculations'!BC12)+Data!$AK$17)</f>
        <v>4163499.9891420146</v>
      </c>
      <c r="BD15" s="22">
        <f>((Data!$AJ$17*'Intermediate calculations'!BD12)+Data!$AK$17)</f>
        <v>4231994.8131229486</v>
      </c>
      <c r="BE15" s="22">
        <f>((Data!$AJ$17*'Intermediate calculations'!BE12)+Data!$AK$17)</f>
        <v>4302571.6329820231</v>
      </c>
      <c r="BF15" s="22">
        <f>((Data!$AJ$17*'Intermediate calculations'!BF12)+Data!$AK$17)</f>
        <v>4375759.3357744012</v>
      </c>
      <c r="BG15" s="22">
        <f>((Data!$AJ$17*'Intermediate calculations'!BG12)+Data!$AK$17)</f>
        <v>4445203.3984374749</v>
      </c>
      <c r="BH15" s="22">
        <f>((Data!$AJ$17*'Intermediate calculations'!BH12)+Data!$AK$17)</f>
        <v>4516989.8854743661</v>
      </c>
      <c r="BI15" s="22">
        <f>((Data!$AJ$17*'Intermediate calculations'!BI12)+Data!$AK$17)</f>
        <v>4591618.1744145537</v>
      </c>
      <c r="BJ15" s="22">
        <f>((Data!$AJ$17*'Intermediate calculations'!BJ12)+Data!$AK$17)</f>
        <v>4669357.877242554</v>
      </c>
      <c r="BK15" s="22">
        <f>((Data!$AJ$17*'Intermediate calculations'!BK12)+Data!$AK$17)</f>
        <v>4751753.5941765681</v>
      </c>
    </row>
    <row r="16" spans="1:67" x14ac:dyDescent="0.25">
      <c r="A16" t="s">
        <v>840</v>
      </c>
      <c r="B16" t="s">
        <v>815</v>
      </c>
      <c r="C16" s="22">
        <f>Data!C18</f>
        <v>0.69526800377536568</v>
      </c>
      <c r="D16" s="22">
        <f>Data!D18</f>
        <v>0.78019747572815545</v>
      </c>
      <c r="E16" s="22">
        <f>Data!E18</f>
        <v>0.69287114855244414</v>
      </c>
      <c r="F16" s="22">
        <f>Data!F18</f>
        <v>0.76935057442557442</v>
      </c>
      <c r="G16" s="22">
        <f>Data!G18</f>
        <v>0.70104982552342976</v>
      </c>
      <c r="H16" s="22">
        <f>Data!H18</f>
        <v>0.65888248585111009</v>
      </c>
      <c r="I16" s="22">
        <f>Data!I18</f>
        <v>0.62320263673469389</v>
      </c>
      <c r="J16" s="22">
        <f>Data!J18</f>
        <v>0.60454366023799755</v>
      </c>
      <c r="K16" s="22">
        <f>Data!K18</f>
        <v>0.57300788884446219</v>
      </c>
      <c r="L16" s="22">
        <f>Data!L18</f>
        <v>0.56881090051120731</v>
      </c>
      <c r="M16" s="22">
        <f>Data!M18</f>
        <v>0.77421705907173</v>
      </c>
      <c r="N16" s="22">
        <f>Data!N18</f>
        <v>0.77247711620016968</v>
      </c>
      <c r="O16" s="22">
        <f>Data!O18</f>
        <v>0.65958493691493691</v>
      </c>
      <c r="P16" s="22">
        <f>Data!P18</f>
        <v>0.60879045454545455</v>
      </c>
      <c r="Q16" s="22">
        <f>Data!Q18</f>
        <v>0.5453595928143713</v>
      </c>
      <c r="R16" s="22">
        <f>Data!R18</f>
        <v>0.55448735415882566</v>
      </c>
      <c r="S16" s="22">
        <f>Data!S18</f>
        <v>0.57560132113012341</v>
      </c>
      <c r="T16" s="22">
        <f>Data!T18</f>
        <v>0.56525444314185236</v>
      </c>
      <c r="U16" s="22">
        <f>Data!U18</f>
        <v>0.66329169523809528</v>
      </c>
      <c r="V16" s="22">
        <f>Data!V18</f>
        <v>0.69374343254735216</v>
      </c>
      <c r="W16" s="22">
        <f>Data!W18</f>
        <v>0.66201189966801921</v>
      </c>
      <c r="X16" s="22">
        <f>Data!X18</f>
        <v>0.63027717647058834</v>
      </c>
      <c r="Y16" s="22">
        <f>((Data!$AJ$18*LN('Intermediate calculations'!Y2))+Data!$AK$18)</f>
        <v>0.59036032260533733</v>
      </c>
      <c r="Z16" s="22">
        <f>((Data!$AJ$18*LN('Intermediate calculations'!Z2))+Data!$AK$18)</f>
        <v>0.58537997662592556</v>
      </c>
      <c r="AA16" s="22">
        <f>((Data!$AJ$18*LN('Intermediate calculations'!AA2))+Data!$AK$18)</f>
        <v>0.58070166069623075</v>
      </c>
      <c r="AB16" s="22">
        <f>((Data!$AJ$18*LN('Intermediate calculations'!AB2))+Data!$AK$18)</f>
        <v>0.57629082711126922</v>
      </c>
      <c r="AC16" s="22">
        <f>((Data!$AJ$18*LN('Intermediate calculations'!AC2))+Data!$AK$18)</f>
        <v>0.57211853646492172</v>
      </c>
      <c r="AD16" s="22">
        <f>((Data!$AJ$18*LN('Intermediate calculations'!AD2))+Data!$AK$18)</f>
        <v>0.56816030581489985</v>
      </c>
      <c r="AE16" s="22">
        <f>((Data!$AJ$18*LN('Intermediate calculations'!AE2))+Data!$AK$18)</f>
        <v>0.56439523816734538</v>
      </c>
      <c r="AF16" s="22">
        <f>((Data!$AJ$18*LN('Intermediate calculations'!AF2))+Data!$AK$18)</f>
        <v>0.56080535465675874</v>
      </c>
      <c r="AG16" s="22">
        <f>((Data!$AJ$18*LN('Intermediate calculations'!AG2))+Data!$AK$18)</f>
        <v>0.5573750752965374</v>
      </c>
      <c r="AH16" s="22">
        <f>((Data!$AJ$18*LN('Intermediate calculations'!AH2))+Data!$AK$18)</f>
        <v>0.55409081032083174</v>
      </c>
      <c r="AI16" s="22">
        <f>((Data!$AJ$18*LN('Intermediate calculations'!AI2))+Data!$AK$18)</f>
        <v>0.55094063500387414</v>
      </c>
      <c r="AJ16" s="22">
        <f>((Data!$AJ$18*LN('Intermediate calculations'!AJ2))+Data!$AK$18)</f>
        <v>0.54791402829489422</v>
      </c>
      <c r="AK16" s="22">
        <f>((Data!$AJ$18*LN('Intermediate calculations'!AK2))+Data!$AK$18)</f>
        <v>0.5450016608061754</v>
      </c>
      <c r="AL16" s="22">
        <f>((Data!$AJ$18*LN('Intermediate calculations'!AL2))+Data!$AK$18)</f>
        <v>0.5421952213769079</v>
      </c>
      <c r="AM16" s="22">
        <f>((Data!$AJ$18*LN('Intermediate calculations'!AM2))+Data!$AK$18)</f>
        <v>0.53948727408506059</v>
      </c>
      <c r="AN16" s="22">
        <f>((Data!$AJ$18*LN('Intermediate calculations'!AN2))+Data!$AK$18)</f>
        <v>0.53687113950980603</v>
      </c>
      <c r="AO16" s="22">
        <f>((Data!$AJ$18*LN('Intermediate calculations'!AO2))+Data!$AK$18)</f>
        <v>0.53434079547056146</v>
      </c>
      <c r="AP16" s="22">
        <f>((Data!$AJ$18*LN('Intermediate calculations'!AP2))+Data!$AK$18)</f>
        <v>0.53189079353039415</v>
      </c>
      <c r="AQ16" s="22">
        <f>((Data!$AJ$18*LN('Intermediate calculations'!AQ2))+Data!$AK$18)</f>
        <v>0.52951618835166503</v>
      </c>
      <c r="AR16" s="22">
        <f>((Data!$AJ$18*LN('Intermediate calculations'!AR2))+Data!$AK$18)</f>
        <v>0.52721247760069934</v>
      </c>
      <c r="AS16" s="22">
        <f>((Data!$AJ$18*LN('Intermediate calculations'!AS2))+Data!$AK$18)</f>
        <v>0.52497555056588219</v>
      </c>
      <c r="AT16" s="22">
        <f>((Data!$AJ$18*LN('Intermediate calculations'!AT2))+Data!$AK$18)</f>
        <v>0.52280164401573792</v>
      </c>
      <c r="AU16" s="22">
        <f>((Data!$AJ$18*LN('Intermediate calculations'!AU2))+Data!$AK$18)</f>
        <v>0.52068730410629205</v>
      </c>
      <c r="AV16" s="22">
        <f>((Data!$AJ$18*LN('Intermediate calculations'!AV2))+Data!$AK$18)</f>
        <v>0.51862935336939042</v>
      </c>
      <c r="AW16" s="22">
        <f>((Data!$AJ$18*LN('Intermediate calculations'!AW2))+Data!$AK$18)</f>
        <v>0.5166248619898004</v>
      </c>
      <c r="AX16" s="22">
        <f>((Data!$AJ$18*LN('Intermediate calculations'!AX2))+Data!$AK$18)</f>
        <v>0.51467112271936843</v>
      </c>
      <c r="AY16" s="22">
        <f>((Data!$AJ$18*LN('Intermediate calculations'!AY2))+Data!$AK$18)</f>
        <v>0.51276562888920318</v>
      </c>
      <c r="AZ16" s="22">
        <f>((Data!$AJ$18*LN('Intermediate calculations'!AZ2))+Data!$AK$18)</f>
        <v>0.51090605507181408</v>
      </c>
      <c r="BA16" s="22">
        <f>((Data!$AJ$18*LN('Intermediate calculations'!BA2))+Data!$AK$18)</f>
        <v>0.50909024001896186</v>
      </c>
      <c r="BB16" s="22">
        <f>((Data!$AJ$18*LN('Intermediate calculations'!BB2))+Data!$AK$18)</f>
        <v>0.50731617156122744</v>
      </c>
      <c r="BC16" s="22">
        <f>((Data!$AJ$18*LN('Intermediate calculations'!BC2))+Data!$AK$18)</f>
        <v>0.50558197320471221</v>
      </c>
      <c r="BD16" s="22">
        <f>((Data!$AJ$18*LN('Intermediate calculations'!BD2))+Data!$AK$18)</f>
        <v>0.5038858922010061</v>
      </c>
      <c r="BE16" s="22">
        <f>((Data!$AJ$18*LN('Intermediate calculations'!BE2))+Data!$AK$18)</f>
        <v>0.50222628890026844</v>
      </c>
      <c r="BF16" s="22">
        <f>((Data!$AJ$18*LN('Intermediate calculations'!BF2))+Data!$AK$18)</f>
        <v>0.50060162722530022</v>
      </c>
      <c r="BG16" s="22">
        <f>((Data!$AJ$18*LN('Intermediate calculations'!BG2))+Data!$AK$18)</f>
        <v>0.49901046612789024</v>
      </c>
      <c r="BH16" s="22">
        <f>((Data!$AJ$18*LN('Intermediate calculations'!BH2))+Data!$AK$18)</f>
        <v>0.49745145190834272</v>
      </c>
      <c r="BI16" s="22">
        <f>((Data!$AJ$18*LN('Intermediate calculations'!BI2))+Data!$AK$18)</f>
        <v>0.49592331129560552</v>
      </c>
      <c r="BJ16" s="22">
        <f>((Data!$AJ$18*LN('Intermediate calculations'!BJ2))+Data!$AK$18)</f>
        <v>0.49442484519936286</v>
      </c>
      <c r="BK16" s="22">
        <f>((Data!$AJ$18*LN('Intermediate calculations'!BK2))+Data!$AK$18)</f>
        <v>0.49295492305728073</v>
      </c>
    </row>
    <row r="17" spans="1:63" x14ac:dyDescent="0.25">
      <c r="A17" t="s">
        <v>341</v>
      </c>
      <c r="B17" t="s">
        <v>321</v>
      </c>
      <c r="C17" s="22">
        <v>184000</v>
      </c>
      <c r="D17" s="22">
        <v>206000</v>
      </c>
      <c r="E17" s="22">
        <v>199000</v>
      </c>
      <c r="F17" s="22">
        <v>189000</v>
      </c>
      <c r="G17" s="22">
        <v>156000</v>
      </c>
      <c r="H17" s="22">
        <v>118000</v>
      </c>
      <c r="I17" s="22">
        <v>143000</v>
      </c>
      <c r="J17" s="22">
        <v>142000</v>
      </c>
      <c r="K17" s="22">
        <v>145000</v>
      </c>
      <c r="L17" s="22">
        <v>154000</v>
      </c>
      <c r="M17" s="22">
        <v>163000</v>
      </c>
      <c r="N17" s="22">
        <v>159000</v>
      </c>
      <c r="O17" s="22">
        <v>146000</v>
      </c>
      <c r="P17" s="22">
        <v>146000</v>
      </c>
      <c r="Q17" s="22">
        <v>153000</v>
      </c>
      <c r="R17" s="22">
        <v>168000</v>
      </c>
      <c r="S17" s="22">
        <v>176000</v>
      </c>
      <c r="T17" s="22">
        <v>203000</v>
      </c>
      <c r="U17" s="22">
        <v>189000</v>
      </c>
      <c r="V17" s="22">
        <v>180000</v>
      </c>
      <c r="W17" s="22">
        <v>174000</v>
      </c>
      <c r="X17" s="22">
        <v>155000</v>
      </c>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row>
    <row r="18" spans="1:63" x14ac:dyDescent="0.25">
      <c r="A18" t="s">
        <v>870</v>
      </c>
      <c r="B18" t="s">
        <v>321</v>
      </c>
      <c r="C18" s="22">
        <f>C27+C22</f>
        <v>168200</v>
      </c>
      <c r="D18" s="22">
        <f t="shared" ref="D18:BK18" si="4">D27+D22</f>
        <v>191200</v>
      </c>
      <c r="E18" s="22">
        <f t="shared" si="4"/>
        <v>176100</v>
      </c>
      <c r="F18" s="22">
        <f t="shared" si="4"/>
        <v>167400</v>
      </c>
      <c r="G18" s="22">
        <f t="shared" si="4"/>
        <v>135300</v>
      </c>
      <c r="H18" s="22">
        <f t="shared" si="4"/>
        <v>94800</v>
      </c>
      <c r="I18" s="22">
        <f t="shared" si="4"/>
        <v>106300</v>
      </c>
      <c r="J18" s="22">
        <f t="shared" si="4"/>
        <v>102600</v>
      </c>
      <c r="K18" s="22">
        <f t="shared" si="4"/>
        <v>96900</v>
      </c>
      <c r="L18" s="22">
        <f t="shared" si="4"/>
        <v>104900</v>
      </c>
      <c r="M18" s="22">
        <f t="shared" si="4"/>
        <v>108300</v>
      </c>
      <c r="N18" s="22">
        <f t="shared" si="4"/>
        <v>105400</v>
      </c>
      <c r="O18" s="22">
        <f t="shared" si="4"/>
        <v>105100</v>
      </c>
      <c r="P18" s="22">
        <f t="shared" si="4"/>
        <v>114400</v>
      </c>
      <c r="Q18" s="22">
        <f t="shared" si="4"/>
        <v>120300</v>
      </c>
      <c r="R18" s="22">
        <f t="shared" si="4"/>
        <v>134600</v>
      </c>
      <c r="S18" s="22">
        <f t="shared" si="4"/>
        <v>135300</v>
      </c>
      <c r="T18" s="22">
        <f t="shared" si="4"/>
        <v>160700</v>
      </c>
      <c r="U18" s="22">
        <f t="shared" si="4"/>
        <v>160600</v>
      </c>
      <c r="V18" s="22">
        <f t="shared" si="4"/>
        <v>162100</v>
      </c>
      <c r="W18" s="22">
        <f t="shared" si="4"/>
        <v>163900</v>
      </c>
      <c r="X18" s="22">
        <f t="shared" si="4"/>
        <v>148800</v>
      </c>
      <c r="Y18" s="22">
        <f t="shared" si="4"/>
        <v>163477.38853334828</v>
      </c>
      <c r="Z18" s="22">
        <f t="shared" si="4"/>
        <v>165082.39760009805</v>
      </c>
      <c r="AA18" s="22">
        <f t="shared" si="4"/>
        <v>166737.26469303685</v>
      </c>
      <c r="AB18" s="22">
        <f t="shared" si="4"/>
        <v>168445.77198033253</v>
      </c>
      <c r="AC18" s="22">
        <f t="shared" si="4"/>
        <v>170212.79943021043</v>
      </c>
      <c r="AD18" s="22">
        <f t="shared" si="4"/>
        <v>172049.09400798171</v>
      </c>
      <c r="AE18" s="22">
        <f t="shared" si="4"/>
        <v>173911.83887683146</v>
      </c>
      <c r="AF18" s="22">
        <f t="shared" si="4"/>
        <v>175803.97521770981</v>
      </c>
      <c r="AG18" s="22">
        <f t="shared" si="4"/>
        <v>177612.64249112879</v>
      </c>
      <c r="AH18" s="22">
        <f t="shared" si="4"/>
        <v>179234.36840692107</v>
      </c>
      <c r="AI18" s="22">
        <f t="shared" si="4"/>
        <v>180764.40898240847</v>
      </c>
      <c r="AJ18" s="22">
        <f t="shared" si="4"/>
        <v>182201.12876559017</v>
      </c>
      <c r="AK18" s="22">
        <f t="shared" si="4"/>
        <v>183614.29804261276</v>
      </c>
      <c r="AL18" s="22">
        <f t="shared" si="4"/>
        <v>185000.56509883801</v>
      </c>
      <c r="AM18" s="22">
        <f t="shared" si="4"/>
        <v>186363.34364796773</v>
      </c>
      <c r="AN18" s="22">
        <f t="shared" si="4"/>
        <v>187698.39238776494</v>
      </c>
      <c r="AO18" s="22">
        <f t="shared" si="4"/>
        <v>189005.18408065024</v>
      </c>
      <c r="AP18" s="22">
        <f t="shared" si="4"/>
        <v>190291.21431236819</v>
      </c>
      <c r="AQ18" s="22">
        <f t="shared" si="4"/>
        <v>191548.75299460822</v>
      </c>
      <c r="AR18" s="22">
        <f t="shared" si="4"/>
        <v>192790.73397325655</v>
      </c>
      <c r="AS18" s="22">
        <f t="shared" si="4"/>
        <v>194009.06037915294</v>
      </c>
      <c r="AT18" s="22">
        <f t="shared" si="4"/>
        <v>195203.15623166418</v>
      </c>
      <c r="AU18" s="22">
        <f t="shared" si="4"/>
        <v>196372.11465842748</v>
      </c>
      <c r="AV18" s="22">
        <f t="shared" si="4"/>
        <v>197519.11993484251</v>
      </c>
      <c r="AW18" s="22">
        <f t="shared" si="4"/>
        <v>198643.50795954079</v>
      </c>
      <c r="AX18" s="22">
        <f t="shared" si="4"/>
        <v>199743.80659205932</v>
      </c>
      <c r="AY18" s="22">
        <f t="shared" si="4"/>
        <v>200817.25247333338</v>
      </c>
      <c r="AZ18" s="22">
        <f t="shared" si="4"/>
        <v>201868.15889096251</v>
      </c>
      <c r="BA18" s="22">
        <f t="shared" si="4"/>
        <v>202897.17936669351</v>
      </c>
      <c r="BB18" s="22">
        <f t="shared" si="4"/>
        <v>203903.13934659131</v>
      </c>
      <c r="BC18" s="22">
        <f t="shared" si="4"/>
        <v>204885.27390817125</v>
      </c>
      <c r="BD18" s="22">
        <f t="shared" si="4"/>
        <v>205843.1021684694</v>
      </c>
      <c r="BE18" s="22">
        <f t="shared" si="4"/>
        <v>206776.20841379324</v>
      </c>
      <c r="BF18" s="22">
        <f t="shared" si="4"/>
        <v>207684.57109169412</v>
      </c>
      <c r="BG18" s="22">
        <f t="shared" si="4"/>
        <v>208561.35357644758</v>
      </c>
      <c r="BH18" s="22">
        <f t="shared" si="4"/>
        <v>209412.07838835084</v>
      </c>
      <c r="BI18" s="22">
        <f t="shared" si="4"/>
        <v>210236.74071781369</v>
      </c>
      <c r="BJ18" s="22">
        <f t="shared" si="4"/>
        <v>211034.71960597191</v>
      </c>
      <c r="BK18" s="22">
        <f t="shared" si="4"/>
        <v>211807.07495392842</v>
      </c>
    </row>
    <row r="19" spans="1:63" x14ac:dyDescent="0.25">
      <c r="A19" t="s">
        <v>332</v>
      </c>
      <c r="B19" t="s">
        <v>321</v>
      </c>
      <c r="C19" s="22">
        <f>C17-C22</f>
        <v>172960</v>
      </c>
      <c r="D19" s="22">
        <f t="shared" ref="D19:X19" si="5">D17-D22</f>
        <v>193640</v>
      </c>
      <c r="E19" s="22">
        <f t="shared" si="5"/>
        <v>187060</v>
      </c>
      <c r="F19" s="22">
        <f t="shared" si="5"/>
        <v>177660</v>
      </c>
      <c r="G19" s="22">
        <f t="shared" si="5"/>
        <v>146640</v>
      </c>
      <c r="H19" s="22">
        <f t="shared" si="5"/>
        <v>110920</v>
      </c>
      <c r="I19" s="22">
        <f t="shared" si="5"/>
        <v>134420</v>
      </c>
      <c r="J19" s="22">
        <f t="shared" si="5"/>
        <v>133480</v>
      </c>
      <c r="K19" s="22">
        <f t="shared" si="5"/>
        <v>136300</v>
      </c>
      <c r="L19" s="22">
        <f t="shared" si="5"/>
        <v>144760</v>
      </c>
      <c r="M19" s="22">
        <f t="shared" si="5"/>
        <v>153220</v>
      </c>
      <c r="N19" s="22">
        <f t="shared" si="5"/>
        <v>149460</v>
      </c>
      <c r="O19" s="22">
        <f t="shared" si="5"/>
        <v>137240</v>
      </c>
      <c r="P19" s="22">
        <f t="shared" si="5"/>
        <v>137240</v>
      </c>
      <c r="Q19" s="22">
        <f t="shared" si="5"/>
        <v>143820</v>
      </c>
      <c r="R19" s="22">
        <f t="shared" si="5"/>
        <v>157920</v>
      </c>
      <c r="S19" s="22">
        <f t="shared" si="5"/>
        <v>165440</v>
      </c>
      <c r="T19" s="22">
        <f t="shared" si="5"/>
        <v>190820</v>
      </c>
      <c r="U19" s="22">
        <f t="shared" si="5"/>
        <v>177660</v>
      </c>
      <c r="V19" s="22">
        <f t="shared" si="5"/>
        <v>169200</v>
      </c>
      <c r="W19" s="22">
        <f t="shared" si="5"/>
        <v>163560</v>
      </c>
      <c r="X19" s="22">
        <f t="shared" si="5"/>
        <v>145700</v>
      </c>
      <c r="Y19" s="22">
        <f>(((Data!$AJ$7*'Intermediate calculations'!Y4)+Data!$AK$7)*Drivers!Z4)</f>
        <v>168482.27488006122</v>
      </c>
      <c r="Z19" s="22">
        <f>(((Data!$AJ$7*'Intermediate calculations'!Z4)+Data!$AK$7)*Drivers!AA4)</f>
        <v>171011.33776617129</v>
      </c>
      <c r="AA19" s="22">
        <f>(((Data!$AJ$7*'Intermediate calculations'!AA4)+Data!$AK$7)*Drivers!AB4)</f>
        <v>173618.96350044312</v>
      </c>
      <c r="AB19" s="22">
        <f>(((Data!$AJ$7*'Intermediate calculations'!AB4)+Data!$AK$7)*Drivers!AC4)</f>
        <v>176311.11176331757</v>
      </c>
      <c r="AC19" s="22">
        <f>(((Data!$AJ$7*'Intermediate calculations'!AC4)+Data!$AK$7)*Drivers!AD4)</f>
        <v>179095.47207305324</v>
      </c>
      <c r="AD19" s="22">
        <f>(((Data!$AJ$7*'Intermediate calculations'!AD4)+Data!$AK$7)*Drivers!AE4)</f>
        <v>181988.97875835255</v>
      </c>
      <c r="AE19" s="22">
        <f>(((Data!$AJ$7*'Intermediate calculations'!AE4)+Data!$AK$7)*Drivers!AF4)</f>
        <v>184924.16399293809</v>
      </c>
      <c r="AF19" s="22">
        <f>(((Data!$AJ$7*'Intermediate calculations'!AF4)+Data!$AK$7)*Drivers!AG4)</f>
        <v>187905.66228744065</v>
      </c>
      <c r="AG19" s="22">
        <f>(((Data!$AJ$7*'Intermediate calculations'!AG4)+Data!$AK$7)*Drivers!AH4)</f>
        <v>190755.63576689819</v>
      </c>
      <c r="AH19" s="22">
        <f>(((Data!$AJ$7*'Intermediate calculations'!AH4)+Data!$AK$7)*Drivers!AI4)</f>
        <v>193311.03991385343</v>
      </c>
      <c r="AI19" s="22">
        <f>(((Data!$AJ$7*'Intermediate calculations'!AI4)+Data!$AK$7)*Drivers!AJ4)</f>
        <v>195721.97260817379</v>
      </c>
      <c r="AJ19" s="22">
        <f>(((Data!$AJ$7*'Intermediate calculations'!AJ4)+Data!$AK$7)*Drivers!AK4)</f>
        <v>197985.85681709182</v>
      </c>
      <c r="AK19" s="22">
        <f>(((Data!$AJ$7*'Intermediate calculations'!AK4)+Data!$AK$7)*Drivers!AL4)</f>
        <v>200212.63175833639</v>
      </c>
      <c r="AL19" s="22">
        <f>(((Data!$AJ$7*'Intermediate calculations'!AL4)+Data!$AK$7)*Drivers!AM4)</f>
        <v>202397.01603053004</v>
      </c>
      <c r="AM19" s="22">
        <f>(((Data!$AJ$7*'Intermediate calculations'!AM4)+Data!$AK$7)*Drivers!AN4)</f>
        <v>204544.38872891007</v>
      </c>
      <c r="AN19" s="22">
        <f>(((Data!$AJ$7*'Intermediate calculations'!AN4)+Data!$AK$7)*Drivers!AO4)</f>
        <v>206648.0667011514</v>
      </c>
      <c r="AO19" s="22">
        <f>(((Data!$AJ$7*'Intermediate calculations'!AO4)+Data!$AK$7)*Drivers!AP4)</f>
        <v>208707.21916254266</v>
      </c>
      <c r="AP19" s="22">
        <f>(((Data!$AJ$7*'Intermediate calculations'!AP4)+Data!$AK$7)*Drivers!AQ4)</f>
        <v>210733.65714151299</v>
      </c>
      <c r="AQ19" s="22">
        <f>(((Data!$AJ$7*'Intermediate calculations'!AQ4)+Data!$AK$7)*Drivers!AR4)</f>
        <v>212715.20009662004</v>
      </c>
      <c r="AR19" s="22">
        <f>(((Data!$AJ$7*'Intermediate calculations'!AR4)+Data!$AK$7)*Drivers!AS4)</f>
        <v>214672.22829255104</v>
      </c>
      <c r="AS19" s="22">
        <f>(((Data!$AJ$7*'Intermediate calculations'!AS4)+Data!$AK$7)*Drivers!AT4)</f>
        <v>216591.98323983001</v>
      </c>
      <c r="AT19" s="22">
        <f>(((Data!$AJ$7*'Intermediate calculations'!AT4)+Data!$AK$7)*Drivers!AU4)</f>
        <v>218473.55734779415</v>
      </c>
      <c r="AU19" s="22">
        <f>(((Data!$AJ$7*'Intermediate calculations'!AU4)+Data!$AK$7)*Drivers!AV4)</f>
        <v>220315.52162935396</v>
      </c>
      <c r="AV19" s="22">
        <f>(((Data!$AJ$7*'Intermediate calculations'!AV4)+Data!$AK$7)*Drivers!AW4)</f>
        <v>222122.89364665229</v>
      </c>
      <c r="AW19" s="22">
        <f>(((Data!$AJ$7*'Intermediate calculations'!AW4)+Data!$AK$7)*Drivers!AX4)</f>
        <v>223894.62695443325</v>
      </c>
      <c r="AX19" s="22">
        <f>(((Data!$AJ$7*'Intermediate calculations'!AX4)+Data!$AK$7)*Drivers!AY4)</f>
        <v>225628.40185501715</v>
      </c>
      <c r="AY19" s="22">
        <f>(((Data!$AJ$7*'Intermediate calculations'!AY4)+Data!$AK$7)*Drivers!AZ4)</f>
        <v>227319.86403726859</v>
      </c>
      <c r="AZ19" s="22">
        <f>(((Data!$AJ$7*'Intermediate calculations'!AZ4)+Data!$AK$7)*Drivers!BA4)</f>
        <v>228975.81008309554</v>
      </c>
      <c r="BA19" s="22">
        <f>(((Data!$AJ$7*'Intermediate calculations'!BA4)+Data!$AK$7)*Drivers!BB4)</f>
        <v>230597.26976711384</v>
      </c>
      <c r="BB19" s="22">
        <f>(((Data!$AJ$7*'Intermediate calculations'!BB4)+Data!$AK$7)*Drivers!BC4)</f>
        <v>232182.39230802484</v>
      </c>
      <c r="BC19" s="22">
        <f>(((Data!$AJ$7*'Intermediate calculations'!BC4)+Data!$AK$7)*Drivers!BD4)</f>
        <v>233729.9723935927</v>
      </c>
      <c r="BD19" s="22">
        <f>(((Data!$AJ$7*'Intermediate calculations'!BD4)+Data!$AK$7)*Drivers!BE4)</f>
        <v>235239.25228152063</v>
      </c>
      <c r="BE19" s="22">
        <f>(((Data!$AJ$7*'Intermediate calculations'!BE4)+Data!$AK$7)*Drivers!BF4)</f>
        <v>236709.57691876704</v>
      </c>
      <c r="BF19" s="22">
        <f>(((Data!$AJ$7*'Intermediate calculations'!BF4)+Data!$AK$7)*Drivers!BG4)</f>
        <v>238140.91234446582</v>
      </c>
      <c r="BG19" s="22">
        <f>(((Data!$AJ$7*'Intermediate calculations'!BG4)+Data!$AK$7)*Drivers!BH4)</f>
        <v>239522.48587406075</v>
      </c>
      <c r="BH19" s="22">
        <f>(((Data!$AJ$7*'Intermediate calculations'!BH4)+Data!$AK$7)*Drivers!BI4)</f>
        <v>240862.99951516709</v>
      </c>
      <c r="BI19" s="22">
        <f>(((Data!$AJ$7*'Intermediate calculations'!BI4)+Data!$AK$7)*Drivers!BJ4)</f>
        <v>242162.44568916352</v>
      </c>
      <c r="BJ19" s="22">
        <f>(((Data!$AJ$7*'Intermediate calculations'!BJ4)+Data!$AK$7)*Drivers!BK4)</f>
        <v>243419.84593178469</v>
      </c>
      <c r="BK19" s="22">
        <f>(((Data!$AJ$7*'Intermediate calculations'!BK4)+Data!$AK$7)*Drivers!BL4)</f>
        <v>244636.87036228279</v>
      </c>
    </row>
    <row r="20" spans="1:63" x14ac:dyDescent="0.25">
      <c r="A20" t="s">
        <v>332</v>
      </c>
      <c r="B20" t="s">
        <v>322</v>
      </c>
      <c r="C20" s="22">
        <f>C19/Drivers!D4</f>
        <v>4.6999349927469751E-3</v>
      </c>
      <c r="D20" s="22">
        <f>D19/Drivers!E4</f>
        <v>5.1337590256356549E-3</v>
      </c>
      <c r="E20" s="22">
        <f>E19/Drivers!F4</f>
        <v>4.8370155133322145E-3</v>
      </c>
      <c r="F20" s="22">
        <f>F19/Drivers!G4</f>
        <v>4.4825432869713315E-3</v>
      </c>
      <c r="G20" s="22">
        <f>G19/Drivers!H4</f>
        <v>3.615022845716697E-3</v>
      </c>
      <c r="H20" s="22">
        <f>H19/Drivers!I4</f>
        <v>2.6769149486779026E-3</v>
      </c>
      <c r="I20" s="22">
        <f>I19/Drivers!J4</f>
        <v>3.1822155014234865E-3</v>
      </c>
      <c r="J20" s="22">
        <f>J19/Drivers!K4</f>
        <v>3.1050915056369576E-3</v>
      </c>
      <c r="K20" s="22">
        <f>K19/Drivers!L4</f>
        <v>3.1202598034076076E-3</v>
      </c>
      <c r="L20" s="22">
        <f>L19/Drivers!M4</f>
        <v>3.2648794977318042E-3</v>
      </c>
      <c r="M20" s="22">
        <f>M19/Drivers!N4</f>
        <v>3.4073339917613768E-3</v>
      </c>
      <c r="N20" s="22">
        <f>N19/Drivers!O4</f>
        <v>3.2796976446170891E-3</v>
      </c>
      <c r="O20" s="22">
        <f>O19/Drivers!P4</f>
        <v>2.9737223183428679E-3</v>
      </c>
      <c r="P20" s="22">
        <f>P19/Drivers!Q4</f>
        <v>2.9375505520257668E-3</v>
      </c>
      <c r="Q20" s="22">
        <f>Q19/Drivers!R4</f>
        <v>3.0411313973028199E-3</v>
      </c>
      <c r="R20" s="22">
        <f>R19/Drivers!S4</f>
        <v>3.2982042142704099E-3</v>
      </c>
      <c r="S20" s="22">
        <f>S19/Drivers!T4</f>
        <v>3.4118755583558893E-3</v>
      </c>
      <c r="T20" s="22">
        <f>T19/Drivers!U4</f>
        <v>3.8847910471221979E-3</v>
      </c>
      <c r="U20" s="22">
        <f>U19/Drivers!V4</f>
        <v>3.5689411002378874E-3</v>
      </c>
      <c r="V20" s="22">
        <f>V19/Drivers!W4</f>
        <v>3.3520209823834457E-3</v>
      </c>
      <c r="W20" s="22">
        <f>W19/Drivers!X4</f>
        <v>3.1934731625248227E-3</v>
      </c>
      <c r="X20" s="22">
        <f>X19/Drivers!Y4</f>
        <v>2.8016982945137554E-3</v>
      </c>
      <c r="Y20" s="22">
        <f>Y19/Drivers!Z4</f>
        <v>3.2198926143579719E-3</v>
      </c>
      <c r="Z20" s="22">
        <f>Z19/Drivers!AA4</f>
        <v>3.220286480478595E-3</v>
      </c>
      <c r="AA20" s="22">
        <f>AA19/Drivers!AB4</f>
        <v>3.2203922286430887E-3</v>
      </c>
      <c r="AB20" s="22">
        <f>AB19/Drivers!AC4</f>
        <v>3.2202653724260157E-3</v>
      </c>
      <c r="AC20" s="22">
        <f>AC19/Drivers!AD4</f>
        <v>3.219986763024619E-3</v>
      </c>
      <c r="AD20" s="22">
        <f>AD19/Drivers!AE4</f>
        <v>3.2197931080551983E-3</v>
      </c>
      <c r="AE20" s="22">
        <f>AE19/Drivers!AF4</f>
        <v>3.2196559998162394E-3</v>
      </c>
      <c r="AF20" s="22">
        <f>AF19/Drivers!AG4</f>
        <v>3.219501306551163E-3</v>
      </c>
      <c r="AG20" s="22">
        <f>AG19/Drivers!AH4</f>
        <v>3.2163184816069649E-3</v>
      </c>
      <c r="AH20" s="22">
        <f>AH19/Drivers!AI4</f>
        <v>3.2166036347789331E-3</v>
      </c>
      <c r="AI20" s="22">
        <f>AI19/Drivers!AJ4</f>
        <v>3.2169112842189659E-3</v>
      </c>
      <c r="AJ20" s="22">
        <f>AJ19/Drivers!AK4</f>
        <v>3.2173034859334241E-3</v>
      </c>
      <c r="AK20" s="22">
        <f>AK19/Drivers!AL4</f>
        <v>3.2177398574736835E-3</v>
      </c>
      <c r="AL20" s="22">
        <f>AL19/Drivers!AM4</f>
        <v>3.2181659331164372E-3</v>
      </c>
      <c r="AM20" s="22">
        <f>AM19/Drivers!AN4</f>
        <v>3.2186970046703136E-3</v>
      </c>
      <c r="AN20" s="22">
        <f>AN19/Drivers!AO4</f>
        <v>3.2192554804599586E-3</v>
      </c>
      <c r="AO20" s="22">
        <f>AO19/Drivers!AP4</f>
        <v>3.2198568234069356E-3</v>
      </c>
      <c r="AP20" s="22">
        <f>AP19/Drivers!AQ4</f>
        <v>3.220481898207647E-3</v>
      </c>
      <c r="AQ20" s="22">
        <f>AQ19/Drivers!AR4</f>
        <v>3.2209668800805228E-3</v>
      </c>
      <c r="AR20" s="22">
        <f>AR19/Drivers!AS4</f>
        <v>3.2216422440790229E-3</v>
      </c>
      <c r="AS20" s="22">
        <f>AS19/Drivers!AT4</f>
        <v>3.2223336252033483E-3</v>
      </c>
      <c r="AT20" s="22">
        <f>AT19/Drivers!AU4</f>
        <v>3.2230472971291804E-3</v>
      </c>
      <c r="AU20" s="22">
        <f>AU19/Drivers!AV4</f>
        <v>3.2237180987448083E-3</v>
      </c>
      <c r="AV20" s="22">
        <f>AV19/Drivers!AW4</f>
        <v>3.2244375109058386E-3</v>
      </c>
      <c r="AW20" s="22">
        <f>AW19/Drivers!AX4</f>
        <v>3.225206561936176E-3</v>
      </c>
      <c r="AX20" s="22">
        <f>AX19/Drivers!AY4</f>
        <v>3.2260078344906258E-3</v>
      </c>
      <c r="AY20" s="22">
        <f>AY19/Drivers!AZ4</f>
        <v>3.2267953078876882E-3</v>
      </c>
      <c r="AZ20" s="22">
        <f>AZ19/Drivers!BA4</f>
        <v>3.2276152199077245E-3</v>
      </c>
      <c r="BA20" s="22">
        <f>BA19/Drivers!BB4</f>
        <v>3.2284955852731017E-3</v>
      </c>
      <c r="BB20" s="22">
        <f>BB19/Drivers!BC4</f>
        <v>3.2294234002383858E-3</v>
      </c>
      <c r="BC20" s="22">
        <f>BC19/Drivers!BD4</f>
        <v>3.2303947096267668E-3</v>
      </c>
      <c r="BD20" s="22">
        <f>BD19/Drivers!BE4</f>
        <v>3.2314115772068839E-3</v>
      </c>
      <c r="BE20" s="22">
        <f>BE19/Drivers!BF4</f>
        <v>3.2324745210126999E-3</v>
      </c>
      <c r="BF20" s="22">
        <f>BF19/Drivers!BG4</f>
        <v>3.233594826855805E-3</v>
      </c>
      <c r="BG20" s="22">
        <f>BG19/Drivers!BH4</f>
        <v>3.234638257740491E-3</v>
      </c>
      <c r="BH20" s="22">
        <f>BH19/Drivers!BI4</f>
        <v>3.2357347531650573E-3</v>
      </c>
      <c r="BI20" s="22">
        <f>BI19/Drivers!BJ4</f>
        <v>3.2368948143609855E-3</v>
      </c>
      <c r="BJ20" s="22">
        <f>BJ19/Drivers!BK4</f>
        <v>3.2381242504205396E-3</v>
      </c>
      <c r="BK20" s="22">
        <f>BK19/Drivers!BL4</f>
        <v>3.2394550345671473E-3</v>
      </c>
    </row>
    <row r="21" spans="1:63" x14ac:dyDescent="0.25">
      <c r="A21" t="s">
        <v>332</v>
      </c>
      <c r="B21" t="s">
        <v>663</v>
      </c>
      <c r="C21" s="22">
        <f>C20*1000</f>
        <v>4.6999349927469751</v>
      </c>
      <c r="D21" s="22">
        <f t="shared" ref="D21:X21" si="6">D20*1000</f>
        <v>5.1337590256356549</v>
      </c>
      <c r="E21" s="22">
        <f t="shared" si="6"/>
        <v>4.8370155133322141</v>
      </c>
      <c r="F21" s="22">
        <f t="shared" si="6"/>
        <v>4.4825432869713318</v>
      </c>
      <c r="G21" s="22">
        <f t="shared" si="6"/>
        <v>3.6150228457166969</v>
      </c>
      <c r="H21" s="22">
        <f t="shared" si="6"/>
        <v>2.6769149486779025</v>
      </c>
      <c r="I21" s="22">
        <f t="shared" si="6"/>
        <v>3.1822155014234865</v>
      </c>
      <c r="J21" s="22">
        <f t="shared" si="6"/>
        <v>3.1050915056369575</v>
      </c>
      <c r="K21" s="22">
        <f t="shared" si="6"/>
        <v>3.1202598034076074</v>
      </c>
      <c r="L21" s="22">
        <f t="shared" si="6"/>
        <v>3.2648794977318043</v>
      </c>
      <c r="M21" s="22">
        <f t="shared" si="6"/>
        <v>3.407333991761377</v>
      </c>
      <c r="N21" s="22">
        <f t="shared" si="6"/>
        <v>3.2796976446170891</v>
      </c>
      <c r="O21" s="22">
        <f t="shared" si="6"/>
        <v>2.973722318342868</v>
      </c>
      <c r="P21" s="22">
        <f t="shared" si="6"/>
        <v>2.9375505520257668</v>
      </c>
      <c r="Q21" s="22">
        <f t="shared" si="6"/>
        <v>3.04113139730282</v>
      </c>
      <c r="R21" s="22">
        <f t="shared" si="6"/>
        <v>3.29820421427041</v>
      </c>
      <c r="S21" s="22">
        <f t="shared" si="6"/>
        <v>3.4118755583558893</v>
      </c>
      <c r="T21" s="22">
        <f t="shared" si="6"/>
        <v>3.884791047122198</v>
      </c>
      <c r="U21" s="22">
        <f t="shared" si="6"/>
        <v>3.5689411002378875</v>
      </c>
      <c r="V21" s="22">
        <f t="shared" si="6"/>
        <v>3.3520209823834457</v>
      </c>
      <c r="W21" s="22">
        <f t="shared" si="6"/>
        <v>3.1934731625248225</v>
      </c>
      <c r="X21" s="22">
        <f t="shared" si="6"/>
        <v>2.8016982945137556</v>
      </c>
      <c r="Y21" s="22">
        <f>Y20*1000</f>
        <v>3.2198926143579718</v>
      </c>
      <c r="Z21" s="22">
        <f t="shared" ref="Z21:BK21" si="7">Z20*1000</f>
        <v>3.2202864804785949</v>
      </c>
      <c r="AA21" s="22">
        <f t="shared" si="7"/>
        <v>3.2203922286430888</v>
      </c>
      <c r="AB21" s="22">
        <f t="shared" si="7"/>
        <v>3.2202653724260157</v>
      </c>
      <c r="AC21" s="22">
        <f t="shared" si="7"/>
        <v>3.2199867630246191</v>
      </c>
      <c r="AD21" s="22">
        <f t="shared" si="7"/>
        <v>3.2197931080551982</v>
      </c>
      <c r="AE21" s="22">
        <f t="shared" si="7"/>
        <v>3.2196559998162395</v>
      </c>
      <c r="AF21" s="22">
        <f t="shared" si="7"/>
        <v>3.2195013065511628</v>
      </c>
      <c r="AG21" s="22">
        <f t="shared" si="7"/>
        <v>3.2163184816069648</v>
      </c>
      <c r="AH21" s="22">
        <f t="shared" si="7"/>
        <v>3.2166036347789331</v>
      </c>
      <c r="AI21" s="22">
        <f t="shared" si="7"/>
        <v>3.2169112842189658</v>
      </c>
      <c r="AJ21" s="22">
        <f t="shared" si="7"/>
        <v>3.217303485933424</v>
      </c>
      <c r="AK21" s="22">
        <f t="shared" si="7"/>
        <v>3.2177398574736835</v>
      </c>
      <c r="AL21" s="22">
        <f t="shared" si="7"/>
        <v>3.2181659331164374</v>
      </c>
      <c r="AM21" s="22">
        <f t="shared" si="7"/>
        <v>3.2186970046703136</v>
      </c>
      <c r="AN21" s="22">
        <f t="shared" si="7"/>
        <v>3.2192554804599585</v>
      </c>
      <c r="AO21" s="22">
        <f t="shared" si="7"/>
        <v>3.2198568234069356</v>
      </c>
      <c r="AP21" s="22">
        <f t="shared" si="7"/>
        <v>3.2204818982076469</v>
      </c>
      <c r="AQ21" s="22">
        <f t="shared" si="7"/>
        <v>3.2209668800805229</v>
      </c>
      <c r="AR21" s="22">
        <f t="shared" si="7"/>
        <v>3.2216422440790229</v>
      </c>
      <c r="AS21" s="22">
        <f t="shared" si="7"/>
        <v>3.2223336252033481</v>
      </c>
      <c r="AT21" s="22">
        <f t="shared" si="7"/>
        <v>3.2230472971291801</v>
      </c>
      <c r="AU21" s="22">
        <f t="shared" si="7"/>
        <v>3.2237180987448082</v>
      </c>
      <c r="AV21" s="22">
        <f t="shared" si="7"/>
        <v>3.2244375109058385</v>
      </c>
      <c r="AW21" s="22">
        <f t="shared" si="7"/>
        <v>3.2252065619361758</v>
      </c>
      <c r="AX21" s="22">
        <f t="shared" si="7"/>
        <v>3.226007834490626</v>
      </c>
      <c r="AY21" s="22">
        <f t="shared" si="7"/>
        <v>3.2267953078876883</v>
      </c>
      <c r="AZ21" s="22">
        <f t="shared" si="7"/>
        <v>3.2276152199077246</v>
      </c>
      <c r="BA21" s="22">
        <f t="shared" si="7"/>
        <v>3.2284955852731017</v>
      </c>
      <c r="BB21" s="22">
        <f t="shared" si="7"/>
        <v>3.2294234002383857</v>
      </c>
      <c r="BC21" s="22">
        <f t="shared" si="7"/>
        <v>3.2303947096267667</v>
      </c>
      <c r="BD21" s="22">
        <f t="shared" si="7"/>
        <v>3.2314115772068837</v>
      </c>
      <c r="BE21" s="22">
        <f t="shared" si="7"/>
        <v>3.2324745210126999</v>
      </c>
      <c r="BF21" s="22">
        <f t="shared" si="7"/>
        <v>3.2335948268558048</v>
      </c>
      <c r="BG21" s="22">
        <f t="shared" si="7"/>
        <v>3.2346382577404911</v>
      </c>
      <c r="BH21" s="22">
        <f t="shared" si="7"/>
        <v>3.2357347531650573</v>
      </c>
      <c r="BI21" s="22">
        <f t="shared" si="7"/>
        <v>3.2368948143609853</v>
      </c>
      <c r="BJ21" s="22">
        <f t="shared" si="7"/>
        <v>3.2381242504205394</v>
      </c>
      <c r="BK21" s="22">
        <f t="shared" si="7"/>
        <v>3.2394550345671473</v>
      </c>
    </row>
    <row r="22" spans="1:63" x14ac:dyDescent="0.25">
      <c r="A22" t="s">
        <v>340</v>
      </c>
      <c r="B22" t="s">
        <v>321</v>
      </c>
      <c r="C22" s="22">
        <f>C17*Constants!$H$27</f>
        <v>11040</v>
      </c>
      <c r="D22" s="22">
        <f>D17*Constants!$H$27</f>
        <v>12360</v>
      </c>
      <c r="E22" s="22">
        <f>E17*Constants!$H$27</f>
        <v>11940</v>
      </c>
      <c r="F22" s="22">
        <f>F17*Constants!$H$27</f>
        <v>11340</v>
      </c>
      <c r="G22" s="22">
        <f>G17*Constants!$H$27</f>
        <v>9360</v>
      </c>
      <c r="H22" s="22">
        <f>H17*Constants!$H$27</f>
        <v>7080</v>
      </c>
      <c r="I22" s="22">
        <f>I17*Constants!$H$27</f>
        <v>8580</v>
      </c>
      <c r="J22" s="22">
        <f>J17*Constants!$H$27</f>
        <v>8520</v>
      </c>
      <c r="K22" s="22">
        <f>K17*Constants!$H$27</f>
        <v>8700</v>
      </c>
      <c r="L22" s="22">
        <f>L17*Constants!$H$27</f>
        <v>9240</v>
      </c>
      <c r="M22" s="22">
        <f>M17*Constants!$H$27</f>
        <v>9780</v>
      </c>
      <c r="N22" s="22">
        <f>N17*Constants!$H$27</f>
        <v>9540</v>
      </c>
      <c r="O22" s="22">
        <f>O17*Constants!$H$27</f>
        <v>8760</v>
      </c>
      <c r="P22" s="22">
        <f>P17*Constants!$H$27</f>
        <v>8760</v>
      </c>
      <c r="Q22" s="22">
        <f>Q17*Constants!$H$27</f>
        <v>9180</v>
      </c>
      <c r="R22" s="22">
        <f>R17*Constants!$H$27</f>
        <v>10080</v>
      </c>
      <c r="S22" s="22">
        <f>S17*Constants!$H$27</f>
        <v>10560</v>
      </c>
      <c r="T22" s="22">
        <f>T17*Constants!$H$27</f>
        <v>12180</v>
      </c>
      <c r="U22" s="22">
        <f>U17*Constants!$H$27</f>
        <v>11340</v>
      </c>
      <c r="V22" s="22">
        <f>V17*Constants!$H$27</f>
        <v>10800</v>
      </c>
      <c r="W22" s="22">
        <f>W17*Constants!$H$27</f>
        <v>10440</v>
      </c>
      <c r="X22" s="22">
        <f>X17*Constants!$H$27</f>
        <v>9300</v>
      </c>
      <c r="Y22" s="22">
        <f>((Data!$AJ$8*'Intermediate calculations'!Y4)+Data!$AK$8)*Drivers!Z4</f>
        <v>10754.187758301783</v>
      </c>
      <c r="Z22" s="22">
        <f>((Data!$AJ$8*'Intermediate calculations'!Z4)+Data!$AK$8)*Drivers!AA4</f>
        <v>10915.617304223704</v>
      </c>
      <c r="AA22" s="22">
        <f>((Data!$AJ$8*'Intermediate calculations'!AA4)+Data!$AK$8)*Drivers!AB4</f>
        <v>11082.061500028285</v>
      </c>
      <c r="AB22" s="22">
        <f>((Data!$AJ$8*'Intermediate calculations'!AB4)+Data!$AK$8)*Drivers!AC4</f>
        <v>11253.90075085006</v>
      </c>
      <c r="AC22" s="22">
        <f>((Data!$AJ$8*'Intermediate calculations'!AC4)+Data!$AK$8)*Drivers!AD4</f>
        <v>11431.625877003402</v>
      </c>
      <c r="AD22" s="22">
        <f>((Data!$AJ$8*'Intermediate calculations'!AD4)+Data!$AK$8)*Drivers!AE4</f>
        <v>11616.317793086335</v>
      </c>
      <c r="AE22" s="22">
        <f>((Data!$AJ$8*'Intermediate calculations'!AE4)+Data!$AK$8)*Drivers!AF4</f>
        <v>11803.670042102432</v>
      </c>
      <c r="AF22" s="22">
        <f>((Data!$AJ$8*'Intermediate calculations'!AF4)+Data!$AK$8)*Drivers!AG4</f>
        <v>11993.978443879192</v>
      </c>
      <c r="AG22" s="22">
        <f>((Data!$AJ$8*'Intermediate calculations'!AG4)+Data!$AK$8)*Drivers!AH4</f>
        <v>12175.891644695632</v>
      </c>
      <c r="AH22" s="22">
        <f>((Data!$AJ$8*'Intermediate calculations'!AH4)+Data!$AK$8)*Drivers!AI4</f>
        <v>12339.002547692777</v>
      </c>
      <c r="AI22" s="22">
        <f>((Data!$AJ$8*'Intermediate calculations'!AI4)+Data!$AK$8)*Drivers!AJ4</f>
        <v>12492.891868606841</v>
      </c>
      <c r="AJ22" s="22">
        <f>((Data!$AJ$8*'Intermediate calculations'!AJ4)+Data!$AK$8)*Drivers!AK4</f>
        <v>12637.395115984586</v>
      </c>
      <c r="AK22" s="22">
        <f>((Data!$AJ$8*'Intermediate calculations'!AK4)+Data!$AK$8)*Drivers!AL4</f>
        <v>12779.529686702324</v>
      </c>
      <c r="AL22" s="22">
        <f>((Data!$AJ$8*'Intermediate calculations'!AL4)+Data!$AK$8)*Drivers!AM4</f>
        <v>12918.958470033836</v>
      </c>
      <c r="AM22" s="22">
        <f>((Data!$AJ$8*'Intermediate calculations'!AM4)+Data!$AK$8)*Drivers!AN4</f>
        <v>13056.024812483625</v>
      </c>
      <c r="AN22" s="22">
        <f>((Data!$AJ$8*'Intermediate calculations'!AN4)+Data!$AK$8)*Drivers!AO4</f>
        <v>13190.302129860731</v>
      </c>
      <c r="AO22" s="22">
        <f>((Data!$AJ$8*'Intermediate calculations'!AO4)+Data!$AK$8)*Drivers!AP4</f>
        <v>13321.737393353791</v>
      </c>
      <c r="AP22" s="22">
        <f>((Data!$AJ$8*'Intermediate calculations'!AP4)+Data!$AK$8)*Drivers!AQ4</f>
        <v>13451.08449839445</v>
      </c>
      <c r="AQ22" s="22">
        <f>((Data!$AJ$8*'Intermediate calculations'!AQ4)+Data!$AK$8)*Drivers!AR4</f>
        <v>13577.56596361405</v>
      </c>
      <c r="AR22" s="22">
        <f>((Data!$AJ$8*'Intermediate calculations'!AR4)+Data!$AK$8)*Drivers!AS4</f>
        <v>13702.482656971346</v>
      </c>
      <c r="AS22" s="22">
        <f>((Data!$AJ$8*'Intermediate calculations'!AS4)+Data!$AK$8)*Drivers!AT4</f>
        <v>13825.020206797664</v>
      </c>
      <c r="AT22" s="22">
        <f>((Data!$AJ$8*'Intermediate calculations'!AT4)+Data!$AK$8)*Drivers!AU4</f>
        <v>13945.120681774099</v>
      </c>
      <c r="AU22" s="22">
        <f>((Data!$AJ$8*'Intermediate calculations'!AU4)+Data!$AK$8)*Drivers!AV4</f>
        <v>14062.69286995877</v>
      </c>
      <c r="AV22" s="22">
        <f>((Data!$AJ$8*'Intermediate calculations'!AV4)+Data!$AK$8)*Drivers!AW4</f>
        <v>14178.057041275681</v>
      </c>
      <c r="AW22" s="22">
        <f>((Data!$AJ$8*'Intermediate calculations'!AW4)+Data!$AK$8)*Drivers!AX4</f>
        <v>14291.146401346808</v>
      </c>
      <c r="AX22" s="22">
        <f>((Data!$AJ$8*'Intermediate calculations'!AX4)+Data!$AK$8)*Drivers!AY4</f>
        <v>14401.8128843628</v>
      </c>
      <c r="AY22" s="22">
        <f>((Data!$AJ$8*'Intermediate calculations'!AY4)+Data!$AK$8)*Drivers!AZ4</f>
        <v>14509.778555570341</v>
      </c>
      <c r="AZ22" s="22">
        <f>((Data!$AJ$8*'Intermediate calculations'!AZ4)+Data!$AK$8)*Drivers!BA4</f>
        <v>14615.477239346528</v>
      </c>
      <c r="BA22" s="22">
        <f>((Data!$AJ$8*'Intermediate calculations'!BA4)+Data!$AK$8)*Drivers!BB4</f>
        <v>14718.974665985994</v>
      </c>
      <c r="BB22" s="22">
        <f>((Data!$AJ$8*'Intermediate calculations'!BB4)+Data!$AK$8)*Drivers!BC4</f>
        <v>14820.15270051223</v>
      </c>
      <c r="BC22" s="22">
        <f>((Data!$AJ$8*'Intermediate calculations'!BC4)+Data!$AK$8)*Drivers!BD4</f>
        <v>14918.934408101666</v>
      </c>
      <c r="BD22" s="22">
        <f>((Data!$AJ$8*'Intermediate calculations'!BD4)+Data!$AK$8)*Drivers!BE4</f>
        <v>15015.271422224725</v>
      </c>
      <c r="BE22" s="22">
        <f>((Data!$AJ$8*'Intermediate calculations'!BE4)+Data!$AK$8)*Drivers!BF4</f>
        <v>15109.121930985135</v>
      </c>
      <c r="BF22" s="22">
        <f>((Data!$AJ$8*'Intermediate calculations'!BF4)+Data!$AK$8)*Drivers!BG4</f>
        <v>15200.483766668038</v>
      </c>
      <c r="BG22" s="22">
        <f>((Data!$AJ$8*'Intermediate calculations'!BG4)+Data!$AK$8)*Drivers!BH4</f>
        <v>15288.669311110265</v>
      </c>
      <c r="BH22" s="22">
        <f>((Data!$AJ$8*'Intermediate calculations'!BH4)+Data!$AK$8)*Drivers!BI4</f>
        <v>15374.234011606417</v>
      </c>
      <c r="BI22" s="22">
        <f>((Data!$AJ$8*'Intermediate calculations'!BI4)+Data!$AK$8)*Drivers!BJ4</f>
        <v>15457.177384414699</v>
      </c>
      <c r="BJ22" s="22">
        <f>((Data!$AJ$8*'Intermediate calculations'!BJ4)+Data!$AK$8)*Drivers!BK4</f>
        <v>15537.43697436924</v>
      </c>
      <c r="BK22" s="22">
        <f>((Data!$AJ$8*'Intermediate calculations'!BK4)+Data!$AK$8)*Drivers!BL4</f>
        <v>15615.119384826567</v>
      </c>
    </row>
    <row r="23" spans="1:63" x14ac:dyDescent="0.25">
      <c r="A23" t="s">
        <v>340</v>
      </c>
      <c r="B23" t="s">
        <v>322</v>
      </c>
      <c r="C23" s="22">
        <f>C22/Drivers!D4</f>
        <v>2.9999585060087078E-4</v>
      </c>
      <c r="D23" s="22">
        <f>D22/Drivers!E4</f>
        <v>3.2768674631716946E-4</v>
      </c>
      <c r="E23" s="22">
        <f>E22/Drivers!F4</f>
        <v>3.0874567106375841E-4</v>
      </c>
      <c r="F23" s="22">
        <f>F22/Drivers!G4</f>
        <v>2.8611978427476583E-4</v>
      </c>
      <c r="G23" s="22">
        <f>G22/Drivers!H4</f>
        <v>2.3074613908829981E-4</v>
      </c>
      <c r="H23" s="22">
        <f>H22/Drivers!I4</f>
        <v>1.7086691161773848E-4</v>
      </c>
      <c r="I23" s="22">
        <f>I22/Drivers!J4</f>
        <v>2.0312013838873316E-4</v>
      </c>
      <c r="J23" s="22">
        <f>J22/Drivers!K4</f>
        <v>1.9819733014703986E-4</v>
      </c>
      <c r="K23" s="22">
        <f>K22/Drivers!L4</f>
        <v>1.9916551936644304E-4</v>
      </c>
      <c r="L23" s="22">
        <f>L22/Drivers!M4</f>
        <v>2.0839656368500879E-4</v>
      </c>
      <c r="M23" s="22">
        <f>M22/Drivers!N4</f>
        <v>2.1748940372944957E-4</v>
      </c>
      <c r="N23" s="22">
        <f>N22/Drivers!O4</f>
        <v>2.093424028478993E-4</v>
      </c>
      <c r="O23" s="22">
        <f>O22/Drivers!P4</f>
        <v>1.8981206287294901E-4</v>
      </c>
      <c r="P23" s="22">
        <f>P22/Drivers!Q4</f>
        <v>1.8750322672504894E-4</v>
      </c>
      <c r="Q23" s="22">
        <f>Q22/Drivers!R4</f>
        <v>1.941147700406055E-4</v>
      </c>
      <c r="R23" s="22">
        <f>R22/Drivers!S4</f>
        <v>2.1052367325130275E-4</v>
      </c>
      <c r="S23" s="22">
        <f>S22/Drivers!T4</f>
        <v>2.1777929095888654E-4</v>
      </c>
      <c r="T23" s="22">
        <f>T22/Drivers!U4</f>
        <v>2.4796538598652329E-4</v>
      </c>
      <c r="U23" s="22">
        <f>U22/Drivers!V4</f>
        <v>2.2780475107901408E-4</v>
      </c>
      <c r="V23" s="22">
        <f>V22/Drivers!W4</f>
        <v>2.1395878610958166E-4</v>
      </c>
      <c r="W23" s="22">
        <f>W22/Drivers!X4</f>
        <v>2.0383871250158445E-4</v>
      </c>
      <c r="X23" s="22">
        <f>X22/Drivers!Y4</f>
        <v>1.788318060327929E-4</v>
      </c>
      <c r="Y23" s="22">
        <f>Y22/Drivers!Z4</f>
        <v>2.0552506049093444E-4</v>
      </c>
      <c r="Z23" s="22">
        <f>Z22/Drivers!AA4</f>
        <v>2.0555020088161254E-4</v>
      </c>
      <c r="AA23" s="22">
        <f>AA22/Drivers!AB4</f>
        <v>2.0555695076445249E-4</v>
      </c>
      <c r="AB23" s="22">
        <f>AB22/Drivers!AC4</f>
        <v>2.0554885355910743E-4</v>
      </c>
      <c r="AC23" s="22">
        <f>AC22/Drivers!AD4</f>
        <v>2.0553106998029487E-4</v>
      </c>
      <c r="AD23" s="22">
        <f>AD22/Drivers!AE4</f>
        <v>2.0551870902479991E-4</v>
      </c>
      <c r="AE23" s="22">
        <f>AE22/Drivers!AF4</f>
        <v>2.0550995743507915E-4</v>
      </c>
      <c r="AF23" s="22">
        <f>AF22/Drivers!AG4</f>
        <v>2.0550008339688278E-4</v>
      </c>
      <c r="AG23" s="22">
        <f>AG22/Drivers!AH4</f>
        <v>2.0529692435789144E-4</v>
      </c>
      <c r="AH23" s="22">
        <f>AH22/Drivers!AI4</f>
        <v>2.0531512562418729E-4</v>
      </c>
      <c r="AI23" s="22">
        <f>AI22/Drivers!AJ4</f>
        <v>2.0533476282248725E-4</v>
      </c>
      <c r="AJ23" s="22">
        <f>AJ22/Drivers!AK4</f>
        <v>2.0535979697447392E-4</v>
      </c>
      <c r="AK23" s="22">
        <f>AK22/Drivers!AL4</f>
        <v>2.0538765047704364E-4</v>
      </c>
      <c r="AL23" s="22">
        <f>AL22/Drivers!AM4</f>
        <v>2.0541484679466627E-4</v>
      </c>
      <c r="AM23" s="22">
        <f>AM22/Drivers!AN4</f>
        <v>2.0544874497895624E-4</v>
      </c>
      <c r="AN23" s="22">
        <f>AN22/Drivers!AO4</f>
        <v>2.0548439236978464E-4</v>
      </c>
      <c r="AO23" s="22">
        <f>AO22/Drivers!AP4</f>
        <v>2.0552277596214488E-4</v>
      </c>
      <c r="AP23" s="22">
        <f>AP22/Drivers!AQ4</f>
        <v>2.0556267435367965E-4</v>
      </c>
      <c r="AQ23" s="22">
        <f>AQ22/Drivers!AR4</f>
        <v>2.0559363064343768E-4</v>
      </c>
      <c r="AR23" s="22">
        <f>AR22/Drivers!AS4</f>
        <v>2.0563673898376747E-4</v>
      </c>
      <c r="AS23" s="22">
        <f>AS22/Drivers!AT4</f>
        <v>2.0568086969383081E-4</v>
      </c>
      <c r="AT23" s="22">
        <f>AT22/Drivers!AU4</f>
        <v>2.0572642322101156E-4</v>
      </c>
      <c r="AU23" s="22">
        <f>AU22/Drivers!AV4</f>
        <v>2.0576924034541337E-4</v>
      </c>
      <c r="AV23" s="22">
        <f>AV22/Drivers!AW4</f>
        <v>2.0581516027058549E-4</v>
      </c>
      <c r="AW23" s="22">
        <f>AW22/Drivers!AX4</f>
        <v>2.0586424863422407E-4</v>
      </c>
      <c r="AX23" s="22">
        <f>AX22/Drivers!AY4</f>
        <v>2.0591539369089107E-4</v>
      </c>
      <c r="AY23" s="22">
        <f>AY22/Drivers!AZ4</f>
        <v>2.0596565795027804E-4</v>
      </c>
      <c r="AZ23" s="22">
        <f>AZ22/Drivers!BA4</f>
        <v>2.0601799276006758E-4</v>
      </c>
      <c r="BA23" s="22">
        <f>BA22/Drivers!BB4</f>
        <v>2.0607418629402783E-4</v>
      </c>
      <c r="BB23" s="22">
        <f>BB22/Drivers!BC4</f>
        <v>2.0613340852585448E-4</v>
      </c>
      <c r="BC23" s="22">
        <f>BC22/Drivers!BD4</f>
        <v>2.0619540699745326E-4</v>
      </c>
      <c r="BD23" s="22">
        <f>BD22/Drivers!BE4</f>
        <v>2.0626031343873733E-4</v>
      </c>
      <c r="BE23" s="22">
        <f>BE22/Drivers!BF4</f>
        <v>2.0632816091570433E-4</v>
      </c>
      <c r="BF23" s="22">
        <f>BF22/Drivers!BG4</f>
        <v>2.0639966979930677E-4</v>
      </c>
      <c r="BG23" s="22">
        <f>BG22/Drivers!BH4</f>
        <v>2.064662717706697E-4</v>
      </c>
      <c r="BH23" s="22">
        <f>BH22/Drivers!BI4</f>
        <v>2.0653626084032289E-4</v>
      </c>
      <c r="BI23" s="22">
        <f>BI22/Drivers!BJ4</f>
        <v>2.0661030729963745E-4</v>
      </c>
      <c r="BJ23" s="22">
        <f>BJ22/Drivers!BK4</f>
        <v>2.0668878194173663E-4</v>
      </c>
      <c r="BK23" s="22">
        <f>BK22/Drivers!BL4</f>
        <v>2.0677372561066906E-4</v>
      </c>
    </row>
    <row r="24" spans="1:63" x14ac:dyDescent="0.25">
      <c r="A24" t="s">
        <v>340</v>
      </c>
      <c r="B24" t="s">
        <v>663</v>
      </c>
      <c r="C24" s="22">
        <f>C23*1000</f>
        <v>0.29999585060087075</v>
      </c>
      <c r="D24" s="22">
        <f t="shared" ref="D24:X24" si="8">D23*1000</f>
        <v>0.32768674631716949</v>
      </c>
      <c r="E24" s="22">
        <f t="shared" si="8"/>
        <v>0.30874567106375839</v>
      </c>
      <c r="F24" s="22">
        <f t="shared" si="8"/>
        <v>0.28611978427476581</v>
      </c>
      <c r="G24" s="22">
        <f t="shared" si="8"/>
        <v>0.2307461390882998</v>
      </c>
      <c r="H24" s="22">
        <f t="shared" si="8"/>
        <v>0.17086691161773848</v>
      </c>
      <c r="I24" s="22">
        <f t="shared" si="8"/>
        <v>0.20312013838873316</v>
      </c>
      <c r="J24" s="22">
        <f t="shared" si="8"/>
        <v>0.19819733014703986</v>
      </c>
      <c r="K24" s="22">
        <f t="shared" si="8"/>
        <v>0.19916551936644303</v>
      </c>
      <c r="L24" s="22">
        <f t="shared" si="8"/>
        <v>0.20839656368500878</v>
      </c>
      <c r="M24" s="22">
        <f t="shared" si="8"/>
        <v>0.21748940372944958</v>
      </c>
      <c r="N24" s="22">
        <f t="shared" si="8"/>
        <v>0.20934240284789929</v>
      </c>
      <c r="O24" s="22">
        <f t="shared" si="8"/>
        <v>0.18981206287294902</v>
      </c>
      <c r="P24" s="22">
        <f t="shared" si="8"/>
        <v>0.18750322672504893</v>
      </c>
      <c r="Q24" s="22">
        <f t="shared" si="8"/>
        <v>0.19411477004060551</v>
      </c>
      <c r="R24" s="22">
        <f t="shared" si="8"/>
        <v>0.21052367325130275</v>
      </c>
      <c r="S24" s="22">
        <f t="shared" si="8"/>
        <v>0.21777929095888654</v>
      </c>
      <c r="T24" s="22">
        <f t="shared" si="8"/>
        <v>0.24796538598652329</v>
      </c>
      <c r="U24" s="22">
        <f t="shared" si="8"/>
        <v>0.22780475107901407</v>
      </c>
      <c r="V24" s="22">
        <f t="shared" si="8"/>
        <v>0.21395878610958166</v>
      </c>
      <c r="W24" s="22">
        <f t="shared" si="8"/>
        <v>0.20383871250158445</v>
      </c>
      <c r="X24" s="22">
        <f t="shared" si="8"/>
        <v>0.17883180603279289</v>
      </c>
      <c r="Y24" s="22">
        <f t="shared" ref="Y24" si="9">Y23*1000</f>
        <v>0.20552506049093444</v>
      </c>
      <c r="Z24" s="22">
        <f t="shared" ref="Z24" si="10">Z23*1000</f>
        <v>0.20555020088161255</v>
      </c>
      <c r="AA24" s="22">
        <f t="shared" ref="AA24" si="11">AA23*1000</f>
        <v>0.20555695076445249</v>
      </c>
      <c r="AB24" s="22">
        <f t="shared" ref="AB24" si="12">AB23*1000</f>
        <v>0.20554885355910743</v>
      </c>
      <c r="AC24" s="22">
        <f t="shared" ref="AC24" si="13">AC23*1000</f>
        <v>0.20553106998029486</v>
      </c>
      <c r="AD24" s="22">
        <f t="shared" ref="AD24" si="14">AD23*1000</f>
        <v>0.20551870902479991</v>
      </c>
      <c r="AE24" s="22">
        <f t="shared" ref="AE24" si="15">AE23*1000</f>
        <v>0.20550995743507916</v>
      </c>
      <c r="AF24" s="22">
        <f t="shared" ref="AF24" si="16">AF23*1000</f>
        <v>0.20550008339688278</v>
      </c>
      <c r="AG24" s="22">
        <f t="shared" ref="AG24" si="17">AG23*1000</f>
        <v>0.20529692435789143</v>
      </c>
      <c r="AH24" s="22">
        <f t="shared" ref="AH24" si="18">AH23*1000</f>
        <v>0.2053151256241873</v>
      </c>
      <c r="AI24" s="22">
        <f t="shared" ref="AI24" si="19">AI23*1000</f>
        <v>0.20533476282248725</v>
      </c>
      <c r="AJ24" s="22">
        <f t="shared" ref="AJ24" si="20">AJ23*1000</f>
        <v>0.20535979697447393</v>
      </c>
      <c r="AK24" s="22">
        <f t="shared" ref="AK24" si="21">AK23*1000</f>
        <v>0.20538765047704363</v>
      </c>
      <c r="AL24" s="22">
        <f t="shared" ref="AL24" si="22">AL23*1000</f>
        <v>0.20541484679466626</v>
      </c>
      <c r="AM24" s="22">
        <f t="shared" ref="AM24" si="23">AM23*1000</f>
        <v>0.20544874497895624</v>
      </c>
      <c r="AN24" s="22">
        <f t="shared" ref="AN24" si="24">AN23*1000</f>
        <v>0.20548439236978464</v>
      </c>
      <c r="AO24" s="22">
        <f t="shared" ref="AO24" si="25">AO23*1000</f>
        <v>0.20552277596214488</v>
      </c>
      <c r="AP24" s="22">
        <f t="shared" ref="AP24" si="26">AP23*1000</f>
        <v>0.20556267435367964</v>
      </c>
      <c r="AQ24" s="22">
        <f t="shared" ref="AQ24" si="27">AQ23*1000</f>
        <v>0.20559363064343769</v>
      </c>
      <c r="AR24" s="22">
        <f t="shared" ref="AR24" si="28">AR23*1000</f>
        <v>0.20563673898376747</v>
      </c>
      <c r="AS24" s="22">
        <f t="shared" ref="AS24" si="29">AS23*1000</f>
        <v>0.20568086969383081</v>
      </c>
      <c r="AT24" s="22">
        <f t="shared" ref="AT24" si="30">AT23*1000</f>
        <v>0.20572642322101156</v>
      </c>
      <c r="AU24" s="22">
        <f t="shared" ref="AU24" si="31">AU23*1000</f>
        <v>0.20576924034541338</v>
      </c>
      <c r="AV24" s="22">
        <f t="shared" ref="AV24" si="32">AV23*1000</f>
        <v>0.2058151602705855</v>
      </c>
      <c r="AW24" s="22">
        <f t="shared" ref="AW24" si="33">AW23*1000</f>
        <v>0.20586424863422406</v>
      </c>
      <c r="AX24" s="22">
        <f t="shared" ref="AX24" si="34">AX23*1000</f>
        <v>0.20591539369089107</v>
      </c>
      <c r="AY24" s="22">
        <f t="shared" ref="AY24" si="35">AY23*1000</f>
        <v>0.20596565795027805</v>
      </c>
      <c r="AZ24" s="22">
        <f t="shared" ref="AZ24" si="36">AZ23*1000</f>
        <v>0.20601799276006758</v>
      </c>
      <c r="BA24" s="22">
        <f t="shared" ref="BA24" si="37">BA23*1000</f>
        <v>0.20607418629402782</v>
      </c>
      <c r="BB24" s="22">
        <f t="shared" ref="BB24" si="38">BB23*1000</f>
        <v>0.20613340852585449</v>
      </c>
      <c r="BC24" s="22">
        <f t="shared" ref="BC24" si="39">BC23*1000</f>
        <v>0.20619540699745326</v>
      </c>
      <c r="BD24" s="22">
        <f t="shared" ref="BD24" si="40">BD23*1000</f>
        <v>0.20626031343873732</v>
      </c>
      <c r="BE24" s="22">
        <f t="shared" ref="BE24" si="41">BE23*1000</f>
        <v>0.20632816091570433</v>
      </c>
      <c r="BF24" s="22">
        <f t="shared" ref="BF24" si="42">BF23*1000</f>
        <v>0.20639966979930677</v>
      </c>
      <c r="BG24" s="22">
        <f t="shared" ref="BG24" si="43">BG23*1000</f>
        <v>0.2064662717706697</v>
      </c>
      <c r="BH24" s="22">
        <f t="shared" ref="BH24" si="44">BH23*1000</f>
        <v>0.20653626084032289</v>
      </c>
      <c r="BI24" s="22">
        <f t="shared" ref="BI24" si="45">BI23*1000</f>
        <v>0.20661030729963745</v>
      </c>
      <c r="BJ24" s="22">
        <f t="shared" ref="BJ24" si="46">BJ23*1000</f>
        <v>0.20668878194173662</v>
      </c>
      <c r="BK24" s="22">
        <f t="shared" ref="BK24" si="47">BK23*1000</f>
        <v>0.20677372561066906</v>
      </c>
    </row>
    <row r="25" spans="1:63" x14ac:dyDescent="0.25">
      <c r="A25" t="s">
        <v>817</v>
      </c>
      <c r="C25" s="22">
        <f>Data!C21</f>
        <v>747.58015507693869</v>
      </c>
      <c r="D25" s="22">
        <f>Data!D21</f>
        <v>590.47220402049277</v>
      </c>
      <c r="E25" s="22">
        <f>Data!E21</f>
        <v>569.38006615729716</v>
      </c>
      <c r="F25" s="22">
        <f>Data!F21</f>
        <v>566.44789692123072</v>
      </c>
      <c r="G25" s="22">
        <f>Data!G21</f>
        <v>742.85362090363867</v>
      </c>
      <c r="H25" s="22">
        <f>Data!H21</f>
        <v>995.52503048103245</v>
      </c>
      <c r="I25" s="22">
        <f>Data!I21</f>
        <v>834.31243407359318</v>
      </c>
      <c r="J25" s="22">
        <f>Data!J21</f>
        <v>835.99741053944376</v>
      </c>
      <c r="K25" s="22">
        <f>Data!K21</f>
        <v>807.07358113668761</v>
      </c>
      <c r="L25" s="22">
        <f>Data!L21</f>
        <v>748.63713691587566</v>
      </c>
      <c r="M25" s="22">
        <f>Data!M21</f>
        <v>716.42781303590107</v>
      </c>
      <c r="N25" s="22">
        <f>Data!N21</f>
        <v>756.90571182634426</v>
      </c>
      <c r="O25" s="22">
        <f>Data!O21</f>
        <v>752.63780790236967</v>
      </c>
      <c r="P25" s="22">
        <f>Data!P21</f>
        <v>733.6180799048368</v>
      </c>
      <c r="Q25" s="22">
        <f>Data!Q21</f>
        <v>701.35025005281352</v>
      </c>
      <c r="R25" s="22">
        <f>Data!R21</f>
        <v>630.46516734678903</v>
      </c>
      <c r="S25" s="22">
        <f>Data!S21</f>
        <v>614.48619189756312</v>
      </c>
      <c r="T25" s="22">
        <f>Data!T21</f>
        <v>516.87884312506992</v>
      </c>
      <c r="U25" s="22">
        <f>Data!U21</f>
        <v>554.64143311323846</v>
      </c>
      <c r="V25" s="22">
        <f>Data!V21</f>
        <v>572.18059101466702</v>
      </c>
      <c r="W25" s="22">
        <f>Data!W21</f>
        <v>584.78636599310846</v>
      </c>
      <c r="X25" s="22">
        <f>Data!X21</f>
        <v>650.3914314253102</v>
      </c>
      <c r="Y25" s="22">
        <f>((Data!$AJ$21*LN('Intermediate calculations'!Y2))+Data!$AK$21)</f>
        <v>565.56709991308276</v>
      </c>
      <c r="Z25" s="22">
        <f>((Data!$AJ$21*LN('Intermediate calculations'!Z2))+Data!$AK$21)</f>
        <v>558.67068520624093</v>
      </c>
      <c r="AA25" s="22">
        <f>((Data!$AJ$21*LN('Intermediate calculations'!AA2))+Data!$AK$21)</f>
        <v>552.19249937052302</v>
      </c>
      <c r="AB25" s="22">
        <f>((Data!$AJ$21*LN('Intermediate calculations'!AB2))+Data!$AK$21)</f>
        <v>546.08470329962574</v>
      </c>
      <c r="AC25" s="22">
        <f>((Data!$AJ$21*LN('Intermediate calculations'!AC2))+Data!$AK$21)</f>
        <v>540.30722384465673</v>
      </c>
      <c r="AD25" s="22">
        <f>((Data!$AJ$21*LN('Intermediate calculations'!AD2))+Data!$AK$21)</f>
        <v>534.82615883818357</v>
      </c>
      <c r="AE25" s="22">
        <f>((Data!$AJ$21*LN('Intermediate calculations'!AE2))+Data!$AK$21)</f>
        <v>529.61257166890118</v>
      </c>
      <c r="AF25" s="22">
        <f>((Data!$AJ$21*LN('Intermediate calculations'!AF2))+Data!$AK$21)</f>
        <v>524.64156653379541</v>
      </c>
      <c r="AG25" s="22">
        <f>((Data!$AJ$21*LN('Intermediate calculations'!AG2))+Data!$AK$21)</f>
        <v>519.89156941990007</v>
      </c>
      <c r="AH25" s="22">
        <f>((Data!$AJ$21*LN('Intermediate calculations'!AH2))+Data!$AK$21)</f>
        <v>515.34376222472656</v>
      </c>
      <c r="AI25" s="22">
        <f>((Data!$AJ$21*LN('Intermediate calculations'!AI2))+Data!$AK$21)</f>
        <v>510.98163247012616</v>
      </c>
      <c r="AJ25" s="22">
        <f>((Data!$AJ$21*LN('Intermediate calculations'!AJ2))+Data!$AK$21)</f>
        <v>506.7906113832538</v>
      </c>
      <c r="AK25" s="22">
        <f>((Data!$AJ$21*LN('Intermediate calculations'!AK2))+Data!$AK$21)</f>
        <v>502.75778031811149</v>
      </c>
      <c r="AL25" s="22">
        <f>((Data!$AJ$21*LN('Intermediate calculations'!AL2))+Data!$AK$21)</f>
        <v>498.87163059400189</v>
      </c>
      <c r="AM25" s="22">
        <f>((Data!$AJ$21*LN('Intermediate calculations'!AM2))+Data!$AK$21)</f>
        <v>495.1218654961454</v>
      </c>
      <c r="AN25" s="22">
        <f>((Data!$AJ$21*LN('Intermediate calculations'!AN2))+Data!$AK$21)</f>
        <v>491.49923585666915</v>
      </c>
      <c r="AO25" s="22">
        <f>((Data!$AJ$21*LN('Intermediate calculations'!AO2))+Data!$AK$21)</f>
        <v>487.99540260537441</v>
      </c>
      <c r="AP25" s="22">
        <f>((Data!$AJ$21*LN('Intermediate calculations'!AP2))+Data!$AK$21)</f>
        <v>484.60282114982732</v>
      </c>
      <c r="AQ25" s="22">
        <f>((Data!$AJ$21*LN('Intermediate calculations'!AQ2))+Data!$AK$21)</f>
        <v>481.31464355228115</v>
      </c>
      <c r="AR25" s="22">
        <f>((Data!$AJ$21*LN('Intermediate calculations'!AR2))+Data!$AK$21)</f>
        <v>478.12463531410947</v>
      </c>
      <c r="AS25" s="22">
        <f>((Data!$AJ$21*LN('Intermediate calculations'!AS2))+Data!$AK$21)</f>
        <v>475.02710422594453</v>
      </c>
      <c r="AT25" s="22">
        <f>((Data!$AJ$21*LN('Intermediate calculations'!AT2))+Data!$AK$21)</f>
        <v>472.01683924321225</v>
      </c>
      <c r="AU25" s="22">
        <f>((Data!$AJ$21*LN('Intermediate calculations'!AU2))+Data!$AK$21)</f>
        <v>469.08905773826399</v>
      </c>
      <c r="AV25" s="22">
        <f>((Data!$AJ$21*LN('Intermediate calculations'!AV2))+Data!$AK$21)</f>
        <v>466.23935978824318</v>
      </c>
      <c r="AW25" s="22">
        <f>((Data!$AJ$21*LN('Intermediate calculations'!AW2))+Data!$AK$21)</f>
        <v>463.46368840173949</v>
      </c>
      <c r="AX25" s="22">
        <f>((Data!$AJ$21*LN('Intermediate calculations'!AX2))+Data!$AK$21)</f>
        <v>460.75829478176996</v>
      </c>
      <c r="AY25" s="22">
        <f>((Data!$AJ$21*LN('Intermediate calculations'!AY2))+Data!$AK$21)</f>
        <v>458.11970787867688</v>
      </c>
      <c r="AZ25" s="22">
        <f>((Data!$AJ$21*LN('Intermediate calculations'!AZ2))+Data!$AK$21)</f>
        <v>455.54470761248751</v>
      </c>
      <c r="BA25" s="22">
        <f>((Data!$AJ$21*LN('Intermediate calculations'!BA2))+Data!$AK$21)</f>
        <v>453.03030124651184</v>
      </c>
      <c r="BB25" s="22">
        <f>((Data!$AJ$21*LN('Intermediate calculations'!BB2))+Data!$AK$21)</f>
        <v>450.57370247738191</v>
      </c>
      <c r="BC25" s="22">
        <f>((Data!$AJ$21*LN('Intermediate calculations'!BC2))+Data!$AK$21)</f>
        <v>448.17231287515489</v>
      </c>
      <c r="BD25" s="22">
        <f>((Data!$AJ$21*LN('Intermediate calculations'!BD2))+Data!$AK$21)</f>
        <v>445.82370536348645</v>
      </c>
      <c r="BE25" s="22">
        <f>((Data!$AJ$21*LN('Intermediate calculations'!BE2))+Data!$AK$21)</f>
        <v>443.52560947656553</v>
      </c>
      <c r="BF25" s="22">
        <f>((Data!$AJ$21*LN('Intermediate calculations'!BF2))+Data!$AK$21)</f>
        <v>441.27589816831295</v>
      </c>
      <c r="BG25" s="22">
        <f>((Data!$AJ$21*LN('Intermediate calculations'!BG2))+Data!$AK$21)</f>
        <v>439.0725759817629</v>
      </c>
      <c r="BH25" s="22">
        <f>((Data!$AJ$21*LN('Intermediate calculations'!BH2))+Data!$AK$21)</f>
        <v>436.9137684137126</v>
      </c>
      <c r="BI25" s="22">
        <f>((Data!$AJ$21*LN('Intermediate calculations'!BI2))+Data!$AK$21)</f>
        <v>434.79771233259515</v>
      </c>
      <c r="BJ25" s="22">
        <f>((Data!$AJ$21*LN('Intermediate calculations'!BJ2))+Data!$AK$21)</f>
        <v>432.72274732684025</v>
      </c>
      <c r="BK25" s="22">
        <f>((Data!$AJ$21*LN('Intermediate calculations'!BK2))+Data!$AK$21)</f>
        <v>430.68730787735745</v>
      </c>
    </row>
    <row r="26" spans="1:63" x14ac:dyDescent="0.25">
      <c r="A26" t="s">
        <v>664</v>
      </c>
      <c r="B26" t="s">
        <v>663</v>
      </c>
      <c r="C26" s="53">
        <f>(C19+C22)*ttokg/Drivers!D4</f>
        <v>4.9999308433478458</v>
      </c>
      <c r="D26" s="53">
        <f>(D19+D22)*ttokg/Drivers!E4</f>
        <v>5.4614457719528247</v>
      </c>
      <c r="E26" s="53">
        <f>(E19+E22)*ttokg/Drivers!F4</f>
        <v>5.1457611843959734</v>
      </c>
      <c r="F26" s="53">
        <f>(F19+F22)*ttokg/Drivers!G4</f>
        <v>4.7686630712460971</v>
      </c>
      <c r="G26" s="53">
        <f>(G19+G22)*ttokg/Drivers!H4</f>
        <v>3.8457689848049967</v>
      </c>
      <c r="H26" s="53">
        <f>(H19+H22)*ttokg/Drivers!I4</f>
        <v>2.8477818602956413</v>
      </c>
      <c r="I26" s="53">
        <f>(I19+I22)*ttokg/Drivers!J4</f>
        <v>3.3853356398122196</v>
      </c>
      <c r="J26" s="53">
        <f>(J19+J22)*ttokg/Drivers!K4</f>
        <v>3.3032888357839978</v>
      </c>
      <c r="K26" s="53">
        <f>(K19+K22)*ttokg/Drivers!L4</f>
        <v>3.3194253227740504</v>
      </c>
      <c r="L26" s="53">
        <f>(L19+L22)*ttokg/Drivers!M4</f>
        <v>3.4732760614168128</v>
      </c>
      <c r="M26" s="53">
        <f>(M19+M22)*ttokg/Drivers!N4</f>
        <v>3.6248233954908264</v>
      </c>
      <c r="N26" s="53">
        <f>(N19+N22)*ttokg/Drivers!O4</f>
        <v>3.4890400474649885</v>
      </c>
      <c r="O26" s="53">
        <f>(O19+O22)*ttokg/Drivers!P4</f>
        <v>3.163534381215817</v>
      </c>
      <c r="P26" s="53">
        <f>(P19+P22)*ttokg/Drivers!Q4</f>
        <v>3.1250537787508157</v>
      </c>
      <c r="Q26" s="53">
        <f>(Q19+Q22)*ttokg/Drivers!R4</f>
        <v>3.2352461673434254</v>
      </c>
      <c r="R26" s="53">
        <f>(R19+R22)*ttokg/Drivers!S4</f>
        <v>3.5087278875217125</v>
      </c>
      <c r="S26" s="53">
        <f>(S19+S22)*ttokg/Drivers!T4</f>
        <v>3.6296548493147758</v>
      </c>
      <c r="T26" s="53">
        <f>(T19+T22)*ttokg/Drivers!U4</f>
        <v>4.132756433108721</v>
      </c>
      <c r="U26" s="53">
        <f>(U19+U22)*ttokg/Drivers!V4</f>
        <v>3.7967458513169015</v>
      </c>
      <c r="V26" s="53">
        <f>(V19+V22)*ttokg/Drivers!W4</f>
        <v>3.5659797684930274</v>
      </c>
      <c r="W26" s="53">
        <f>(W19+W22)*ttokg/Drivers!X4</f>
        <v>3.3973118750264071</v>
      </c>
      <c r="X26" s="53">
        <f>(X19+X22)*ttokg/Drivers!Y4</f>
        <v>2.9805301005465483</v>
      </c>
      <c r="Y26" s="53">
        <f>(Y19+Y22)*ttokg/Drivers!Z4</f>
        <v>3.4254176748489065</v>
      </c>
      <c r="Z26" s="53">
        <f>(Z19+Z22)*ttokg/Drivers!AA4</f>
        <v>3.4258366813602077</v>
      </c>
      <c r="AA26" s="53">
        <f>(AA19+AA22)*ttokg/Drivers!AB4</f>
        <v>3.425949179407541</v>
      </c>
      <c r="AB26" s="53">
        <f>(AB19+AB22)*ttokg/Drivers!AC4</f>
        <v>3.4258142259851234</v>
      </c>
      <c r="AC26" s="53">
        <f>(AC19+AC22)*ttokg/Drivers!AD4</f>
        <v>3.4255178330049136</v>
      </c>
      <c r="AD26" s="53">
        <f>(AD19+AD22)*ttokg/Drivers!AE4</f>
        <v>3.4253118170799985</v>
      </c>
      <c r="AE26" s="53">
        <f>(AE19+AE22)*ttokg/Drivers!AF4</f>
        <v>3.4251659572513189</v>
      </c>
      <c r="AF26" s="53">
        <f>(AF19+AF22)*ttokg/Drivers!AG4</f>
        <v>3.4250013899480463</v>
      </c>
      <c r="AG26" s="53">
        <f>(AG19+AG22)*ttokg/Drivers!AH4</f>
        <v>3.4216154059648565</v>
      </c>
      <c r="AH26" s="53">
        <f>(AH19+AH22)*ttokg/Drivers!AI4</f>
        <v>3.4219187604031198</v>
      </c>
      <c r="AI26" s="53">
        <f>(AI19+AI22)*ttokg/Drivers!AJ4</f>
        <v>3.4222460470414533</v>
      </c>
      <c r="AJ26" s="53">
        <f>(AJ19+AJ22)*ttokg/Drivers!AK4</f>
        <v>3.422663282907898</v>
      </c>
      <c r="AK26" s="53">
        <f>(AK19+AK22)*ttokg/Drivers!AL4</f>
        <v>3.4231275079507268</v>
      </c>
      <c r="AL26" s="53">
        <f>(AL19+AL22)*ttokg/Drivers!AM4</f>
        <v>3.4235807799111031</v>
      </c>
      <c r="AM26" s="53">
        <f>(AM19+AM22)*ttokg/Drivers!AN4</f>
        <v>3.42414574964927</v>
      </c>
      <c r="AN26" s="53">
        <f>(AN19+AN22)*ttokg/Drivers!AO4</f>
        <v>3.4247398728297429</v>
      </c>
      <c r="AO26" s="53">
        <f>(AO19+AO22)*ttokg/Drivers!AP4</f>
        <v>3.4253795993690805</v>
      </c>
      <c r="AP26" s="53">
        <f>(AP19+AP22)*ttokg/Drivers!AQ4</f>
        <v>3.4260445725613269</v>
      </c>
      <c r="AQ26" s="53">
        <f>(AQ19+AQ22)*ttokg/Drivers!AR4</f>
        <v>3.4265605107239607</v>
      </c>
      <c r="AR26" s="53">
        <f>(AR19+AR22)*ttokg/Drivers!AS4</f>
        <v>3.4272789830627901</v>
      </c>
      <c r="AS26" s="53">
        <f>(AS19+AS22)*ttokg/Drivers!AT4</f>
        <v>3.4280144948971794</v>
      </c>
      <c r="AT26" s="53">
        <f>(AT19+AT22)*ttokg/Drivers!AU4</f>
        <v>3.428773720350192</v>
      </c>
      <c r="AU26" s="53">
        <f>(AU19+AU22)*ttokg/Drivers!AV4</f>
        <v>3.4294873390902216</v>
      </c>
      <c r="AV26" s="53">
        <f>(AV19+AV22)*ttokg/Drivers!AW4</f>
        <v>3.4302526711764245</v>
      </c>
      <c r="AW26" s="53">
        <f>(AW19+AW22)*ttokg/Drivers!AX4</f>
        <v>3.4310708105704002</v>
      </c>
      <c r="AX26" s="53">
        <f>(AX19+AX22)*ttokg/Drivers!AY4</f>
        <v>3.4319232281815166</v>
      </c>
      <c r="AY26" s="53">
        <f>(AY19+AY22)*ttokg/Drivers!AZ4</f>
        <v>3.4327609658379665</v>
      </c>
      <c r="AZ26" s="53">
        <f>(AZ19+AZ22)*ttokg/Drivers!BA4</f>
        <v>3.4336332126677922</v>
      </c>
      <c r="BA26" s="53">
        <f>(BA19+BA22)*ttokg/Drivers!BB4</f>
        <v>3.4345697715671299</v>
      </c>
      <c r="BB26" s="53">
        <f>(BB19+BB22)*ttokg/Drivers!BC4</f>
        <v>3.4355568087642401</v>
      </c>
      <c r="BC26" s="53">
        <f>(BC19+BC22)*ttokg/Drivers!BD4</f>
        <v>3.4365901166242199</v>
      </c>
      <c r="BD26" s="53">
        <f>(BD19+BD22)*ttokg/Drivers!BE4</f>
        <v>3.4376718906456212</v>
      </c>
      <c r="BE26" s="53">
        <f>(BE19+BE22)*ttokg/Drivers!BF4</f>
        <v>3.4388026819284043</v>
      </c>
      <c r="BF26" s="53">
        <f>(BF19+BF22)*ttokg/Drivers!BG4</f>
        <v>3.4399944966551113</v>
      </c>
      <c r="BG26" s="53">
        <f>(BG19+BG22)*ttokg/Drivers!BH4</f>
        <v>3.4411045295111604</v>
      </c>
      <c r="BH26" s="53">
        <f>(BH19+BH22)*ttokg/Drivers!BI4</f>
        <v>3.4422710140053803</v>
      </c>
      <c r="BI26" s="53">
        <f>(BI19+BI22)*ttokg/Drivers!BJ4</f>
        <v>3.4435051216606234</v>
      </c>
      <c r="BJ26" s="53">
        <f>(BJ19+BJ22)*ttokg/Drivers!BK4</f>
        <v>3.4448130323622768</v>
      </c>
      <c r="BK26" s="53">
        <f>(BK19+BK22)*ttokg/Drivers!BL4</f>
        <v>3.4462287601778163</v>
      </c>
    </row>
    <row r="27" spans="1:63" x14ac:dyDescent="0.25">
      <c r="A27" t="s">
        <v>333</v>
      </c>
      <c r="B27" t="s">
        <v>321</v>
      </c>
      <c r="C27" s="22">
        <v>157160</v>
      </c>
      <c r="D27" s="22">
        <v>178840</v>
      </c>
      <c r="E27" s="22">
        <v>164160</v>
      </c>
      <c r="F27" s="22">
        <v>156060</v>
      </c>
      <c r="G27" s="22">
        <v>125940</v>
      </c>
      <c r="H27" s="22">
        <v>87720</v>
      </c>
      <c r="I27" s="22">
        <v>97720</v>
      </c>
      <c r="J27" s="22">
        <v>94080</v>
      </c>
      <c r="K27" s="22">
        <v>88200</v>
      </c>
      <c r="L27" s="22">
        <v>95660</v>
      </c>
      <c r="M27" s="22">
        <v>98520</v>
      </c>
      <c r="N27" s="22">
        <v>95860</v>
      </c>
      <c r="O27" s="22">
        <v>96340</v>
      </c>
      <c r="P27" s="22">
        <v>105640</v>
      </c>
      <c r="Q27" s="22">
        <v>111120</v>
      </c>
      <c r="R27" s="22">
        <v>124520</v>
      </c>
      <c r="S27" s="22">
        <v>124740</v>
      </c>
      <c r="T27" s="22">
        <v>148520</v>
      </c>
      <c r="U27" s="22">
        <v>149260</v>
      </c>
      <c r="V27" s="22">
        <v>151300</v>
      </c>
      <c r="W27" s="22">
        <v>153460</v>
      </c>
      <c r="X27" s="22">
        <v>139500</v>
      </c>
      <c r="Y27" s="22">
        <f>((Data!$AJ$23*'Intermediate calculations'!Y19)+Data!$AK$23)</f>
        <v>152723.20077504648</v>
      </c>
      <c r="Z27" s="22">
        <f>((Data!$AJ$23*'Intermediate calculations'!Z19)+Data!$AK$23)</f>
        <v>154166.78029587434</v>
      </c>
      <c r="AA27" s="22">
        <f>((Data!$AJ$23*'Intermediate calculations'!AA19)+Data!$AK$23)</f>
        <v>155655.20319300855</v>
      </c>
      <c r="AB27" s="22">
        <f>((Data!$AJ$23*'Intermediate calculations'!AB19)+Data!$AK$23)</f>
        <v>157191.87122948247</v>
      </c>
      <c r="AC27" s="22">
        <f>((Data!$AJ$23*'Intermediate calculations'!AC19)+Data!$AK$23)</f>
        <v>158781.17355320705</v>
      </c>
      <c r="AD27" s="22">
        <f>((Data!$AJ$23*'Intermediate calculations'!AD19)+Data!$AK$23)</f>
        <v>160432.77621489536</v>
      </c>
      <c r="AE27" s="22">
        <f>((Data!$AJ$23*'Intermediate calculations'!AE19)+Data!$AK$23)</f>
        <v>162108.16883472903</v>
      </c>
      <c r="AF27" s="22">
        <f>((Data!$AJ$23*'Intermediate calculations'!AF19)+Data!$AK$23)</f>
        <v>163809.99677383061</v>
      </c>
      <c r="AG27" s="22">
        <f>((Data!$AJ$23*'Intermediate calculations'!AG19)+Data!$AK$23)</f>
        <v>165436.75084643316</v>
      </c>
      <c r="AH27" s="22">
        <f>((Data!$AJ$23*'Intermediate calculations'!AH19)+Data!$AK$23)</f>
        <v>166895.3658592283</v>
      </c>
      <c r="AI27" s="22">
        <f>((Data!$AJ$23*'Intermediate calculations'!AI19)+Data!$AK$23)</f>
        <v>168271.51711380162</v>
      </c>
      <c r="AJ27" s="22">
        <f>((Data!$AJ$23*'Intermediate calculations'!AJ19)+Data!$AK$23)</f>
        <v>169563.73364960559</v>
      </c>
      <c r="AK27" s="22">
        <f>((Data!$AJ$23*'Intermediate calculations'!AK19)+Data!$AK$23)</f>
        <v>170834.76835591043</v>
      </c>
      <c r="AL27" s="22">
        <f>((Data!$AJ$23*'Intermediate calculations'!AL19)+Data!$AK$23)</f>
        <v>172081.60662880418</v>
      </c>
      <c r="AM27" s="22">
        <f>((Data!$AJ$23*'Intermediate calculations'!AM19)+Data!$AK$23)</f>
        <v>173307.3188354841</v>
      </c>
      <c r="AN27" s="22">
        <f>((Data!$AJ$23*'Intermediate calculations'!AN19)+Data!$AK$23)</f>
        <v>174508.0902579042</v>
      </c>
      <c r="AO27" s="22">
        <f>((Data!$AJ$23*'Intermediate calculations'!AO19)+Data!$AK$23)</f>
        <v>175683.44668729644</v>
      </c>
      <c r="AP27" s="22">
        <f>((Data!$AJ$23*'Intermediate calculations'!AP19)+Data!$AK$23)</f>
        <v>176840.12981397373</v>
      </c>
      <c r="AQ27" s="22">
        <f>((Data!$AJ$23*'Intermediate calculations'!AQ19)+Data!$AK$23)</f>
        <v>177971.18703099416</v>
      </c>
      <c r="AR27" s="22">
        <f>((Data!$AJ$23*'Intermediate calculations'!AR19)+Data!$AK$23)</f>
        <v>179088.2513162852</v>
      </c>
      <c r="AS27" s="22">
        <f>((Data!$AJ$23*'Intermediate calculations'!AS19)+Data!$AK$23)</f>
        <v>180184.04017235528</v>
      </c>
      <c r="AT27" s="22">
        <f>((Data!$AJ$23*'Intermediate calculations'!AT19)+Data!$AK$23)</f>
        <v>181258.03554989008</v>
      </c>
      <c r="AU27" s="22">
        <f>((Data!$AJ$23*'Intermediate calculations'!AU19)+Data!$AK$23)</f>
        <v>182309.42178846872</v>
      </c>
      <c r="AV27" s="22">
        <f>((Data!$AJ$23*'Intermediate calculations'!AV19)+Data!$AK$23)</f>
        <v>183341.06289356682</v>
      </c>
      <c r="AW27" s="22">
        <f>((Data!$AJ$23*'Intermediate calculations'!AW19)+Data!$AK$23)</f>
        <v>184352.36155819398</v>
      </c>
      <c r="AX27" s="22">
        <f>((Data!$AJ$23*'Intermediate calculations'!AX19)+Data!$AK$23)</f>
        <v>185341.99370769653</v>
      </c>
      <c r="AY27" s="22">
        <f>((Data!$AJ$23*'Intermediate calculations'!AY19)+Data!$AK$23)</f>
        <v>186307.47391776304</v>
      </c>
      <c r="AZ27" s="22">
        <f>((Data!$AJ$23*'Intermediate calculations'!AZ19)+Data!$AK$23)</f>
        <v>187252.68165161597</v>
      </c>
      <c r="BA27" s="22">
        <f>((Data!$AJ$23*'Intermediate calculations'!BA19)+Data!$AK$23)</f>
        <v>188178.20470070752</v>
      </c>
      <c r="BB27" s="22">
        <f>((Data!$AJ$23*'Intermediate calculations'!BB19)+Data!$AK$23)</f>
        <v>189082.98664607908</v>
      </c>
      <c r="BC27" s="22">
        <f>((Data!$AJ$23*'Intermediate calculations'!BC19)+Data!$AK$23)</f>
        <v>189966.33950006959</v>
      </c>
      <c r="BD27" s="22">
        <f>((Data!$AJ$23*'Intermediate calculations'!BD19)+Data!$AK$23)</f>
        <v>190827.83074624467</v>
      </c>
      <c r="BE27" s="22">
        <f>((Data!$AJ$23*'Intermediate calculations'!BE19)+Data!$AK$23)</f>
        <v>191667.08648280811</v>
      </c>
      <c r="BF27" s="22">
        <f>((Data!$AJ$23*'Intermediate calculations'!BF19)+Data!$AK$23)</f>
        <v>192484.08732502608</v>
      </c>
      <c r="BG27" s="22">
        <f>((Data!$AJ$23*'Intermediate calculations'!BG19)+Data!$AK$23)</f>
        <v>193272.68426533733</v>
      </c>
      <c r="BH27" s="22">
        <f>((Data!$AJ$23*'Intermediate calculations'!BH19)+Data!$AK$23)</f>
        <v>194037.84437674441</v>
      </c>
      <c r="BI27" s="22">
        <f>((Data!$AJ$23*'Intermediate calculations'!BI19)+Data!$AK$23)</f>
        <v>194779.56333339898</v>
      </c>
      <c r="BJ27" s="22">
        <f>((Data!$AJ$23*'Intermediate calculations'!BJ19)+Data!$AK$23)</f>
        <v>195497.28263160266</v>
      </c>
      <c r="BK27" s="22">
        <f>((Data!$AJ$23*'Intermediate calculations'!BK19)+Data!$AK$23)</f>
        <v>196191.95556910185</v>
      </c>
    </row>
    <row r="28" spans="1:63" x14ac:dyDescent="0.25">
      <c r="A28" t="s">
        <v>816</v>
      </c>
      <c r="B28" t="s">
        <v>815</v>
      </c>
      <c r="C28" s="22">
        <f>Data!C24</f>
        <v>217.37632200135343</v>
      </c>
      <c r="D28" s="22">
        <f>Data!D24</f>
        <v>182.43533983922441</v>
      </c>
      <c r="E28" s="22">
        <f>Data!E24</f>
        <v>190.5375058012163</v>
      </c>
      <c r="F28" s="22">
        <f>Data!F24</f>
        <v>187.44392961876648</v>
      </c>
      <c r="G28" s="22">
        <f>Data!G24</f>
        <v>233.91106858199078</v>
      </c>
      <c r="H28" s="22">
        <f>Data!H24</f>
        <v>331.02055240676185</v>
      </c>
      <c r="I28" s="22">
        <f>Data!I24</f>
        <v>298.13738680684139</v>
      </c>
      <c r="J28" s="22">
        <f>Data!J24</f>
        <v>302.93782099105391</v>
      </c>
      <c r="K28" s="22">
        <f>Data!K24</f>
        <v>324.02516807184935</v>
      </c>
      <c r="L28" s="22">
        <f>Data!L24</f>
        <v>291.41805349120352</v>
      </c>
      <c r="M28" s="22">
        <f>Data!M24</f>
        <v>272.814221136475</v>
      </c>
      <c r="N28" s="22">
        <f>Data!N24</f>
        <v>273.39449106353061</v>
      </c>
      <c r="O28" s="22">
        <f>Data!O24</f>
        <v>267.49019053642013</v>
      </c>
      <c r="P28" s="22">
        <f>Data!P24</f>
        <v>244.7939244530279</v>
      </c>
      <c r="Q28" s="22">
        <f>Data!Q24</f>
        <v>228.57854595451533</v>
      </c>
      <c r="R28" s="22">
        <f>Data!R24</f>
        <v>203.49543332726975</v>
      </c>
      <c r="S28" s="22">
        <f>Data!S24</f>
        <v>200.47811015517084</v>
      </c>
      <c r="T28" s="22">
        <f>Data!T24</f>
        <v>168.21780706498231</v>
      </c>
      <c r="U28" s="22">
        <f>Data!U24</f>
        <v>167.92588402758949</v>
      </c>
      <c r="V28" s="22">
        <f>Data!V24</f>
        <v>165.07423520689287</v>
      </c>
      <c r="W28" s="22">
        <f>Data!W24</f>
        <v>159.60223145034516</v>
      </c>
      <c r="X28" s="22">
        <f>Data!X24</f>
        <v>174.20152254230294</v>
      </c>
      <c r="Y28" s="22">
        <f>((Data!$AJ$24*LN('Intermediate calculations'!Y2))+Data!$AK$24)</f>
        <v>143.13279435069433</v>
      </c>
      <c r="Z28" s="22">
        <f>((Data!$AJ$24*LN('Intermediate calculations'!Z2))+Data!$AK$24)</f>
        <v>141.87225913644176</v>
      </c>
      <c r="AA28" s="22">
        <f>((Data!$AJ$24*LN('Intermediate calculations'!AA2))+Data!$AK$24)</f>
        <v>140.68816831280071</v>
      </c>
      <c r="AB28" s="22">
        <f>((Data!$AJ$24*LN('Intermediate calculations'!AB2))+Data!$AK$24)</f>
        <v>139.57177778872142</v>
      </c>
      <c r="AC28" s="22">
        <f>((Data!$AJ$24*LN('Intermediate calculations'!AC2))+Data!$AK$24)</f>
        <v>138.51576294445979</v>
      </c>
      <c r="AD28" s="22">
        <f>((Data!$AJ$24*LN('Intermediate calculations'!AD2))+Data!$AK$24)</f>
        <v>137.51392709989949</v>
      </c>
      <c r="AE28" s="22">
        <f>((Data!$AJ$24*LN('Intermediate calculations'!AE2))+Data!$AK$24)</f>
        <v>136.56098118541792</v>
      </c>
      <c r="AF28" s="22">
        <f>((Data!$AJ$24*LN('Intermediate calculations'!AF2))+Data!$AK$24)</f>
        <v>135.65237471533214</v>
      </c>
      <c r="AG28" s="22">
        <f>((Data!$AJ$24*LN('Intermediate calculations'!AG2))+Data!$AK$24)</f>
        <v>134.78416436485497</v>
      </c>
      <c r="AH28" s="22">
        <f>((Data!$AJ$24*LN('Intermediate calculations'!AH2))+Data!$AK$24)</f>
        <v>133.95291053792658</v>
      </c>
      <c r="AI28" s="22">
        <f>((Data!$AJ$24*LN('Intermediate calculations'!AI2))+Data!$AK$24)</f>
        <v>133.15559506335725</v>
      </c>
      <c r="AJ28" s="22">
        <f>((Data!$AJ$24*LN('Intermediate calculations'!AJ2))+Data!$AK$24)</f>
        <v>132.38955504281779</v>
      </c>
      <c r="AK28" s="22">
        <f>((Data!$AJ$24*LN('Intermediate calculations'!AK2))+Data!$AK$24)</f>
        <v>131.65242919020625</v>
      </c>
      <c r="AL28" s="22">
        <f>((Data!$AJ$24*LN('Intermediate calculations'!AL2))+Data!$AK$24)</f>
        <v>130.94211393462308</v>
      </c>
      <c r="AM28" s="22">
        <f>((Data!$AJ$24*LN('Intermediate calculations'!AM2))+Data!$AK$24)</f>
        <v>130.25672722979891</v>
      </c>
      <c r="AN28" s="22">
        <f>((Data!$AJ$24*LN('Intermediate calculations'!AN2))+Data!$AK$24)</f>
        <v>129.59457850138432</v>
      </c>
      <c r="AO28" s="22">
        <f>((Data!$AJ$24*LN('Intermediate calculations'!AO2))+Data!$AK$24)</f>
        <v>128.95414352380905</v>
      </c>
      <c r="AP28" s="22">
        <f>((Data!$AJ$24*LN('Intermediate calculations'!AP2))+Data!$AK$24)</f>
        <v>128.33404328713178</v>
      </c>
      <c r="AQ28" s="22">
        <f>((Data!$AJ$24*LN('Intermediate calculations'!AQ2))+Data!$AK$24)</f>
        <v>127.733026116817</v>
      </c>
      <c r="AR28" s="22">
        <f>((Data!$AJ$24*LN('Intermediate calculations'!AR2))+Data!$AK$24)</f>
        <v>127.14995246349075</v>
      </c>
      <c r="AS28" s="22">
        <f>((Data!$AJ$24*LN('Intermediate calculations'!AS2))+Data!$AK$24)</f>
        <v>126.58378189808082</v>
      </c>
      <c r="AT28" s="22">
        <f>((Data!$AJ$24*LN('Intermediate calculations'!AT2))+Data!$AK$24)</f>
        <v>126.03356193941144</v>
      </c>
      <c r="AU28" s="22">
        <f>((Data!$AJ$24*LN('Intermediate calculations'!AU2))+Data!$AK$24)</f>
        <v>125.49841841288261</v>
      </c>
      <c r="AV28" s="22">
        <f>((Data!$AJ$24*LN('Intermediate calculations'!AV2))+Data!$AK$24)</f>
        <v>124.97754709514982</v>
      </c>
      <c r="AW28" s="22">
        <f>((Data!$AJ$24*LN('Intermediate calculations'!AW2))+Data!$AK$24)</f>
        <v>124.47020644430265</v>
      </c>
      <c r="AX28" s="22">
        <f>((Data!$AJ$24*LN('Intermediate calculations'!AX2))+Data!$AK$24)</f>
        <v>123.97571125058951</v>
      </c>
      <c r="AY28" s="22">
        <f>((Data!$AJ$24*LN('Intermediate calculations'!AY2))+Data!$AK$24)</f>
        <v>123.49342707125868</v>
      </c>
      <c r="AZ28" s="22">
        <f>((Data!$AJ$24*LN('Intermediate calculations'!AZ2))+Data!$AK$24)</f>
        <v>123.02276533610791</v>
      </c>
      <c r="BA28" s="22">
        <f>((Data!$AJ$24*LN('Intermediate calculations'!BA2))+Data!$AK$24)</f>
        <v>122.5631790290216</v>
      </c>
      <c r="BB28" s="22">
        <f>((Data!$AJ$24*LN('Intermediate calculations'!BB2))+Data!$AK$24)</f>
        <v>122.11415886602218</v>
      </c>
      <c r="BC28" s="22">
        <f>((Data!$AJ$24*LN('Intermediate calculations'!BC2))+Data!$AK$24)</f>
        <v>121.67522990286919</v>
      </c>
      <c r="BD28" s="22">
        <f>((Data!$AJ$24*LN('Intermediate calculations'!BD2))+Data!$AK$24)</f>
        <v>121.24594851554498</v>
      </c>
      <c r="BE28" s="22">
        <f>((Data!$AJ$24*LN('Intermediate calculations'!BE2))+Data!$AK$24)</f>
        <v>120.82589970549897</v>
      </c>
      <c r="BF28" s="22">
        <f>((Data!$AJ$24*LN('Intermediate calculations'!BF2))+Data!$AK$24)</f>
        <v>120.41469468861661</v>
      </c>
      <c r="BG28" s="22">
        <f>((Data!$AJ$24*LN('Intermediate calculations'!BG2))+Data!$AK$24)</f>
        <v>120.01196873280439</v>
      </c>
      <c r="BH28" s="22">
        <f>((Data!$AJ$24*LN('Intermediate calculations'!BH2))+Data!$AK$24)</f>
        <v>119.61737921404726</v>
      </c>
      <c r="BI28" s="22">
        <f>((Data!$AJ$24*LN('Intermediate calculations'!BI2))+Data!$AK$24)</f>
        <v>119.23060386497559</v>
      </c>
      <c r="BJ28" s="22">
        <f>((Data!$AJ$24*LN('Intermediate calculations'!BJ2))+Data!$AK$24)</f>
        <v>118.85133919350781</v>
      </c>
      <c r="BK28" s="22">
        <f>((Data!$AJ$24*LN('Intermediate calculations'!BK2))+Data!$AK$24)</f>
        <v>118.47929905212735</v>
      </c>
    </row>
    <row r="29" spans="1:63" x14ac:dyDescent="0.25">
      <c r="A29" t="s">
        <v>334</v>
      </c>
      <c r="B29" t="s">
        <v>321</v>
      </c>
      <c r="C29" s="22">
        <v>125000</v>
      </c>
      <c r="D29" s="22">
        <v>130000</v>
      </c>
      <c r="E29" s="22">
        <v>112000</v>
      </c>
      <c r="F29" s="22">
        <v>129000</v>
      </c>
      <c r="G29" s="22">
        <v>122000</v>
      </c>
      <c r="H29" s="22">
        <v>124000</v>
      </c>
      <c r="I29" s="22">
        <v>131000</v>
      </c>
      <c r="J29" s="22">
        <v>133000</v>
      </c>
      <c r="K29" s="22">
        <v>130000</v>
      </c>
      <c r="L29" s="22">
        <v>126000</v>
      </c>
      <c r="M29" s="22">
        <v>131000</v>
      </c>
      <c r="N29" s="22">
        <v>115000</v>
      </c>
      <c r="O29" s="22">
        <v>123000</v>
      </c>
      <c r="P29" s="22">
        <v>146000</v>
      </c>
      <c r="Q29" s="22">
        <v>174000</v>
      </c>
      <c r="R29" s="22">
        <v>182000</v>
      </c>
      <c r="S29" s="22">
        <v>193000</v>
      </c>
      <c r="T29" s="22">
        <v>206000</v>
      </c>
      <c r="U29" s="22">
        <v>198000</v>
      </c>
      <c r="V29" s="22">
        <v>199000</v>
      </c>
      <c r="W29" s="22">
        <v>215000</v>
      </c>
      <c r="X29" s="22">
        <v>231000</v>
      </c>
      <c r="Y29" s="22">
        <f>((Data!$AJ$9*'Intermediate calculations'!Y4)+Data!$AK$9)*Drivers!Z4</f>
        <v>233988.86130861868</v>
      </c>
      <c r="Z29" s="22">
        <f>((Data!$AJ$9*'Intermediate calculations'!Z4)+Data!$AK$9)*Drivers!AA4</f>
        <v>241185.36665430863</v>
      </c>
      <c r="AA29" s="22">
        <f>((Data!$AJ$9*'Intermediate calculations'!AA4)+Data!$AK$9)*Drivers!AB4</f>
        <v>245867.09519875137</v>
      </c>
      <c r="AB29" s="22">
        <f>((Data!$AJ$9*'Intermediate calculations'!AB4)+Data!$AK$9)*Drivers!AC4</f>
        <v>248456.3531400855</v>
      </c>
      <c r="AC29" s="22">
        <f>((Data!$AJ$9*'Intermediate calculations'!AC4)+Data!$AK$9)*Drivers!AD4</f>
        <v>249650.87327206676</v>
      </c>
      <c r="AD29" s="22">
        <f>((Data!$AJ$9*'Intermediate calculations'!AD4)+Data!$AK$9)*Drivers!AE4</f>
        <v>251756.36755655694</v>
      </c>
      <c r="AE29" s="22">
        <f>((Data!$AJ$9*'Intermediate calculations'!AE4)+Data!$AK$9)*Drivers!AF4</f>
        <v>254429.65616013398</v>
      </c>
      <c r="AF29" s="22">
        <f>((Data!$AJ$9*'Intermediate calculations'!AF4)+Data!$AK$9)*Drivers!AG4</f>
        <v>256941.3624224322</v>
      </c>
      <c r="AG29" s="22">
        <f>((Data!$AJ$9*'Intermediate calculations'!AG4)+Data!$AK$9)*Drivers!AH4</f>
        <v>227584.69360427032</v>
      </c>
      <c r="AH29" s="22">
        <f>((Data!$AJ$9*'Intermediate calculations'!AH4)+Data!$AK$9)*Drivers!AI4</f>
        <v>233655.33865809179</v>
      </c>
      <c r="AI29" s="22">
        <f>((Data!$AJ$9*'Intermediate calculations'!AI4)+Data!$AK$9)*Drivers!AJ4</f>
        <v>239869.76151999968</v>
      </c>
      <c r="AJ29" s="22">
        <f>((Data!$AJ$9*'Intermediate calculations'!AJ4)+Data!$AK$9)*Drivers!AK4</f>
        <v>246899.39988262448</v>
      </c>
      <c r="AK29" s="22">
        <f>((Data!$AJ$9*'Intermediate calculations'!AK4)+Data!$AK$9)*Drivers!AL4</f>
        <v>254462.64146737233</v>
      </c>
      <c r="AL29" s="22">
        <f>((Data!$AJ$9*'Intermediate calculations'!AL4)+Data!$AK$9)*Drivers!AM4</f>
        <v>261962.03183231421</v>
      </c>
      <c r="AM29" s="22">
        <f>((Data!$AJ$9*'Intermediate calculations'!AM4)+Data!$AK$9)*Drivers!AN4</f>
        <v>270689.08069225051</v>
      </c>
      <c r="AN29" s="22">
        <f>((Data!$AJ$9*'Intermediate calculations'!AN4)+Data!$AK$9)*Drivers!AO4</f>
        <v>279789.8466003603</v>
      </c>
      <c r="AO29" s="22">
        <f>((Data!$AJ$9*'Intermediate calculations'!AO4)+Data!$AK$9)*Drivers!AP4</f>
        <v>289444.79565944558</v>
      </c>
      <c r="AP29" s="22">
        <f>((Data!$AJ$9*'Intermediate calculations'!AP4)+Data!$AK$9)*Drivers!AQ4</f>
        <v>299459.69062530366</v>
      </c>
      <c r="AQ29" s="22">
        <f>((Data!$AJ$9*'Intermediate calculations'!AQ4)+Data!$AK$9)*Drivers!AR4</f>
        <v>307915.99064805708</v>
      </c>
      <c r="AR29" s="22">
        <f>((Data!$AJ$9*'Intermediate calculations'!AR4)+Data!$AK$9)*Drivers!AS4</f>
        <v>318672.94900333724</v>
      </c>
      <c r="AS29" s="22">
        <f>((Data!$AJ$9*'Intermediate calculations'!AS4)+Data!$AK$9)*Drivers!AT4</f>
        <v>329703.81632229686</v>
      </c>
      <c r="AT29" s="22">
        <f>((Data!$AJ$9*'Intermediate calculations'!AT4)+Data!$AK$9)*Drivers!AU4</f>
        <v>341082.48976225744</v>
      </c>
      <c r="AU29" s="22">
        <f>((Data!$AJ$9*'Intermediate calculations'!AU4)+Data!$AK$9)*Drivers!AV4</f>
        <v>352025.19670330663</v>
      </c>
      <c r="AV29" s="22">
        <f>((Data!$AJ$9*'Intermediate calculations'!AV4)+Data!$AK$9)*Drivers!AW4</f>
        <v>363631.87693280604</v>
      </c>
      <c r="AW29" s="22">
        <f>((Data!$AJ$9*'Intermediate calculations'!AW4)+Data!$AK$9)*Drivers!AX4</f>
        <v>375922.75619778066</v>
      </c>
      <c r="AX29" s="22">
        <f>((Data!$AJ$9*'Intermediate calculations'!AX4)+Data!$AK$9)*Drivers!AY4</f>
        <v>388688.612951838</v>
      </c>
      <c r="AY29" s="22">
        <f>((Data!$AJ$9*'Intermediate calculations'!AY4)+Data!$AK$9)*Drivers!AZ4</f>
        <v>401355.39075790346</v>
      </c>
      <c r="AZ29" s="22">
        <f>((Data!$AJ$9*'Intermediate calculations'!AZ4)+Data!$AK$9)*Drivers!BA4</f>
        <v>414502.66522396693</v>
      </c>
      <c r="BA29" s="22">
        <f>((Data!$AJ$9*'Intermediate calculations'!BA4)+Data!$AK$9)*Drivers!BB4</f>
        <v>428487.15652100428</v>
      </c>
      <c r="BB29" s="22">
        <f>((Data!$AJ$9*'Intermediate calculations'!BB4)+Data!$AK$9)*Drivers!BC4</f>
        <v>443150.83052425022</v>
      </c>
      <c r="BC29" s="22">
        <f>((Data!$AJ$9*'Intermediate calculations'!BC4)+Data!$AK$9)*Drivers!BD4</f>
        <v>458446.69137715269</v>
      </c>
      <c r="BD29" s="22">
        <f>((Data!$AJ$9*'Intermediate calculations'!BD4)+Data!$AK$9)*Drivers!BE4</f>
        <v>474403.4755821146</v>
      </c>
      <c r="BE29" s="22">
        <f>((Data!$AJ$9*'Intermediate calculations'!BE4)+Data!$AK$9)*Drivers!BF4</f>
        <v>491030.09386237129</v>
      </c>
      <c r="BF29" s="22">
        <f>((Data!$AJ$9*'Intermediate calculations'!BF4)+Data!$AK$9)*Drivers!BG4</f>
        <v>508475.21960225853</v>
      </c>
      <c r="BG29" s="22">
        <f>((Data!$AJ$9*'Intermediate calculations'!BG4)+Data!$AK$9)*Drivers!BH4</f>
        <v>524976.91458941658</v>
      </c>
      <c r="BH29" s="22">
        <f>((Data!$AJ$9*'Intermediate calculations'!BH4)+Data!$AK$9)*Drivers!BI4</f>
        <v>542226.20019221969</v>
      </c>
      <c r="BI29" s="22">
        <f>((Data!$AJ$9*'Intermediate calculations'!BI4)+Data!$AK$9)*Drivers!BJ4</f>
        <v>560363.40114147484</v>
      </c>
      <c r="BJ29" s="22">
        <f>((Data!$AJ$9*'Intermediate calculations'!BJ4)+Data!$AK$9)*Drivers!BK4</f>
        <v>579466.40087219805</v>
      </c>
      <c r="BK29" s="22">
        <f>((Data!$AJ$9*'Intermediate calculations'!BK4)+Data!$AK$9)*Drivers!BL4</f>
        <v>599965.54154690541</v>
      </c>
    </row>
    <row r="30" spans="1:63" x14ac:dyDescent="0.25">
      <c r="A30" t="s">
        <v>334</v>
      </c>
      <c r="B30" t="s">
        <v>663</v>
      </c>
      <c r="C30" s="53">
        <f>C29*ttokg/Drivers!D4</f>
        <v>3.3966921490134823</v>
      </c>
      <c r="D30" s="53">
        <f>D29*ttokg/Drivers!E4</f>
        <v>3.4465434483197437</v>
      </c>
      <c r="E30" s="53">
        <f>E29*ttokg/Drivers!F4</f>
        <v>2.896106797247985</v>
      </c>
      <c r="F30" s="53">
        <f>F29*ttokg/Drivers!G4</f>
        <v>3.2548017787870185</v>
      </c>
      <c r="G30" s="53">
        <f>G29*ttokg/Drivers!H4</f>
        <v>3.0075885650398053</v>
      </c>
      <c r="H30" s="53">
        <f>H29*ttokg/Drivers!I4</f>
        <v>2.9925843277683009</v>
      </c>
      <c r="I30" s="53">
        <f>I29*ttokg/Drivers!J4</f>
        <v>3.1012515301776276</v>
      </c>
      <c r="J30" s="53">
        <f>J29*ttokg/Drivers!K4</f>
        <v>3.0939254588681102</v>
      </c>
      <c r="K30" s="53">
        <f>K29*ttokg/Drivers!L4</f>
        <v>2.9760364962801833</v>
      </c>
      <c r="L30" s="53">
        <f>L29*ttokg/Drivers!M4</f>
        <v>2.8417713229773924</v>
      </c>
      <c r="M30" s="53">
        <f>M29*ttokg/Drivers!N4</f>
        <v>2.9132016245969217</v>
      </c>
      <c r="N30" s="53">
        <f>N29*ttokg/Drivers!O4</f>
        <v>2.5235195311853693</v>
      </c>
      <c r="O30" s="53">
        <f>O29*ttokg/Drivers!P4</f>
        <v>2.6651693759557911</v>
      </c>
      <c r="P30" s="53">
        <f>P29*ttokg/Drivers!Q4</f>
        <v>3.1250537787508157</v>
      </c>
      <c r="Q30" s="53">
        <f>Q29*ttokg/Drivers!R4</f>
        <v>3.67929956286115</v>
      </c>
      <c r="R30" s="53">
        <f>R29*ttokg/Drivers!S4</f>
        <v>3.8011218781485221</v>
      </c>
      <c r="S30" s="53">
        <f>S29*ttokg/Drivers!T4</f>
        <v>3.9802465108963165</v>
      </c>
      <c r="T30" s="53">
        <f>T29*ttokg/Drivers!U4</f>
        <v>4.1938316513320029</v>
      </c>
      <c r="U30" s="53">
        <f>U29*ttokg/Drivers!V4</f>
        <v>3.9775432728081821</v>
      </c>
      <c r="V30" s="53">
        <f>V29*ttokg/Drivers!W4</f>
        <v>3.9423887440561804</v>
      </c>
      <c r="W30" s="53">
        <f>W29*ttokg/Drivers!X4</f>
        <v>4.197827891555618</v>
      </c>
      <c r="X30" s="53">
        <f>X29*ttokg/Drivers!Y4</f>
        <v>4.4419513111371138</v>
      </c>
      <c r="Y30" s="53">
        <f>Y29*ttokg/Drivers!Z4</f>
        <v>4.4717998193340831</v>
      </c>
      <c r="Z30" s="53">
        <f>Z29*ttokg/Drivers!AA4</f>
        <v>4.5417221201329241</v>
      </c>
      <c r="AA30" s="53">
        <f>AA29*ttokg/Drivers!AB4</f>
        <v>4.5604953899813401</v>
      </c>
      <c r="AB30" s="53">
        <f>AB29*ttokg/Drivers!AC4</f>
        <v>4.5379748478378721</v>
      </c>
      <c r="AC30" s="53">
        <f>AC29*ttokg/Drivers!AD4</f>
        <v>4.4885138524646289</v>
      </c>
      <c r="AD30" s="53">
        <f>AD29*ttokg/Drivers!AE4</f>
        <v>4.4541346552856016</v>
      </c>
      <c r="AE30" s="53">
        <f>AE29*ttokg/Drivers!AF4</f>
        <v>4.4297940912602476</v>
      </c>
      <c r="AF30" s="53">
        <f>AF29*ttokg/Drivers!AG4</f>
        <v>4.4023316911049086</v>
      </c>
      <c r="AG30" s="53">
        <f>AG29*ttokg/Drivers!AH4</f>
        <v>3.8372908523906077</v>
      </c>
      <c r="AH30" s="53">
        <f>AH29*ttokg/Drivers!AI4</f>
        <v>3.887913550866267</v>
      </c>
      <c r="AI30" s="53">
        <f>AI29*ttokg/Drivers!AJ4</f>
        <v>3.9425299688828797</v>
      </c>
      <c r="AJ30" s="53">
        <f>AJ29*ttokg/Drivers!AK4</f>
        <v>4.0121567908312485</v>
      </c>
      <c r="AK30" s="53">
        <f>AK29*ttokg/Drivers!AL4</f>
        <v>4.0896249976670465</v>
      </c>
      <c r="AL30" s="53">
        <f>AL29*ttokg/Drivers!AM4</f>
        <v>4.1652653934658384</v>
      </c>
      <c r="AM30" s="53">
        <f>AM29*ttokg/Drivers!AN4</f>
        <v>4.2595455130075814</v>
      </c>
      <c r="AN30" s="53">
        <f>AN29*ttokg/Drivers!AO4</f>
        <v>4.358690654231232</v>
      </c>
      <c r="AO30" s="53">
        <f>AO29*ttokg/Drivers!AP4</f>
        <v>4.4654459200947265</v>
      </c>
      <c r="AP30" s="53">
        <f>AP29*ttokg/Drivers!AQ4</f>
        <v>4.5764142566653732</v>
      </c>
      <c r="AQ30" s="53">
        <f>AQ29*ttokg/Drivers!AR4</f>
        <v>4.6625121630898203</v>
      </c>
      <c r="AR30" s="53">
        <f>AR29*ttokg/Drivers!AS4</f>
        <v>4.7824082449793783</v>
      </c>
      <c r="AS30" s="53">
        <f>AS29*ttokg/Drivers!AT4</f>
        <v>4.905147816652125</v>
      </c>
      <c r="AT30" s="53">
        <f>AT29*ttokg/Drivers!AU4</f>
        <v>5.031844631779804</v>
      </c>
      <c r="AU30" s="53">
        <f>AU29*ttokg/Drivers!AV4</f>
        <v>5.1509307625443785</v>
      </c>
      <c r="AV30" s="53">
        <f>AV29*ttokg/Drivers!AW4</f>
        <v>5.2786466306729869</v>
      </c>
      <c r="AW30" s="53">
        <f>AW29*ttokg/Drivers!AX4</f>
        <v>5.4151747925463498</v>
      </c>
      <c r="AX30" s="53">
        <f>AX29*ttokg/Drivers!AY4</f>
        <v>5.5574231801085707</v>
      </c>
      <c r="AY30" s="53">
        <f>AY29*ttokg/Drivers!AZ4</f>
        <v>5.69722182959209</v>
      </c>
      <c r="AZ30" s="53">
        <f>AZ29*ttokg/Drivers!BA4</f>
        <v>5.8427792459110988</v>
      </c>
      <c r="BA30" s="53">
        <f>BA29*ttokg/Drivers!BB4</f>
        <v>5.9990688292683902</v>
      </c>
      <c r="BB30" s="53">
        <f>BB29*ttokg/Drivers!BC4</f>
        <v>6.1637820495513314</v>
      </c>
      <c r="BC30" s="53">
        <f>BC29*ttokg/Drivers!BD4</f>
        <v>6.336216751768406</v>
      </c>
      <c r="BD30" s="53">
        <f>BD29*ttokg/Drivers!BE4</f>
        <v>6.5167393128279105</v>
      </c>
      <c r="BE30" s="53">
        <f>BE29*ttokg/Drivers!BF4</f>
        <v>6.7054416983107217</v>
      </c>
      <c r="BF30" s="53">
        <f>BF29*ttokg/Drivers!BG4</f>
        <v>6.9043274568123243</v>
      </c>
      <c r="BG30" s="53">
        <f>BG29*ttokg/Drivers!BH4</f>
        <v>7.0895657506424827</v>
      </c>
      <c r="BH30" s="53">
        <f>BH29*ttokg/Drivers!BI4</f>
        <v>7.2842244909771567</v>
      </c>
      <c r="BI30" s="53">
        <f>BI29*ttokg/Drivers!BJ4</f>
        <v>7.4901679414022029</v>
      </c>
      <c r="BJ30" s="53">
        <f>BJ29*ttokg/Drivers!BK4</f>
        <v>7.708427378982103</v>
      </c>
      <c r="BK30" s="53">
        <f>BK29*ttokg/Drivers!BL4</f>
        <v>7.9446789490590985</v>
      </c>
    </row>
    <row r="31" spans="1:63" x14ac:dyDescent="0.25">
      <c r="A31" t="s">
        <v>334</v>
      </c>
      <c r="B31" t="s">
        <v>322</v>
      </c>
      <c r="C31" s="73">
        <f>C29/Drivers!D4</f>
        <v>3.3966921490134823E-3</v>
      </c>
      <c r="D31" s="73">
        <f>D29/Drivers!E4</f>
        <v>3.446543448319744E-3</v>
      </c>
      <c r="E31" s="73">
        <f>E29/Drivers!F4</f>
        <v>2.8961067972479849E-3</v>
      </c>
      <c r="F31" s="73">
        <f>F29/Drivers!G4</f>
        <v>3.2548017787870187E-3</v>
      </c>
      <c r="G31" s="73">
        <f>G29/Drivers!H4</f>
        <v>3.0075885650398052E-3</v>
      </c>
      <c r="H31" s="73">
        <f>H29/Drivers!I4</f>
        <v>2.9925843277683012E-3</v>
      </c>
      <c r="I31" s="73">
        <f>I29/Drivers!J4</f>
        <v>3.1012515301776277E-3</v>
      </c>
      <c r="J31" s="73">
        <f>J29/Drivers!K4</f>
        <v>3.0939254588681106E-3</v>
      </c>
      <c r="K31" s="73">
        <f>K29/Drivers!L4</f>
        <v>2.9760364962801832E-3</v>
      </c>
      <c r="L31" s="73">
        <f>L29/Drivers!M4</f>
        <v>2.8417713229773925E-3</v>
      </c>
      <c r="M31" s="73">
        <f>M29/Drivers!N4</f>
        <v>2.9132016245969217E-3</v>
      </c>
      <c r="N31" s="73">
        <f>N29/Drivers!O4</f>
        <v>2.5235195311853692E-3</v>
      </c>
      <c r="O31" s="73">
        <f>O29/Drivers!P4</f>
        <v>2.665169375955791E-3</v>
      </c>
      <c r="P31" s="73">
        <f>P29/Drivers!Q4</f>
        <v>3.125053778750816E-3</v>
      </c>
      <c r="Q31" s="73">
        <f>Q29/Drivers!R4</f>
        <v>3.6792995628611501E-3</v>
      </c>
      <c r="R31" s="73">
        <f>R29/Drivers!S4</f>
        <v>3.801121878148522E-3</v>
      </c>
      <c r="S31" s="73">
        <f>S29/Drivers!T4</f>
        <v>3.9802465108963164E-3</v>
      </c>
      <c r="T31" s="73">
        <f>T29/Drivers!U4</f>
        <v>4.1938316513320025E-3</v>
      </c>
      <c r="U31" s="73">
        <f>U29/Drivers!V4</f>
        <v>3.9775432728081823E-3</v>
      </c>
      <c r="V31" s="73">
        <f>V29/Drivers!W4</f>
        <v>3.9423887440561802E-3</v>
      </c>
      <c r="W31" s="73">
        <f>W29/Drivers!X4</f>
        <v>4.1978278915556179E-3</v>
      </c>
      <c r="X31" s="73">
        <f>X29/Drivers!Y4</f>
        <v>4.4419513111371139E-3</v>
      </c>
      <c r="Y31" s="53"/>
      <c r="Z31" s="53"/>
      <c r="AA31" s="53"/>
      <c r="AB31" s="53"/>
      <c r="AC31" s="53"/>
      <c r="AD31" s="53"/>
      <c r="AE31" s="53"/>
      <c r="AF31" s="53"/>
      <c r="AG31" s="53"/>
      <c r="AH31" s="53"/>
      <c r="AI31" s="53"/>
      <c r="AJ31" s="53"/>
      <c r="AK31" s="53"/>
      <c r="AL31" s="53"/>
      <c r="AM31" s="53"/>
      <c r="AN31" s="53"/>
      <c r="AO31" s="53">
        <f>(AO32-AD32)/AD32</f>
        <v>0.14121416992986452</v>
      </c>
      <c r="AP31" s="53"/>
      <c r="AQ31" s="53">
        <f>(AQ32-AE32)/AE32</f>
        <v>0.19841962267432822</v>
      </c>
      <c r="AR31" s="53"/>
      <c r="AS31" s="53"/>
      <c r="AT31" s="53"/>
      <c r="AU31" s="53"/>
      <c r="AV31" s="53"/>
      <c r="AW31" s="53"/>
      <c r="AX31" s="53"/>
      <c r="AY31" s="53"/>
      <c r="AZ31" s="53"/>
      <c r="BA31" s="53"/>
      <c r="BB31" s="53"/>
      <c r="BC31" s="53"/>
      <c r="BD31" s="53"/>
      <c r="BE31" s="53"/>
      <c r="BF31" s="53"/>
      <c r="BG31" s="53"/>
      <c r="BH31" s="53"/>
      <c r="BI31" s="53"/>
      <c r="BJ31" s="53"/>
      <c r="BK31" s="53"/>
    </row>
    <row r="32" spans="1:63" x14ac:dyDescent="0.25">
      <c r="A32" t="s">
        <v>335</v>
      </c>
      <c r="B32" t="s">
        <v>321</v>
      </c>
      <c r="C32" s="22">
        <v>126200</v>
      </c>
      <c r="D32" s="22">
        <v>130800</v>
      </c>
      <c r="E32" s="22">
        <v>112700</v>
      </c>
      <c r="F32" s="22">
        <v>129600</v>
      </c>
      <c r="G32" s="22">
        <v>119600</v>
      </c>
      <c r="H32" s="22">
        <v>119000</v>
      </c>
      <c r="I32" s="22">
        <v>126500</v>
      </c>
      <c r="J32" s="22">
        <v>127900</v>
      </c>
      <c r="K32" s="22">
        <v>125000</v>
      </c>
      <c r="L32" s="22">
        <v>119200</v>
      </c>
      <c r="M32" s="22">
        <v>123000</v>
      </c>
      <c r="N32" s="22">
        <v>106900</v>
      </c>
      <c r="O32" s="22">
        <v>116600</v>
      </c>
      <c r="P32" s="22">
        <v>135000</v>
      </c>
      <c r="Q32" s="22">
        <v>156800</v>
      </c>
      <c r="R32" s="22">
        <v>159700</v>
      </c>
      <c r="S32" s="22">
        <v>171400</v>
      </c>
      <c r="T32" s="22">
        <v>187100</v>
      </c>
      <c r="U32" s="22">
        <v>181700</v>
      </c>
      <c r="V32" s="22">
        <v>180700</v>
      </c>
      <c r="W32" s="22">
        <v>191900</v>
      </c>
      <c r="X32" s="22">
        <v>205100</v>
      </c>
      <c r="Y32" s="22">
        <f>((Data!$AJ$26*'Intermediate calculations'!Y29)+Data!$AK$26)</f>
        <v>211256.80579781439</v>
      </c>
      <c r="Z32" s="22">
        <f>((Data!$AJ$26*'Intermediate calculations'!Z29)+Data!$AK$26)</f>
        <v>217359.50768848084</v>
      </c>
      <c r="AA32" s="22">
        <f>((Data!$AJ$26*'Intermediate calculations'!AA29)+Data!$AK$26)</f>
        <v>221329.65601288519</v>
      </c>
      <c r="AB32" s="22">
        <f>((Data!$AJ$26*'Intermediate calculations'!AB29)+Data!$AK$26)</f>
        <v>223525.37026236692</v>
      </c>
      <c r="AC32" s="22">
        <f>((Data!$AJ$26*'Intermediate calculations'!AC29)+Data!$AK$26)</f>
        <v>224538.33418272962</v>
      </c>
      <c r="AD32" s="22">
        <f>((Data!$AJ$26*'Intermediate calculations'!AD29)+Data!$AK$26)</f>
        <v>226323.81245774281</v>
      </c>
      <c r="AE32" s="22">
        <f>((Data!$AJ$26*'Intermediate calculations'!AE29)+Data!$AK$26)</f>
        <v>228590.78547195971</v>
      </c>
      <c r="AF32" s="22">
        <f>((Data!$AJ$26*'Intermediate calculations'!AF29)+Data!$AK$26)</f>
        <v>230720.73519330693</v>
      </c>
      <c r="AG32" s="22">
        <f>((Data!$AJ$26*'Intermediate calculations'!AG29)+Data!$AK$26)</f>
        <v>205826.01342289051</v>
      </c>
      <c r="AH32" s="22">
        <f>((Data!$AJ$26*'Intermediate calculations'!AH29)+Data!$AK$26)</f>
        <v>210973.97556116772</v>
      </c>
      <c r="AI32" s="22">
        <f>((Data!$AJ$26*'Intermediate calculations'!AI29)+Data!$AK$26)</f>
        <v>216243.86258646948</v>
      </c>
      <c r="AJ32" s="22">
        <f>((Data!$AJ$26*'Intermediate calculations'!AJ29)+Data!$AK$26)</f>
        <v>222205.05976003717</v>
      </c>
      <c r="AK32" s="22">
        <f>((Data!$AJ$26*'Intermediate calculations'!AK29)+Data!$AK$26)</f>
        <v>228618.75731206517</v>
      </c>
      <c r="AL32" s="22">
        <f>((Data!$AJ$26*'Intermediate calculations'!AL29)+Data!$AK$26)</f>
        <v>234978.30844981101</v>
      </c>
      <c r="AM32" s="22">
        <f>((Data!$AJ$26*'Intermediate calculations'!AM29)+Data!$AK$26)</f>
        <v>242378.92514071209</v>
      </c>
      <c r="AN32" s="22">
        <f>((Data!$AJ$26*'Intermediate calculations'!AN29)+Data!$AK$26)</f>
        <v>250096.45728250328</v>
      </c>
      <c r="AO32" s="22">
        <f>((Data!$AJ$26*'Intermediate calculations'!AO29)+Data!$AK$26)</f>
        <v>258283.94176932529</v>
      </c>
      <c r="AP32" s="22">
        <f>((Data!$AJ$26*'Intermediate calculations'!AP29)+Data!$AK$26)</f>
        <v>266776.66365406231</v>
      </c>
      <c r="AQ32" s="22">
        <f>((Data!$AJ$26*'Intermediate calculations'!AQ29)+Data!$AK$26)</f>
        <v>273947.68287213426</v>
      </c>
      <c r="AR32" s="22">
        <f>((Data!$AJ$26*'Intermediate calculations'!AR29)+Data!$AK$26)</f>
        <v>283069.6812504034</v>
      </c>
      <c r="AS32" s="22">
        <f>((Data!$AJ$26*'Intermediate calculations'!AS29)+Data!$AK$26)</f>
        <v>292423.95691747044</v>
      </c>
      <c r="AT32" s="22">
        <f>((Data!$AJ$26*'Intermediate calculations'!AT29)+Data!$AK$26)</f>
        <v>302073.1753338665</v>
      </c>
      <c r="AU32" s="22">
        <f>((Data!$AJ$26*'Intermediate calculations'!AU29)+Data!$AK$26)</f>
        <v>311352.69019980694</v>
      </c>
      <c r="AV32" s="22">
        <f>((Data!$AJ$26*'Intermediate calculations'!AV29)+Data!$AK$26)</f>
        <v>321195.26044445334</v>
      </c>
      <c r="AW32" s="22">
        <f>((Data!$AJ$26*'Intermediate calculations'!AW29)+Data!$AK$26)</f>
        <v>331618.03768497007</v>
      </c>
      <c r="AX32" s="22">
        <f>((Data!$AJ$26*'Intermediate calculations'!AX29)+Data!$AK$26)</f>
        <v>342443.60014989914</v>
      </c>
      <c r="AY32" s="22">
        <f>((Data!$AJ$26*'Intermediate calculations'!AY29)+Data!$AK$26)</f>
        <v>353185.14276711189</v>
      </c>
      <c r="AZ32" s="22">
        <f>((Data!$AJ$26*'Intermediate calculations'!AZ29)+Data!$AK$26)</f>
        <v>364334.15091579745</v>
      </c>
      <c r="BA32" s="22">
        <f>((Data!$AJ$26*'Intermediate calculations'!BA29)+Data!$AK$26)</f>
        <v>376193.12654061941</v>
      </c>
      <c r="BB32" s="22">
        <f>((Data!$AJ$26*'Intermediate calculations'!BB29)+Data!$AK$26)</f>
        <v>388628.05526853609</v>
      </c>
      <c r="BC32" s="22">
        <f>((Data!$AJ$26*'Intermediate calculations'!BC29)+Data!$AK$26)</f>
        <v>401599.08418638224</v>
      </c>
      <c r="BD32" s="22">
        <f>((Data!$AJ$26*'Intermediate calculations'!BD29)+Data!$AK$26)</f>
        <v>415130.58210917609</v>
      </c>
      <c r="BE32" s="22">
        <f>((Data!$AJ$26*'Intermediate calculations'!BE29)+Data!$AK$26)</f>
        <v>429230.10541114677</v>
      </c>
      <c r="BF32" s="22">
        <f>((Data!$AJ$26*'Intermediate calculations'!BF29)+Data!$AK$26)</f>
        <v>444023.7304724392</v>
      </c>
      <c r="BG32" s="22">
        <f>((Data!$AJ$26*'Intermediate calculations'!BG29)+Data!$AK$26)</f>
        <v>458017.31768732867</v>
      </c>
      <c r="BH32" s="22">
        <f>((Data!$AJ$26*'Intermediate calculations'!BH29)+Data!$AK$26)</f>
        <v>472644.86853378464</v>
      </c>
      <c r="BI32" s="22">
        <f>((Data!$AJ$26*'Intermediate calculations'!BI29)+Data!$AK$26)</f>
        <v>488025.37965793849</v>
      </c>
      <c r="BJ32" s="22">
        <f>((Data!$AJ$26*'Intermediate calculations'!BJ29)+Data!$AK$26)</f>
        <v>504224.89692000882</v>
      </c>
      <c r="BK32" s="22">
        <f>((Data!$AJ$26*'Intermediate calculations'!BK29)+Data!$AK$26)</f>
        <v>521608.35438210855</v>
      </c>
    </row>
    <row r="33" spans="1:63" x14ac:dyDescent="0.25">
      <c r="A33" t="s">
        <v>818</v>
      </c>
      <c r="B33" t="s">
        <v>815</v>
      </c>
      <c r="C33" s="22">
        <f>Data!C27</f>
        <v>13.653011027487219</v>
      </c>
      <c r="D33" s="22">
        <f>Data!D27</f>
        <v>14.391608053652755</v>
      </c>
      <c r="E33" s="22">
        <f>Data!E27</f>
        <v>16.592599020349589</v>
      </c>
      <c r="F33" s="22">
        <f>Data!F27</f>
        <v>14.420179981553732</v>
      </c>
      <c r="G33" s="22">
        <f>Data!G27</f>
        <v>14.841278051291667</v>
      </c>
      <c r="H33" s="22">
        <f>Data!H27</f>
        <v>15.058618610882386</v>
      </c>
      <c r="I33" s="22">
        <f>Data!I27</f>
        <v>15.256180717369467</v>
      </c>
      <c r="J33" s="22">
        <f>Data!J27</f>
        <v>15.018469029514932</v>
      </c>
      <c r="K33" s="22">
        <f>Data!K27</f>
        <v>15.701550370273951</v>
      </c>
      <c r="L33" s="22">
        <f>Data!L27</f>
        <v>16.882881640786671</v>
      </c>
      <c r="M33" s="22">
        <f>Data!M27</f>
        <v>15.138795298415898</v>
      </c>
      <c r="N33" s="22">
        <f>Data!N27</f>
        <v>17.746678439758945</v>
      </c>
      <c r="O33" s="22">
        <f>Data!O27</f>
        <v>16.58060559776451</v>
      </c>
      <c r="P33" s="22">
        <f>Data!P27</f>
        <v>13.927119744071932</v>
      </c>
      <c r="Q33" s="22">
        <f>Data!Q27</f>
        <v>11.990823759245604</v>
      </c>
      <c r="R33" s="22">
        <f>Data!R27</f>
        <v>11.688128726620503</v>
      </c>
      <c r="S33" s="22">
        <f>Data!S27</f>
        <v>10.698991960935169</v>
      </c>
      <c r="T33" s="22">
        <f>Data!T27</f>
        <v>9.9764519382217767</v>
      </c>
      <c r="U33" s="22">
        <f>Data!U27</f>
        <v>10.048944051821932</v>
      </c>
      <c r="V33" s="22">
        <f>Data!V27</f>
        <v>10.092041871875903</v>
      </c>
      <c r="W33" s="22">
        <f>Data!W27</f>
        <v>9.3910936453950828</v>
      </c>
      <c r="X33" s="22">
        <f>Data!X27</f>
        <v>8.7315701156068712</v>
      </c>
      <c r="Y33" s="22">
        <f>((Data!$AJ$27*LN('Intermediate calculations'!Y2))+Data!$AK$27)</f>
        <v>8.9505840171188549</v>
      </c>
      <c r="Z33" s="22">
        <f>((Data!$AJ$27*LN('Intermediate calculations'!Z2))+Data!$AK$27)</f>
        <v>8.6989484356715767</v>
      </c>
      <c r="AA33" s="22">
        <f>((Data!$AJ$27*LN('Intermediate calculations'!AA2))+Data!$AK$27)</f>
        <v>8.462573140856847</v>
      </c>
      <c r="AB33" s="22">
        <f>((Data!$AJ$27*LN('Intermediate calculations'!AB2))+Data!$AK$27)</f>
        <v>8.2397125849020476</v>
      </c>
      <c r="AC33" s="22">
        <f>((Data!$AJ$27*LN('Intermediate calculations'!AC2))+Data!$AK$27)</f>
        <v>8.0289045833895329</v>
      </c>
      <c r="AD33" s="22">
        <f>((Data!$AJ$27*LN('Intermediate calculations'!AD2))+Data!$AK$27)</f>
        <v>7.8289121179587777</v>
      </c>
      <c r="AE33" s="22">
        <f>((Data!$AJ$27*LN('Intermediate calculations'!AE2))+Data!$AK$27)</f>
        <v>7.6386793528863848</v>
      </c>
      <c r="AF33" s="22">
        <f>((Data!$AJ$27*LN('Intermediate calculations'!AF2))+Data!$AK$27)</f>
        <v>7.4572978929940827</v>
      </c>
      <c r="AG33" s="22">
        <f>((Data!$AJ$27*LN('Intermediate calculations'!AG2))+Data!$AK$27)</f>
        <v>7.2839805481943056</v>
      </c>
      <c r="AH33" s="22">
        <f>((Data!$AJ$27*LN('Intermediate calculations'!AH2))+Data!$AK$27)</f>
        <v>7.1180406857419687</v>
      </c>
      <c r="AI33" s="22">
        <f>((Data!$AJ$27*LN('Intermediate calculations'!AI2))+Data!$AK$27)</f>
        <v>6.9588758002459805</v>
      </c>
      <c r="AJ33" s="22">
        <f>((Data!$AJ$27*LN('Intermediate calculations'!AJ2))+Data!$AK$27)</f>
        <v>6.8059543080093459</v>
      </c>
      <c r="AK33" s="22">
        <f>((Data!$AJ$27*LN('Intermediate calculations'!AK2))+Data!$AK$27)</f>
        <v>6.6588048349724414</v>
      </c>
      <c r="AL33" s="22">
        <f>((Data!$AJ$27*LN('Intermediate calculations'!AL2))+Data!$AK$27)</f>
        <v>6.5170074537263076</v>
      </c>
      <c r="AM33" s="22">
        <f>((Data!$AJ$27*LN('Intermediate calculations'!AM2))+Data!$AK$27)</f>
        <v>6.3801864589340838</v>
      </c>
      <c r="AN33" s="22">
        <f>((Data!$AJ$27*LN('Intermediate calculations'!AN2))+Data!$AK$27)</f>
        <v>6.2480043680291715</v>
      </c>
      <c r="AO33" s="22">
        <f>((Data!$AJ$27*LN('Intermediate calculations'!AO2))+Data!$AK$27)</f>
        <v>6.1201569059835439</v>
      </c>
      <c r="AP33" s="22">
        <f>((Data!$AJ$27*LN('Intermediate calculations'!AP2))+Data!$AK$27)</f>
        <v>5.9963687865818933</v>
      </c>
      <c r="AQ33" s="22">
        <f>((Data!$AJ$27*LN('Intermediate calculations'!AQ2))+Data!$AK$27)</f>
        <v>5.8763901430644783</v>
      </c>
      <c r="AR33" s="22">
        <f>((Data!$AJ$27*LN('Intermediate calculations'!AR2))+Data!$AK$27)</f>
        <v>5.7599934917671636</v>
      </c>
      <c r="AS33" s="22">
        <f>((Data!$AJ$27*LN('Intermediate calculations'!AS2))+Data!$AK$27)</f>
        <v>5.6469711360135104</v>
      </c>
      <c r="AT33" s="22">
        <f>((Data!$AJ$27*LN('Intermediate calculations'!AT2))+Data!$AK$27)</f>
        <v>5.5371329358123642</v>
      </c>
      <c r="AU33" s="22">
        <f>((Data!$AJ$27*LN('Intermediate calculations'!AU2))+Data!$AK$27)</f>
        <v>5.4303043831997524</v>
      </c>
      <c r="AV33" s="22">
        <f>((Data!$AJ$27*LN('Intermediate calculations'!AV2))+Data!$AK$27)</f>
        <v>5.3263249342998495</v>
      </c>
      <c r="AW33" s="22">
        <f>((Data!$AJ$27*LN('Intermediate calculations'!AW2))+Data!$AK$27)</f>
        <v>5.2250465580797414</v>
      </c>
      <c r="AX33" s="22">
        <f>((Data!$AJ$27*LN('Intermediate calculations'!AX2))+Data!$AK$27)</f>
        <v>5.1263324688690943</v>
      </c>
      <c r="AY33" s="22">
        <f>((Data!$AJ$27*LN('Intermediate calculations'!AY2))+Data!$AK$27)</f>
        <v>5.0300560154098388</v>
      </c>
      <c r="AZ33" s="22">
        <f>((Data!$AJ$27*LN('Intermediate calculations'!AZ2))+Data!$AK$27)</f>
        <v>4.9360997037967014</v>
      </c>
      <c r="BA33" s="22">
        <f>((Data!$AJ$27*LN('Intermediate calculations'!BA2))+Data!$AK$27)</f>
        <v>4.8443543353997978</v>
      </c>
      <c r="BB33" s="22">
        <f>((Data!$AJ$27*LN('Intermediate calculations'!BB2))+Data!$AK$27)</f>
        <v>4.7547182439044011</v>
      </c>
      <c r="BC33" s="22">
        <f>((Data!$AJ$27*LN('Intermediate calculations'!BC2))+Data!$AK$27)</f>
        <v>4.667096618099567</v>
      </c>
      <c r="BD33" s="22">
        <f>((Data!$AJ$27*LN('Intermediate calculations'!BD2))+Data!$AK$27)</f>
        <v>4.5814008991046222</v>
      </c>
      <c r="BE33" s="22">
        <f>((Data!$AJ$27*LN('Intermediate calculations'!BE2))+Data!$AK$27)</f>
        <v>4.4975482424258928</v>
      </c>
      <c r="BF33" s="22">
        <f>((Data!$AJ$27*LN('Intermediate calculations'!BF2))+Data!$AK$27)</f>
        <v>4.4154610366522853</v>
      </c>
      <c r="BG33" s="22">
        <f>((Data!$AJ$27*LN('Intermediate calculations'!BG2))+Data!$AK$27)</f>
        <v>4.3350664717810403</v>
      </c>
      <c r="BH33" s="22">
        <f>((Data!$AJ$27*LN('Intermediate calculations'!BH2))+Data!$AK$27)</f>
        <v>4.2562961511562971</v>
      </c>
      <c r="BI33" s="22">
        <f>((Data!$AJ$27*LN('Intermediate calculations'!BI2))+Data!$AK$27)</f>
        <v>4.1790857418375573</v>
      </c>
      <c r="BJ33" s="22">
        <f>((Data!$AJ$27*LN('Intermediate calculations'!BJ2))+Data!$AK$27)</f>
        <v>4.1033746589196625</v>
      </c>
      <c r="BK33" s="22">
        <f>((Data!$AJ$27*LN('Intermediate calculations'!BK2))+Data!$AK$27)</f>
        <v>4.0291057799232792</v>
      </c>
    </row>
    <row r="34" spans="1:63" x14ac:dyDescent="0.25">
      <c r="A34" t="s">
        <v>336</v>
      </c>
      <c r="B34" t="s">
        <v>321</v>
      </c>
      <c r="C34" s="22">
        <v>209000</v>
      </c>
      <c r="D34" s="22">
        <v>214000</v>
      </c>
      <c r="E34" s="22">
        <v>223000</v>
      </c>
      <c r="F34" s="22">
        <v>218000</v>
      </c>
      <c r="G34" s="22">
        <v>233000</v>
      </c>
      <c r="H34" s="22">
        <v>272000</v>
      </c>
      <c r="I34" s="22">
        <v>263000</v>
      </c>
      <c r="J34" s="22">
        <v>293000</v>
      </c>
      <c r="K34" s="22">
        <v>302000</v>
      </c>
      <c r="L34" s="22">
        <v>299000</v>
      </c>
      <c r="M34" s="22">
        <v>310000</v>
      </c>
      <c r="N34" s="22">
        <v>308000</v>
      </c>
      <c r="O34" s="22">
        <v>313000</v>
      </c>
      <c r="P34" s="22">
        <v>305000</v>
      </c>
      <c r="Q34" s="22">
        <v>329000</v>
      </c>
      <c r="R34" s="22">
        <v>357000</v>
      </c>
      <c r="S34" s="22">
        <v>392000</v>
      </c>
      <c r="T34" s="22">
        <v>416000</v>
      </c>
      <c r="U34" s="22">
        <v>404000</v>
      </c>
      <c r="V34" s="22">
        <v>379000</v>
      </c>
      <c r="W34" s="22">
        <v>386000</v>
      </c>
      <c r="X34" s="22">
        <v>426000</v>
      </c>
      <c r="Y34" s="22">
        <f>((Data!$AJ$10*'Intermediate calculations'!Y4)+Data!$AK$10)*Drivers!Z4</f>
        <v>420756.46494116733</v>
      </c>
      <c r="Z34" s="22">
        <f>((Data!$AJ$10*'Intermediate calculations'!Z4)+Data!$AK$10)*Drivers!AA4</f>
        <v>430447.23083788744</v>
      </c>
      <c r="AA34" s="22">
        <f>((Data!$AJ$10*'Intermediate calculations'!AA4)+Data!$AK$10)*Drivers!AB4</f>
        <v>437930.58278360637</v>
      </c>
      <c r="AB34" s="22">
        <f>((Data!$AJ$10*'Intermediate calculations'!AB4)+Data!$AK$10)*Drivers!AC4</f>
        <v>443600.67594001809</v>
      </c>
      <c r="AC34" s="22">
        <f>((Data!$AJ$10*'Intermediate calculations'!AC4)+Data!$AK$10)*Drivers!AD4</f>
        <v>448106.089422794</v>
      </c>
      <c r="AD34" s="22">
        <f>((Data!$AJ$10*'Intermediate calculations'!AD4)+Data!$AK$10)*Drivers!AE4</f>
        <v>453579.71861429414</v>
      </c>
      <c r="AE34" s="22">
        <f>((Data!$AJ$10*'Intermediate calculations'!AE4)+Data!$AK$10)*Drivers!AF4</f>
        <v>459624.53731071373</v>
      </c>
      <c r="AF34" s="22">
        <f>((Data!$AJ$10*'Intermediate calculations'!AF4)+Data!$AK$10)*Drivers!AG4</f>
        <v>465578.07741498289</v>
      </c>
      <c r="AG34" s="22">
        <f>((Data!$AJ$10*'Intermediate calculations'!AG4)+Data!$AK$10)*Drivers!AH4</f>
        <v>442177.44001170882</v>
      </c>
      <c r="AH34" s="22">
        <f>((Data!$AJ$10*'Intermediate calculations'!AH4)+Data!$AK$10)*Drivers!AI4</f>
        <v>450869.13209593366</v>
      </c>
      <c r="AI34" s="22">
        <f>((Data!$AJ$10*'Intermediate calculations'!AI4)+Data!$AK$10)*Drivers!AJ4</f>
        <v>459515.53721115255</v>
      </c>
      <c r="AJ34" s="22">
        <f>((Data!$AJ$10*'Intermediate calculations'!AJ4)+Data!$AK$10)*Drivers!AK4</f>
        <v>468728.56908369024</v>
      </c>
      <c r="AK34" s="22">
        <f>((Data!$AJ$10*'Intermediate calculations'!AK4)+Data!$AK$10)*Drivers!AL4</f>
        <v>478384.94523810624</v>
      </c>
      <c r="AL34" s="22">
        <f>((Data!$AJ$10*'Intermediate calculations'!AL4)+Data!$AK$10)*Drivers!AM4</f>
        <v>487930.89683226083</v>
      </c>
      <c r="AM34" s="22">
        <f>((Data!$AJ$10*'Intermediate calculations'!AM4)+Data!$AK$10)*Drivers!AN4</f>
        <v>498556.10214076372</v>
      </c>
      <c r="AN34" s="22">
        <f>((Data!$AJ$10*'Intermediate calculations'!AN4)+Data!$AK$10)*Drivers!AO4</f>
        <v>509470.11993630062</v>
      </c>
      <c r="AO34" s="22">
        <f>((Data!$AJ$10*'Intermediate calculations'!AO4)+Data!$AK$10)*Drivers!AP4</f>
        <v>520837.24848966993</v>
      </c>
      <c r="AP34" s="22">
        <f>((Data!$AJ$10*'Intermediate calculations'!AP4)+Data!$AK$10)*Drivers!AQ4</f>
        <v>532494.02657255123</v>
      </c>
      <c r="AQ34" s="22">
        <f>((Data!$AJ$10*'Intermediate calculations'!AQ4)+Data!$AK$10)*Drivers!AR4</f>
        <v>542668.05108509271</v>
      </c>
      <c r="AR34" s="22">
        <f>((Data!$AJ$10*'Intermediate calculations'!AR4)+Data!$AK$10)*Drivers!AS4</f>
        <v>554919.56153643073</v>
      </c>
      <c r="AS34" s="22">
        <f>((Data!$AJ$10*'Intermediate calculations'!AS4)+Data!$AK$10)*Drivers!AT4</f>
        <v>567376.32229340356</v>
      </c>
      <c r="AT34" s="22">
        <f>((Data!$AJ$10*'Intermediate calculations'!AT4)+Data!$AK$10)*Drivers!AU4</f>
        <v>580104.91498443647</v>
      </c>
      <c r="AU34" s="22">
        <f>((Data!$AJ$10*'Intermediate calculations'!AU4)+Data!$AK$10)*Drivers!AV4</f>
        <v>592385.61355532042</v>
      </c>
      <c r="AV34" s="22">
        <f>((Data!$AJ$10*'Intermediate calculations'!AV4)+Data!$AK$10)*Drivers!AW4</f>
        <v>605232.16561354836</v>
      </c>
      <c r="AW34" s="22">
        <f>((Data!$AJ$10*'Intermediate calculations'!AW4)+Data!$AK$10)*Drivers!AX4</f>
        <v>618661.81694680033</v>
      </c>
      <c r="AX34" s="22">
        <f>((Data!$AJ$10*'Intermediate calculations'!AX4)+Data!$AK$10)*Drivers!AY4</f>
        <v>632480.06812735088</v>
      </c>
      <c r="AY34" s="22">
        <f>((Data!$AJ$10*'Intermediate calculations'!AY4)+Data!$AK$10)*Drivers!AZ4</f>
        <v>646155.71986516798</v>
      </c>
      <c r="AZ34" s="22">
        <f>((Data!$AJ$10*'Intermediate calculations'!AZ4)+Data!$AK$10)*Drivers!BA4</f>
        <v>660228.01936231344</v>
      </c>
      <c r="BA34" s="22">
        <f>((Data!$AJ$10*'Intermediate calculations'!BA4)+Data!$AK$10)*Drivers!BB4</f>
        <v>675025.00194016262</v>
      </c>
      <c r="BB34" s="22">
        <f>((Data!$AJ$10*'Intermediate calculations'!BB4)+Data!$AK$10)*Drivers!BC4</f>
        <v>690399.63291739242</v>
      </c>
      <c r="BC34" s="22">
        <f>((Data!$AJ$10*'Intermediate calculations'!BC4)+Data!$AK$10)*Drivers!BD4</f>
        <v>706307.38506076008</v>
      </c>
      <c r="BD34" s="22">
        <f>((Data!$AJ$10*'Intermediate calculations'!BD4)+Data!$AK$10)*Drivers!BE4</f>
        <v>722773.65413594409</v>
      </c>
      <c r="BE34" s="22">
        <f>((Data!$AJ$10*'Intermediate calculations'!BE4)+Data!$AK$10)*Drivers!BF4</f>
        <v>739805.80029836833</v>
      </c>
      <c r="BF34" s="22">
        <f>((Data!$AJ$10*'Intermediate calculations'!BF4)+Data!$AK$10)*Drivers!BG4</f>
        <v>757539.9742841546</v>
      </c>
      <c r="BG34" s="22">
        <f>((Data!$AJ$10*'Intermediate calculations'!BG4)+Data!$AK$10)*Drivers!BH4</f>
        <v>774348.9537249346</v>
      </c>
      <c r="BH34" s="22">
        <f>((Data!$AJ$10*'Intermediate calculations'!BH4)+Data!$AK$10)*Drivers!BI4</f>
        <v>791792.46074634953</v>
      </c>
      <c r="BI34" s="22">
        <f>((Data!$AJ$10*'Intermediate calculations'!BI4)+Data!$AK$10)*Drivers!BJ4</f>
        <v>809999.03061687481</v>
      </c>
      <c r="BJ34" s="22">
        <f>((Data!$AJ$10*'Intermediate calculations'!BJ4)+Data!$AK$10)*Drivers!BK4</f>
        <v>829038.80976839678</v>
      </c>
      <c r="BK34" s="22">
        <f>((Data!$AJ$10*'Intermediate calculations'!BK4)+Data!$AK$10)*Drivers!BL4</f>
        <v>849308.05948982202</v>
      </c>
    </row>
    <row r="35" spans="1:63" x14ac:dyDescent="0.25">
      <c r="A35" t="s">
        <v>336</v>
      </c>
      <c r="B35" t="s">
        <v>663</v>
      </c>
      <c r="C35" s="53">
        <f>C34*ttokg/Drivers!D4</f>
        <v>5.6792692731505428</v>
      </c>
      <c r="D35" s="53">
        <f>D34*ttokg/Drivers!E4</f>
        <v>5.6735407533878863</v>
      </c>
      <c r="E35" s="53">
        <f>E34*ttokg/Drivers!F4</f>
        <v>5.7663554980919702</v>
      </c>
      <c r="F35" s="53">
        <f>F34*ttokg/Drivers!G4</f>
        <v>5.5003626959346512</v>
      </c>
      <c r="G35" s="53">
        <f>G34*ttokg/Drivers!H4</f>
        <v>5.7440011119202836</v>
      </c>
      <c r="H35" s="53">
        <f>H34*ttokg/Drivers!I4</f>
        <v>6.5643785254272409</v>
      </c>
      <c r="I35" s="53">
        <f>I34*ttokg/Drivers!J4</f>
        <v>6.2261767361581377</v>
      </c>
      <c r="J35" s="53">
        <f>J34*ttokg/Drivers!K4</f>
        <v>6.8159410484838823</v>
      </c>
      <c r="K35" s="53">
        <f>K34*ttokg/Drivers!L4</f>
        <v>6.9135617067431951</v>
      </c>
      <c r="L35" s="53">
        <f>L34*ttokg/Drivers!M4</f>
        <v>6.7435684569066696</v>
      </c>
      <c r="M35" s="53">
        <f>M34*ttokg/Drivers!N4</f>
        <v>6.8938359055347007</v>
      </c>
      <c r="N35" s="53">
        <f>N34*ttokg/Drivers!O4</f>
        <v>6.7586436139573367</v>
      </c>
      <c r="O35" s="53">
        <f>O34*ttokg/Drivers!P4</f>
        <v>6.7820976802777446</v>
      </c>
      <c r="P35" s="53">
        <f>P34*ttokg/Drivers!Q4</f>
        <v>6.5283657706780742</v>
      </c>
      <c r="Q35" s="53">
        <f>Q34*ttokg/Drivers!R4</f>
        <v>6.956836529777692</v>
      </c>
      <c r="R35" s="53">
        <f>R34*ttokg/Drivers!S4</f>
        <v>7.4560467609836394</v>
      </c>
      <c r="S35" s="53">
        <f>S34*ttokg/Drivers!T4</f>
        <v>8.0842312552919999</v>
      </c>
      <c r="T35" s="53">
        <f>T34*ttokg/Drivers!U4</f>
        <v>8.4690969269617149</v>
      </c>
      <c r="U35" s="53">
        <f>U34*ttokg/Drivers!V4</f>
        <v>8.115795364719725</v>
      </c>
      <c r="V35" s="53">
        <f>V34*ttokg/Drivers!W4</f>
        <v>7.5083685125492075</v>
      </c>
      <c r="W35" s="53">
        <f>W34*ttokg/Drivers!X4</f>
        <v>7.5365654239091562</v>
      </c>
      <c r="X35" s="53">
        <f>X34*ttokg/Drivers!Y4</f>
        <v>8.1916504698892236</v>
      </c>
      <c r="Y35" s="53">
        <f>Y34*ttokg/Drivers!Z4</f>
        <v>8.0411463750230041</v>
      </c>
      <c r="Z35" s="53">
        <f>Z34*ttokg/Drivers!AA4</f>
        <v>8.1056812731448193</v>
      </c>
      <c r="AA35" s="53">
        <f>AA34*ttokg/Drivers!AB4</f>
        <v>8.1230080922460139</v>
      </c>
      <c r="AB35" s="53">
        <f>AB34*ttokg/Drivers!AC4</f>
        <v>8.1022227222528578</v>
      </c>
      <c r="AC35" s="53">
        <f>AC34*ttokg/Drivers!AD4</f>
        <v>8.0565726183382456</v>
      </c>
      <c r="AD35" s="53">
        <f>AD34*ttokg/Drivers!AE4</f>
        <v>8.0248422839226041</v>
      </c>
      <c r="AE35" s="53">
        <f>AE34*ttokg/Drivers!AF4</f>
        <v>8.0023771218547424</v>
      </c>
      <c r="AF35" s="53">
        <f>AF34*ttokg/Drivers!AG4</f>
        <v>7.9770306561927509</v>
      </c>
      <c r="AG35" s="53">
        <f>AG34*ttokg/Drivers!AH4</f>
        <v>7.4555253203486505</v>
      </c>
      <c r="AH35" s="53">
        <f>AH34*ttokg/Drivers!AI4</f>
        <v>7.5022476199791592</v>
      </c>
      <c r="AI35" s="53">
        <f>AI34*ttokg/Drivers!AJ4</f>
        <v>7.5526559293770523</v>
      </c>
      <c r="AJ35" s="53">
        <f>AJ34*ttokg/Drivers!AK4</f>
        <v>7.6169181148264498</v>
      </c>
      <c r="AK35" s="53">
        <f>AK34*ttokg/Drivers!AL4</f>
        <v>7.6884175188608008</v>
      </c>
      <c r="AL35" s="53">
        <f>AL34*ttokg/Drivers!AM4</f>
        <v>7.7582299418074117</v>
      </c>
      <c r="AM35" s="53">
        <f>AM34*ttokg/Drivers!AN4</f>
        <v>7.8452459272659398</v>
      </c>
      <c r="AN35" s="53">
        <f>AN34*ttokg/Drivers!AO4</f>
        <v>7.9367520921810284</v>
      </c>
      <c r="AO35" s="53">
        <f>AO34*ttokg/Drivers!AP4</f>
        <v>8.0352820336697661</v>
      </c>
      <c r="AP35" s="53">
        <f>AP34*ttokg/Drivers!AQ4</f>
        <v>8.1377004354316913</v>
      </c>
      <c r="AQ35" s="53">
        <f>AQ34*ttokg/Drivers!AR4</f>
        <v>8.2171646343514038</v>
      </c>
      <c r="AR35" s="53">
        <f>AR34*ttokg/Drivers!AS4</f>
        <v>8.3278229127768721</v>
      </c>
      <c r="AS35" s="53">
        <f>AS34*ttokg/Drivers!AT4</f>
        <v>8.4411055945954185</v>
      </c>
      <c r="AT35" s="53">
        <f>AT34*ttokg/Drivers!AU4</f>
        <v>8.5580406205200585</v>
      </c>
      <c r="AU35" s="53">
        <f>AU34*ttokg/Drivers!AV4</f>
        <v>8.6679513532735832</v>
      </c>
      <c r="AV35" s="53">
        <f>AV34*ttokg/Drivers!AW4</f>
        <v>8.785826915777319</v>
      </c>
      <c r="AW35" s="53">
        <f>AW34*ttokg/Drivers!AX4</f>
        <v>8.9118357987316124</v>
      </c>
      <c r="AX35" s="53">
        <f>AX34*ttokg/Drivers!AY4</f>
        <v>9.0431241730333962</v>
      </c>
      <c r="AY35" s="53">
        <f>AY34*ttokg/Drivers!AZ4</f>
        <v>9.1721515577005732</v>
      </c>
      <c r="AZ35" s="53">
        <f>AZ34*ttokg/Drivers!BA4</f>
        <v>9.3064940053274903</v>
      </c>
      <c r="BA35" s="53">
        <f>BA34*ttokg/Drivers!BB4</f>
        <v>9.4507417234979805</v>
      </c>
      <c r="BB35" s="53">
        <f>BB34*ttokg/Drivers!BC4</f>
        <v>9.6027640506930805</v>
      </c>
      <c r="BC35" s="53">
        <f>BC34*ttokg/Drivers!BD4</f>
        <v>9.7619129318527325</v>
      </c>
      <c r="BD35" s="53">
        <f>BD34*ttokg/Drivers!BE4</f>
        <v>9.9285265151239681</v>
      </c>
      <c r="BE35" s="53">
        <f>BE34*ttokg/Drivers!BF4</f>
        <v>10.102689680285124</v>
      </c>
      <c r="BF35" s="53">
        <f>BF34*ttokg/Drivers!BG4</f>
        <v>10.286251605681512</v>
      </c>
      <c r="BG35" s="53">
        <f>BG34*ttokg/Drivers!BH4</f>
        <v>10.457217581972527</v>
      </c>
      <c r="BH35" s="53">
        <f>BH34*ttokg/Drivers!BI4</f>
        <v>10.636878174265668</v>
      </c>
      <c r="BI35" s="53">
        <f>BI34*ttokg/Drivers!BJ4</f>
        <v>10.826954007586293</v>
      </c>
      <c r="BJ35" s="53">
        <f>BJ34*ttokg/Drivers!BK4</f>
        <v>11.028396900732291</v>
      </c>
      <c r="BK35" s="53">
        <f>BK34*ttokg/Drivers!BL4</f>
        <v>11.246445661025522</v>
      </c>
    </row>
    <row r="36" spans="1:63" x14ac:dyDescent="0.25">
      <c r="A36" t="s">
        <v>336</v>
      </c>
      <c r="B36" t="s">
        <v>322</v>
      </c>
      <c r="C36" s="53">
        <f>C34/Drivers!D4</f>
        <v>5.6792692731505428E-3</v>
      </c>
      <c r="D36" s="53">
        <f>D34/Drivers!E4</f>
        <v>5.6735407533878863E-3</v>
      </c>
      <c r="E36" s="53">
        <f>E34/Drivers!F4</f>
        <v>5.7663554980919695E-3</v>
      </c>
      <c r="F36" s="53">
        <f>F34/Drivers!G4</f>
        <v>5.5003626959346519E-3</v>
      </c>
      <c r="G36" s="53">
        <f>G34/Drivers!H4</f>
        <v>5.7440011119202841E-3</v>
      </c>
      <c r="H36" s="53">
        <f>H34/Drivers!I4</f>
        <v>6.5643785254272408E-3</v>
      </c>
      <c r="I36" s="53">
        <f>I34/Drivers!J4</f>
        <v>6.2261767361581379E-3</v>
      </c>
      <c r="J36" s="53">
        <f>J34/Drivers!K4</f>
        <v>6.8159410484838825E-3</v>
      </c>
      <c r="K36" s="53">
        <f>K34/Drivers!L4</f>
        <v>6.9135617067431947E-3</v>
      </c>
      <c r="L36" s="53">
        <f>L34/Drivers!M4</f>
        <v>6.7435684569066689E-3</v>
      </c>
      <c r="M36" s="53">
        <f>M34/Drivers!N4</f>
        <v>6.8938359055347002E-3</v>
      </c>
      <c r="N36" s="53">
        <f>N34/Drivers!O4</f>
        <v>6.7586436139573363E-3</v>
      </c>
      <c r="O36" s="53">
        <f>O34/Drivers!P4</f>
        <v>6.7820976802777447E-3</v>
      </c>
      <c r="P36" s="53">
        <f>P34/Drivers!Q4</f>
        <v>6.5283657706780738E-3</v>
      </c>
      <c r="Q36" s="53">
        <f>Q34/Drivers!R4</f>
        <v>6.9568365297776923E-3</v>
      </c>
      <c r="R36" s="53">
        <f>R34/Drivers!S4</f>
        <v>7.456046760983639E-3</v>
      </c>
      <c r="S36" s="53">
        <f>S34/Drivers!T4</f>
        <v>8.0842312552920001E-3</v>
      </c>
      <c r="T36" s="53">
        <f>T34/Drivers!U4</f>
        <v>8.4690969269617146E-3</v>
      </c>
      <c r="U36" s="53">
        <f>U34/Drivers!V4</f>
        <v>8.1157953647197252E-3</v>
      </c>
      <c r="V36" s="53">
        <f>V34/Drivers!W4</f>
        <v>7.5083685125492076E-3</v>
      </c>
      <c r="W36" s="53">
        <f>W34/Drivers!X4</f>
        <v>7.5365654239091563E-3</v>
      </c>
      <c r="X36" s="53">
        <f>X34/Drivers!Y4</f>
        <v>8.191650469889223E-3</v>
      </c>
      <c r="Y36" s="53"/>
      <c r="Z36" s="53"/>
      <c r="AA36" s="53"/>
      <c r="AB36" s="53"/>
      <c r="AC36" s="53"/>
      <c r="AD36" s="53"/>
      <c r="AE36" s="53"/>
      <c r="AF36" s="53"/>
      <c r="AG36" s="53"/>
      <c r="AH36" s="53"/>
      <c r="AI36" s="53"/>
      <c r="AJ36" s="53"/>
      <c r="AK36" s="53"/>
      <c r="AL36" s="53"/>
      <c r="AM36" s="53"/>
      <c r="AN36" s="53"/>
      <c r="AO36" s="53">
        <f>(AO37-AD37)/AD37</f>
        <v>0.15043947608007383</v>
      </c>
      <c r="AP36" s="53"/>
      <c r="AQ36" s="53">
        <f>(AQ37-AE37)/AE37</f>
        <v>0.1832710745524937</v>
      </c>
      <c r="AR36" s="53"/>
      <c r="AS36" s="53"/>
      <c r="AT36" s="53"/>
      <c r="AU36" s="53"/>
      <c r="AV36" s="53"/>
      <c r="AW36" s="53"/>
      <c r="AX36" s="53"/>
      <c r="AY36" s="53"/>
      <c r="AZ36" s="53"/>
      <c r="BA36" s="53"/>
      <c r="BB36" s="53"/>
      <c r="BC36" s="53"/>
      <c r="BD36" s="53"/>
      <c r="BE36" s="53"/>
      <c r="BF36" s="53"/>
      <c r="BG36" s="53"/>
      <c r="BH36" s="53"/>
      <c r="BI36" s="53"/>
      <c r="BJ36" s="53"/>
      <c r="BK36" s="53"/>
    </row>
    <row r="37" spans="1:63" x14ac:dyDescent="0.25">
      <c r="A37" t="s">
        <v>337</v>
      </c>
      <c r="B37" t="s">
        <v>321</v>
      </c>
      <c r="C37" s="22">
        <v>224000</v>
      </c>
      <c r="D37" s="22">
        <v>232000</v>
      </c>
      <c r="E37" s="22">
        <v>238000</v>
      </c>
      <c r="F37" s="22">
        <v>235000</v>
      </c>
      <c r="G37" s="22">
        <v>251000</v>
      </c>
      <c r="H37" s="22">
        <v>290000</v>
      </c>
      <c r="I37" s="22">
        <v>282000</v>
      </c>
      <c r="J37" s="22">
        <v>314000</v>
      </c>
      <c r="K37" s="22">
        <v>323000</v>
      </c>
      <c r="L37" s="22">
        <v>318000</v>
      </c>
      <c r="M37" s="22">
        <v>329000</v>
      </c>
      <c r="N37" s="22">
        <v>330000</v>
      </c>
      <c r="O37" s="22">
        <v>340000</v>
      </c>
      <c r="P37" s="22">
        <v>328000</v>
      </c>
      <c r="Q37" s="22">
        <v>348000</v>
      </c>
      <c r="R37" s="22">
        <v>375000</v>
      </c>
      <c r="S37" s="22">
        <v>412000</v>
      </c>
      <c r="T37" s="22">
        <v>438000</v>
      </c>
      <c r="U37" s="22">
        <v>426000</v>
      </c>
      <c r="V37" s="22">
        <v>404000</v>
      </c>
      <c r="W37" s="22">
        <v>413000</v>
      </c>
      <c r="X37" s="22">
        <v>452000</v>
      </c>
      <c r="Y37" s="22">
        <f>((Data!$AJ$29*'Intermediate calculations'!Y34)+Data!$AK$29)</f>
        <v>450581.48879036703</v>
      </c>
      <c r="Z37" s="22">
        <f>((Data!$AJ$29*'Intermediate calculations'!Z34)+Data!$AK$29)</f>
        <v>461122.16532246378</v>
      </c>
      <c r="AA37" s="22">
        <f>((Data!$AJ$29*'Intermediate calculations'!AA34)+Data!$AK$29)</f>
        <v>469261.83076029638</v>
      </c>
      <c r="AB37" s="22">
        <f>((Data!$AJ$29*'Intermediate calculations'!AB34)+Data!$AK$29)</f>
        <v>475429.20891240094</v>
      </c>
      <c r="AC37" s="22">
        <f>((Data!$AJ$29*'Intermediate calculations'!AC34)+Data!$AK$29)</f>
        <v>480329.76132192323</v>
      </c>
      <c r="AD37" s="22">
        <f>((Data!$AJ$29*'Intermediate calculations'!AD34)+Data!$AK$29)</f>
        <v>486283.44500174181</v>
      </c>
      <c r="AE37" s="22">
        <f>((Data!$AJ$29*'Intermediate calculations'!AE34)+Data!$AK$29)</f>
        <v>492858.41330179066</v>
      </c>
      <c r="AF37" s="22">
        <f>((Data!$AJ$29*'Intermediate calculations'!AF34)+Data!$AK$29)</f>
        <v>499334.0975901921</v>
      </c>
      <c r="AG37" s="22">
        <f>((Data!$AJ$29*'Intermediate calculations'!AG34)+Data!$AK$29)</f>
        <v>473881.15071875043</v>
      </c>
      <c r="AH37" s="22">
        <f>((Data!$AJ$29*'Intermediate calculations'!AH34)+Data!$AK$29)</f>
        <v>483335.13152406609</v>
      </c>
      <c r="AI37" s="22">
        <f>((Data!$AJ$29*'Intermediate calculations'!AI34)+Data!$AK$29)</f>
        <v>492739.85355081892</v>
      </c>
      <c r="AJ37" s="22">
        <f>((Data!$AJ$29*'Intermediate calculations'!AJ34)+Data!$AK$29)</f>
        <v>502760.89728289226</v>
      </c>
      <c r="AK37" s="22">
        <f>((Data!$AJ$29*'Intermediate calculations'!AK34)+Data!$AK$29)</f>
        <v>513264.16798416886</v>
      </c>
      <c r="AL37" s="22">
        <f>((Data!$AJ$29*'Intermediate calculations'!AL34)+Data!$AK$29)</f>
        <v>523647.32954409177</v>
      </c>
      <c r="AM37" s="22">
        <f>((Data!$AJ$29*'Intermediate calculations'!AM34)+Data!$AK$29)</f>
        <v>535204.39876211435</v>
      </c>
      <c r="AN37" s="22">
        <f>((Data!$AJ$29*'Intermediate calculations'!AN34)+Data!$AK$29)</f>
        <v>547075.61023026449</v>
      </c>
      <c r="AO37" s="22">
        <f>((Data!$AJ$29*'Intermediate calculations'!AO34)+Data!$AK$29)</f>
        <v>559439.67169421725</v>
      </c>
      <c r="AP37" s="22">
        <f>((Data!$AJ$29*'Intermediate calculations'!AP34)+Data!$AK$29)</f>
        <v>572118.78586203279</v>
      </c>
      <c r="AQ37" s="22">
        <f>((Data!$AJ$29*'Intermediate calculations'!AQ34)+Data!$AK$29)</f>
        <v>583185.10430984688</v>
      </c>
      <c r="AR37" s="22">
        <f>((Data!$AJ$29*'Intermediate calculations'!AR34)+Data!$AK$29)</f>
        <v>596511.11074457713</v>
      </c>
      <c r="AS37" s="22">
        <f>((Data!$AJ$29*'Intermediate calculations'!AS34)+Data!$AK$29)</f>
        <v>610060.36858202075</v>
      </c>
      <c r="AT37" s="22">
        <f>((Data!$AJ$29*'Intermediate calculations'!AT34)+Data!$AK$29)</f>
        <v>623905.29886873835</v>
      </c>
      <c r="AU37" s="22">
        <f>((Data!$AJ$29*'Intermediate calculations'!AU34)+Data!$AK$29)</f>
        <v>637263.05331286136</v>
      </c>
      <c r="AV37" s="22">
        <f>((Data!$AJ$29*'Intermediate calculations'!AV34)+Data!$AK$29)</f>
        <v>651236.28837412247</v>
      </c>
      <c r="AW37" s="22">
        <f>((Data!$AJ$29*'Intermediate calculations'!AW34)+Data!$AK$29)</f>
        <v>665843.76234999881</v>
      </c>
      <c r="AX37" s="22">
        <f>((Data!$AJ$29*'Intermediate calculations'!AX34)+Data!$AK$29)</f>
        <v>680873.91760147852</v>
      </c>
      <c r="AY37" s="22">
        <f>((Data!$AJ$29*'Intermediate calculations'!AY34)+Data!$AK$29)</f>
        <v>695748.96699078684</v>
      </c>
      <c r="AZ37" s="22">
        <f>((Data!$AJ$29*'Intermediate calculations'!AZ34)+Data!$AK$29)</f>
        <v>711055.45139491442</v>
      </c>
      <c r="BA37" s="22">
        <f>((Data!$AJ$29*'Intermediate calculations'!BA34)+Data!$AK$29)</f>
        <v>727150.17586421221</v>
      </c>
      <c r="BB37" s="22">
        <f>((Data!$AJ$29*'Intermediate calculations'!BB34)+Data!$AK$29)</f>
        <v>743873.21031355159</v>
      </c>
      <c r="BC37" s="22">
        <f>((Data!$AJ$29*'Intermediate calculations'!BC34)+Data!$AK$29)</f>
        <v>761176.12233134778</v>
      </c>
      <c r="BD37" s="22">
        <f>((Data!$AJ$29*'Intermediate calculations'!BD34)+Data!$AK$29)</f>
        <v>779086.5349717692</v>
      </c>
      <c r="BE37" s="22">
        <f>((Data!$AJ$29*'Intermediate calculations'!BE34)+Data!$AK$29)</f>
        <v>797612.45389901008</v>
      </c>
      <c r="BF37" s="22">
        <f>((Data!$AJ$29*'Intermediate calculations'!BF34)+Data!$AK$29)</f>
        <v>816901.97069678595</v>
      </c>
      <c r="BG37" s="22">
        <f>((Data!$AJ$29*'Intermediate calculations'!BG34)+Data!$AK$29)</f>
        <v>835185.15047929343</v>
      </c>
      <c r="BH37" s="22">
        <f>((Data!$AJ$29*'Intermediate calculations'!BH34)+Data!$AK$29)</f>
        <v>854158.50790611189</v>
      </c>
      <c r="BI37" s="22">
        <f>((Data!$AJ$29*'Intermediate calculations'!BI34)+Data!$AK$29)</f>
        <v>873961.85119285644</v>
      </c>
      <c r="BJ37" s="22">
        <f>((Data!$AJ$29*'Intermediate calculations'!BJ34)+Data!$AK$29)</f>
        <v>894671.47883401904</v>
      </c>
      <c r="BK37" s="22">
        <f>((Data!$AJ$29*'Intermediate calculations'!BK34)+Data!$AK$29)</f>
        <v>916718.40547932638</v>
      </c>
    </row>
    <row r="38" spans="1:63" x14ac:dyDescent="0.25">
      <c r="A38" t="s">
        <v>836</v>
      </c>
      <c r="B38" t="s">
        <v>815</v>
      </c>
      <c r="C38" s="22">
        <f>Data!C30</f>
        <v>68.119237849915791</v>
      </c>
      <c r="D38" s="22">
        <f>Data!D30</f>
        <v>63.894859769163475</v>
      </c>
      <c r="E38" s="22">
        <f>Data!E30</f>
        <v>59.072103114550025</v>
      </c>
      <c r="F38" s="22">
        <f>Data!F30</f>
        <v>58.885553141022513</v>
      </c>
      <c r="G38" s="22">
        <f>Data!G30</f>
        <v>52.733853566608673</v>
      </c>
      <c r="H38" s="22">
        <f>Data!H30</f>
        <v>49.801167659087803</v>
      </c>
      <c r="I38" s="22">
        <f>Data!I30</f>
        <v>54.097578895179353</v>
      </c>
      <c r="J38" s="22">
        <f>Data!J30</f>
        <v>48.744213441440387</v>
      </c>
      <c r="K38" s="22">
        <f>Data!K30</f>
        <v>53.352655002236958</v>
      </c>
      <c r="L38" s="22">
        <f>Data!L30</f>
        <v>58.098761689825743</v>
      </c>
      <c r="M38" s="22">
        <f>Data!M30</f>
        <v>54.966389071324642</v>
      </c>
      <c r="N38" s="22">
        <f>Data!N30</f>
        <v>56.261688084642699</v>
      </c>
      <c r="O38" s="22">
        <f>Data!O30</f>
        <v>54.178346501154266</v>
      </c>
      <c r="P38" s="22">
        <f>Data!P30</f>
        <v>53.918414227536552</v>
      </c>
      <c r="Q38" s="22">
        <f>Data!Q30</f>
        <v>52.662428155033204</v>
      </c>
      <c r="R38" s="22">
        <f>Data!R30</f>
        <v>51.817664184004158</v>
      </c>
      <c r="S38" s="22">
        <f>Data!S30</f>
        <v>52.051167139869889</v>
      </c>
      <c r="T38" s="22">
        <f>Data!T30</f>
        <v>54.184194262204088</v>
      </c>
      <c r="U38" s="22">
        <f>Data!U30</f>
        <v>56.444210182137155</v>
      </c>
      <c r="V38" s="22">
        <f>Data!V30</f>
        <v>57.323692110809887</v>
      </c>
      <c r="W38" s="22">
        <f>Data!W30</f>
        <v>58.258803357595554</v>
      </c>
      <c r="X38" s="22">
        <f>Data!X30</f>
        <v>55.689096813946371</v>
      </c>
      <c r="Y38" s="22">
        <f>((Data!$AJ$30*LN('Intermediate calculations'!Y2))+Data!$AK$30)</f>
        <v>54.878404435813614</v>
      </c>
      <c r="Z38" s="22">
        <f>((Data!$AJ$30*LN('Intermediate calculations'!Z2))+Data!$AK$30)</f>
        <v>54.880806049015746</v>
      </c>
      <c r="AA38" s="22">
        <f>((Data!$AJ$30*LN('Intermediate calculations'!AA2))+Data!$AK$30)</f>
        <v>54.883062017847422</v>
      </c>
      <c r="AB38" s="22">
        <f>((Data!$AJ$30*LN('Intermediate calculations'!AB2))+Data!$AK$30)</f>
        <v>54.88518900183886</v>
      </c>
      <c r="AC38" s="22">
        <f>((Data!$AJ$30*LN('Intermediate calculations'!AC2))+Data!$AK$30)</f>
        <v>54.887200956096819</v>
      </c>
      <c r="AD38" s="22">
        <f>((Data!$AJ$30*LN('Intermediate calculations'!AD2))+Data!$AK$30)</f>
        <v>54.889109686740333</v>
      </c>
      <c r="AE38" s="22">
        <f>((Data!$AJ$30*LN('Intermediate calculations'!AE2))+Data!$AK$30)</f>
        <v>54.890925270679013</v>
      </c>
      <c r="AF38" s="22">
        <f>((Data!$AJ$30*LN('Intermediate calculations'!AF2))+Data!$AK$30)</f>
        <v>54.892656377648038</v>
      </c>
      <c r="AG38" s="22">
        <f>((Data!$AJ$30*LN('Intermediate calculations'!AG2))+Data!$AK$30)</f>
        <v>54.894310520599667</v>
      </c>
      <c r="AH38" s="22">
        <f>((Data!$AJ$30*LN('Intermediate calculations'!AH2))+Data!$AK$30)</f>
        <v>54.895894252765579</v>
      </c>
      <c r="AI38" s="22">
        <f>((Data!$AJ$30*LN('Intermediate calculations'!AI2))+Data!$AK$30)</f>
        <v>54.897413324464914</v>
      </c>
      <c r="AJ38" s="22">
        <f>((Data!$AJ$30*LN('Intermediate calculations'!AJ2))+Data!$AK$30)</f>
        <v>54.89887280913927</v>
      </c>
      <c r="AK38" s="22">
        <f>((Data!$AJ$30*LN('Intermediate calculations'!AK2))+Data!$AK$30)</f>
        <v>54.900277205588694</v>
      </c>
      <c r="AL38" s="22">
        <f>((Data!$AJ$30*LN('Intermediate calculations'!AL2))+Data!$AK$30)</f>
        <v>54.901630521605725</v>
      </c>
      <c r="AM38" s="22">
        <f>((Data!$AJ$30*LN('Intermediate calculations'!AM2))+Data!$AK$30)</f>
        <v>54.902936342926907</v>
      </c>
      <c r="AN38" s="22">
        <f>((Data!$AJ$30*LN('Intermediate calculations'!AN2))+Data!$AK$30)</f>
        <v>54.90419789049016</v>
      </c>
      <c r="AO38" s="22">
        <f>((Data!$AJ$30*LN('Intermediate calculations'!AO2))+Data!$AK$30)</f>
        <v>54.905418068300236</v>
      </c>
      <c r="AP38" s="22">
        <f>((Data!$AJ$30*LN('Intermediate calculations'!AP2))+Data!$AK$30)</f>
        <v>54.906599503692291</v>
      </c>
      <c r="AQ38" s="22">
        <f>((Data!$AJ$30*LN('Intermediate calculations'!AQ2))+Data!$AK$30)</f>
        <v>54.907744581397871</v>
      </c>
      <c r="AR38" s="22">
        <f>((Data!$AJ$30*LN('Intermediate calculations'!AR2))+Data!$AK$30)</f>
        <v>54.908855472523967</v>
      </c>
      <c r="AS38" s="22">
        <f>((Data!$AJ$30*LN('Intermediate calculations'!AS2))+Data!$AK$30)</f>
        <v>54.909934159330312</v>
      </c>
      <c r="AT38" s="22">
        <f>((Data!$AJ$30*LN('Intermediate calculations'!AT2))+Data!$AK$30)</f>
        <v>54.910982456515406</v>
      </c>
      <c r="AU38" s="22">
        <f>((Data!$AJ$30*LN('Intermediate calculations'!AU2))+Data!$AK$30)</f>
        <v>54.912002029585494</v>
      </c>
      <c r="AV38" s="22">
        <f>((Data!$AJ$30*LN('Intermediate calculations'!AV2))+Data!$AK$30)</f>
        <v>54.912994410773372</v>
      </c>
      <c r="AW38" s="22">
        <f>((Data!$AJ$30*LN('Intermediate calculations'!AW2))+Data!$AK$30)</f>
        <v>54.913961012889104</v>
      </c>
      <c r="AX38" s="22">
        <f>((Data!$AJ$30*LN('Intermediate calculations'!AX2))+Data!$AK$30)</f>
        <v>54.914903141416879</v>
      </c>
      <c r="AY38" s="22">
        <f>((Data!$AJ$30*LN('Intermediate calculations'!AY2))+Data!$AK$30)</f>
        <v>54.915822005117917</v>
      </c>
      <c r="AZ38" s="22">
        <f>((Data!$AJ$30*LN('Intermediate calculations'!AZ2))+Data!$AK$30)</f>
        <v>54.916718725355558</v>
      </c>
      <c r="BA38" s="22">
        <f>((Data!$AJ$30*LN('Intermediate calculations'!BA2))+Data!$AK$30)</f>
        <v>54.917594344322914</v>
      </c>
      <c r="BB38" s="22">
        <f>((Data!$AJ$30*LN('Intermediate calculations'!BB2))+Data!$AK$30)</f>
        <v>54.91844983232459</v>
      </c>
      <c r="BC38" s="22">
        <f>((Data!$AJ$30*LN('Intermediate calculations'!BC2))+Data!$AK$30)</f>
        <v>54.919286094239993</v>
      </c>
      <c r="BD38" s="22">
        <f>((Data!$AJ$30*LN('Intermediate calculations'!BD2))+Data!$AK$30)</f>
        <v>54.920103975276213</v>
      </c>
      <c r="BE38" s="22">
        <f>((Data!$AJ$30*LN('Intermediate calculations'!BE2))+Data!$AK$30)</f>
        <v>54.920904266102156</v>
      </c>
      <c r="BF38" s="22">
        <f>((Data!$AJ$30*LN('Intermediate calculations'!BF2))+Data!$AK$30)</f>
        <v>54.921687707442125</v>
      </c>
      <c r="BG38" s="22">
        <f>((Data!$AJ$30*LN('Intermediate calculations'!BG2))+Data!$AK$30)</f>
        <v>54.922454994195704</v>
      </c>
      <c r="BH38" s="22">
        <f>((Data!$AJ$30*LN('Intermediate calculations'!BH2))+Data!$AK$30)</f>
        <v>54.923206779141459</v>
      </c>
      <c r="BI38" s="22">
        <f>((Data!$AJ$30*LN('Intermediate calculations'!BI2))+Data!$AK$30)</f>
        <v>54.923943676273794</v>
      </c>
      <c r="BJ38" s="22">
        <f>((Data!$AJ$30*LN('Intermediate calculations'!BJ2))+Data!$AK$30)</f>
        <v>54.924666263815823</v>
      </c>
      <c r="BK38" s="22">
        <f>((Data!$AJ$30*LN('Intermediate calculations'!BK2))+Data!$AK$30)</f>
        <v>54.925375086945202</v>
      </c>
    </row>
    <row r="39" spans="1:63" x14ac:dyDescent="0.25">
      <c r="A39" t="s">
        <v>338</v>
      </c>
      <c r="B39" t="s">
        <v>321</v>
      </c>
      <c r="C39" s="22">
        <v>605000</v>
      </c>
      <c r="D39" s="22">
        <v>593000</v>
      </c>
      <c r="E39" s="22">
        <v>571000</v>
      </c>
      <c r="F39" s="22">
        <v>580000</v>
      </c>
      <c r="G39" s="22">
        <v>609000</v>
      </c>
      <c r="H39" s="22">
        <v>662000</v>
      </c>
      <c r="I39" s="22">
        <v>738000</v>
      </c>
      <c r="J39" s="22">
        <v>826000</v>
      </c>
      <c r="K39" s="22">
        <v>854000</v>
      </c>
      <c r="L39" s="22">
        <v>874000</v>
      </c>
      <c r="M39" s="22">
        <v>927000</v>
      </c>
      <c r="N39" s="22">
        <v>938000</v>
      </c>
      <c r="O39" s="22">
        <v>965000</v>
      </c>
      <c r="P39" s="22">
        <v>1032000</v>
      </c>
      <c r="Q39" s="22">
        <v>1196000</v>
      </c>
      <c r="R39" s="22">
        <v>1455000</v>
      </c>
      <c r="S39" s="22">
        <v>1664000</v>
      </c>
      <c r="T39" s="22">
        <v>1767000</v>
      </c>
      <c r="U39" s="22">
        <v>1813000</v>
      </c>
      <c r="V39" s="22">
        <v>1841000</v>
      </c>
      <c r="W39" s="22">
        <v>1887000</v>
      </c>
      <c r="X39" s="22">
        <v>1987000</v>
      </c>
      <c r="Y39" s="22">
        <f>((Data!$AJ$11*'Intermediate calculations'!Y4)+Data!$AK$11)*Drivers!Z4</f>
        <v>1795460.4257032652</v>
      </c>
      <c r="Z39" s="22">
        <f>((Data!$AJ$11*'Intermediate calculations'!Z4)+Data!$AK$11)*Drivers!AA4</f>
        <v>1865923.7046096164</v>
      </c>
      <c r="AA39" s="22">
        <f>((Data!$AJ$11*'Intermediate calculations'!AA4)+Data!$AK$11)*Drivers!AB4</f>
        <v>1906234.495701585</v>
      </c>
      <c r="AB39" s="22">
        <f>((Data!$AJ$11*'Intermediate calculations'!AB4)+Data!$AK$11)*Drivers!AC4</f>
        <v>1921346.252161856</v>
      </c>
      <c r="AC39" s="22">
        <f>((Data!$AJ$11*'Intermediate calculations'!AC4)+Data!$AK$11)*Drivers!AD4</f>
        <v>1919455.4459595913</v>
      </c>
      <c r="AD39" s="22">
        <f>((Data!$AJ$11*'Intermediate calculations'!AD4)+Data!$AK$11)*Drivers!AE4</f>
        <v>1927696.6567964964</v>
      </c>
      <c r="AE39" s="22">
        <f>((Data!$AJ$11*'Intermediate calculations'!AE4)+Data!$AK$11)*Drivers!AF4</f>
        <v>1942404.3862190086</v>
      </c>
      <c r="AF39" s="22">
        <f>((Data!$AJ$11*'Intermediate calculations'!AF4)+Data!$AK$11)*Drivers!AG4</f>
        <v>1954937.6152336434</v>
      </c>
      <c r="AG39" s="22">
        <f>((Data!$AJ$11*'Intermediate calculations'!AG4)+Data!$AK$11)*Drivers!AH4</f>
        <v>1591841.3694544192</v>
      </c>
      <c r="AH39" s="22">
        <f>((Data!$AJ$11*'Intermediate calculations'!AH4)+Data!$AK$11)*Drivers!AI4</f>
        <v>1648856.1864122588</v>
      </c>
      <c r="AI39" s="22">
        <f>((Data!$AJ$11*'Intermediate calculations'!AI4)+Data!$AK$11)*Drivers!AJ4</f>
        <v>1708399.235589698</v>
      </c>
      <c r="AJ39" s="22">
        <f>((Data!$AJ$11*'Intermediate calculations'!AJ4)+Data!$AK$11)*Drivers!AK4</f>
        <v>1778415.4187634971</v>
      </c>
      <c r="AK39" s="22">
        <f>((Data!$AJ$11*'Intermediate calculations'!AK4)+Data!$AK$11)*Drivers!AL4</f>
        <v>1854947.0143014162</v>
      </c>
      <c r="AL39" s="22">
        <f>((Data!$AJ$11*'Intermediate calculations'!AL4)+Data!$AK$11)*Drivers!AM4</f>
        <v>1930968.0626161993</v>
      </c>
      <c r="AM39" s="22">
        <f>((Data!$AJ$11*'Intermediate calculations'!AM4)+Data!$AK$11)*Drivers!AN4</f>
        <v>2021701.1838006179</v>
      </c>
      <c r="AN39" s="22">
        <f>((Data!$AJ$11*'Intermediate calculations'!AN4)+Data!$AK$11)*Drivers!AO4</f>
        <v>2117099.2025816599</v>
      </c>
      <c r="AO39" s="22">
        <f>((Data!$AJ$11*'Intermediate calculations'!AO4)+Data!$AK$11)*Drivers!AP4</f>
        <v>2219298.3088580198</v>
      </c>
      <c r="AP39" s="22">
        <f>((Data!$AJ$11*'Intermediate calculations'!AP4)+Data!$AK$11)*Drivers!AQ4</f>
        <v>2325936.5749786603</v>
      </c>
      <c r="AQ39" s="22">
        <f>((Data!$AJ$11*'Intermediate calculations'!AQ4)+Data!$AK$11)*Drivers!AR4</f>
        <v>2414424.8363518175</v>
      </c>
      <c r="AR39" s="22">
        <f>((Data!$AJ$11*'Intermediate calculations'!AR4)+Data!$AK$11)*Drivers!AS4</f>
        <v>2530226.1558075231</v>
      </c>
      <c r="AS39" s="22">
        <f>((Data!$AJ$11*'Intermediate calculations'!AS4)+Data!$AK$11)*Drivers!AT4</f>
        <v>2649476.6801156453</v>
      </c>
      <c r="AT39" s="22">
        <f>((Data!$AJ$11*'Intermediate calculations'!AT4)+Data!$AK$11)*Drivers!AU4</f>
        <v>2773054.3953698692</v>
      </c>
      <c r="AU39" s="22">
        <f>((Data!$AJ$11*'Intermediate calculations'!AU4)+Data!$AK$11)*Drivers!AV4</f>
        <v>2891710.6732909549</v>
      </c>
      <c r="AV39" s="22">
        <f>((Data!$AJ$11*'Intermediate calculations'!AV4)+Data!$AK$11)*Drivers!AW4</f>
        <v>3018407.6520517543</v>
      </c>
      <c r="AW39" s="22">
        <f>((Data!$AJ$11*'Intermediate calculations'!AW4)+Data!$AK$11)*Drivers!AX4</f>
        <v>3153390.2230628347</v>
      </c>
      <c r="AX39" s="22">
        <f>((Data!$AJ$11*'Intermediate calculations'!AX4)+Data!$AK$11)*Drivers!AY4</f>
        <v>3294200.6794103961</v>
      </c>
      <c r="AY39" s="22">
        <f>((Data!$AJ$11*'Intermediate calculations'!AY4)+Data!$AK$11)*Drivers!AZ4</f>
        <v>3434084.0793846631</v>
      </c>
      <c r="AZ39" s="22">
        <f>((Data!$AJ$11*'Intermediate calculations'!AZ4)+Data!$AK$11)*Drivers!BA4</f>
        <v>3579846.5163218868</v>
      </c>
      <c r="BA39" s="22">
        <f>((Data!$AJ$11*'Intermediate calculations'!BA4)+Data!$AK$11)*Drivers!BB4</f>
        <v>3735695.1589270285</v>
      </c>
      <c r="BB39" s="22">
        <f>((Data!$AJ$11*'Intermediate calculations'!BB4)+Data!$AK$11)*Drivers!BC4</f>
        <v>3899774.1610052167</v>
      </c>
      <c r="BC39" s="22">
        <f>((Data!$AJ$11*'Intermediate calculations'!BC4)+Data!$AK$11)*Drivers!BD4</f>
        <v>4071535.3981146738</v>
      </c>
      <c r="BD39" s="22">
        <f>((Data!$AJ$11*'Intermediate calculations'!BD4)+Data!$AK$11)*Drivers!BE4</f>
        <v>4251322.6200723685</v>
      </c>
      <c r="BE39" s="22">
        <f>((Data!$AJ$11*'Intermediate calculations'!BE4)+Data!$AK$11)*Drivers!BF4</f>
        <v>4439244.8319381177</v>
      </c>
      <c r="BF39" s="22">
        <f>((Data!$AJ$11*'Intermediate calculations'!BF4)+Data!$AK$11)*Drivers!BG4</f>
        <v>4637058.1534314528</v>
      </c>
      <c r="BG39" s="22">
        <f>((Data!$AJ$11*'Intermediate calculations'!BG4)+Data!$AK$11)*Drivers!BH4</f>
        <v>4824014.9044327876</v>
      </c>
      <c r="BH39" s="22">
        <f>((Data!$AJ$11*'Intermediate calculations'!BH4)+Data!$AK$11)*Drivers!BI4</f>
        <v>5020037.0913223084</v>
      </c>
      <c r="BI39" s="22">
        <f>((Data!$AJ$11*'Intermediate calculations'!BI4)+Data!$AK$11)*Drivers!BJ4</f>
        <v>5226782.0794687066</v>
      </c>
      <c r="BJ39" s="22">
        <f>((Data!$AJ$11*'Intermediate calculations'!BJ4)+Data!$AK$11)*Drivers!BK4</f>
        <v>5445175.3426066339</v>
      </c>
      <c r="BK39" s="22">
        <f>((Data!$AJ$11*'Intermediate calculations'!BK4)+Data!$AK$11)*Drivers!BL4</f>
        <v>5680289.8912799554</v>
      </c>
    </row>
    <row r="40" spans="1:63" x14ac:dyDescent="0.25">
      <c r="A40" t="s">
        <v>338</v>
      </c>
      <c r="B40" t="s">
        <v>663</v>
      </c>
      <c r="C40" s="53">
        <f>C39*ttokg/Drivers!D4</f>
        <v>16.439990001225254</v>
      </c>
      <c r="D40" s="53">
        <f>D39*ttokg/Drivers!E4</f>
        <v>15.721540498873908</v>
      </c>
      <c r="E40" s="53">
        <f>E39*ttokg/Drivers!F4</f>
        <v>14.764973046683922</v>
      </c>
      <c r="F40" s="53">
        <f>F39*ttokg/Drivers!G4</f>
        <v>14.633992493771091</v>
      </c>
      <c r="G40" s="53">
        <f>G39*ttokg/Drivers!H4</f>
        <v>15.013290459911815</v>
      </c>
      <c r="H40" s="53">
        <f>H39*ttokg/Drivers!I4</f>
        <v>15.976538911150124</v>
      </c>
      <c r="I40" s="53">
        <f>I39*ttokg/Drivers!J4</f>
        <v>17.471172742527397</v>
      </c>
      <c r="J40" s="53">
        <f>J39*ttokg/Drivers!K4</f>
        <v>19.214905481391423</v>
      </c>
      <c r="K40" s="53">
        <f>K39*ttokg/Drivers!L4</f>
        <v>19.550270521717511</v>
      </c>
      <c r="L40" s="53">
        <f>L39*ttokg/Drivers!M4</f>
        <v>19.71196933557334</v>
      </c>
      <c r="M40" s="53">
        <f>M39*ttokg/Drivers!N4</f>
        <v>20.614793175582797</v>
      </c>
      <c r="N40" s="53">
        <f>N39*ttokg/Drivers!O4</f>
        <v>20.583141915233707</v>
      </c>
      <c r="O40" s="53">
        <f>O39*ttokg/Drivers!P4</f>
        <v>20.909662177214134</v>
      </c>
      <c r="P40" s="53">
        <f>P39*ttokg/Drivers!Q4</f>
        <v>22.089421230622204</v>
      </c>
      <c r="Q40" s="53">
        <f>Q39*ttokg/Drivers!R4</f>
        <v>25.289898144723768</v>
      </c>
      <c r="R40" s="53">
        <f>R39*ttokg/Drivers!S4</f>
        <v>30.388089740143403</v>
      </c>
      <c r="S40" s="53">
        <f>S39*ttokg/Drivers!T4</f>
        <v>34.316736757157884</v>
      </c>
      <c r="T40" s="53">
        <f>T39*ttokg/Drivers!U4</f>
        <v>35.973303533512855</v>
      </c>
      <c r="U40" s="53">
        <f>U39*ttokg/Drivers!V4</f>
        <v>36.420636129299162</v>
      </c>
      <c r="V40" s="53">
        <f>V39*ttokg/Drivers!W4</f>
        <v>36.472048632198131</v>
      </c>
      <c r="W40" s="53">
        <f>W39*ttokg/Drivers!X4</f>
        <v>36.843261541234661</v>
      </c>
      <c r="X40" s="53">
        <f>X39*ttokg/Drivers!Y4</f>
        <v>38.208472966361235</v>
      </c>
      <c r="Y40" s="53">
        <f>Y39*ttokg/Drivers!Z4</f>
        <v>34.313341081187701</v>
      </c>
      <c r="Z40" s="53">
        <f>Z39*ttokg/Drivers!AA4</f>
        <v>35.136903541301457</v>
      </c>
      <c r="AA40" s="53">
        <f>AA39*ttokg/Drivers!AB4</f>
        <v>35.358019839308014</v>
      </c>
      <c r="AB40" s="53">
        <f>AB39*ttokg/Drivers!AC4</f>
        <v>35.092767224922099</v>
      </c>
      <c r="AC40" s="53">
        <f>AC39*ttokg/Drivers!AD4</f>
        <v>34.510203170766474</v>
      </c>
      <c r="AD40" s="53">
        <f>AD39*ttokg/Drivers!AE4</f>
        <v>34.105276332232506</v>
      </c>
      <c r="AE40" s="53">
        <f>AE39*ttokg/Drivers!AF4</f>
        <v>33.818587041973785</v>
      </c>
      <c r="AF40" s="53">
        <f>AF39*ttokg/Drivers!AG4</f>
        <v>33.495127979926806</v>
      </c>
      <c r="AG40" s="53">
        <f>AG39*ttokg/Drivers!AH4</f>
        <v>26.839934745724769</v>
      </c>
      <c r="AH40" s="53">
        <f>AH39*ttokg/Drivers!AI4</f>
        <v>27.436181631452268</v>
      </c>
      <c r="AI40" s="53">
        <f>AI39*ttokg/Drivers!AJ4</f>
        <v>28.07946755125867</v>
      </c>
      <c r="AJ40" s="53">
        <f>AJ39*ttokg/Drivers!AK4</f>
        <v>28.899549787091679</v>
      </c>
      <c r="AK40" s="53">
        <f>AK39*ttokg/Drivers!AL4</f>
        <v>29.81198982801418</v>
      </c>
      <c r="AL40" s="53">
        <f>AL39*ttokg/Drivers!AM4</f>
        <v>30.702901450434126</v>
      </c>
      <c r="AM40" s="53">
        <f>AM39*ttokg/Drivers!AN4</f>
        <v>31.813356431213357</v>
      </c>
      <c r="AN40" s="53">
        <f>AN39*ttokg/Drivers!AO4</f>
        <v>32.981112862017604</v>
      </c>
      <c r="AO40" s="53">
        <f>AO39*ttokg/Drivers!AP4</f>
        <v>34.23850325650092</v>
      </c>
      <c r="AP40" s="53">
        <f>AP39*ttokg/Drivers!AQ4</f>
        <v>35.545516258315189</v>
      </c>
      <c r="AQ40" s="53">
        <f>AQ39*ttokg/Drivers!AR4</f>
        <v>36.55959907331799</v>
      </c>
      <c r="AR40" s="53">
        <f>AR39*ttokg/Drivers!AS4</f>
        <v>37.971765306849612</v>
      </c>
      <c r="AS40" s="53">
        <f>AS39*ttokg/Drivers!AT4</f>
        <v>39.417422878829726</v>
      </c>
      <c r="AT40" s="53">
        <f>AT39*ttokg/Drivers!AU4</f>
        <v>40.909689860365567</v>
      </c>
      <c r="AU40" s="53">
        <f>AU39*ttokg/Drivers!AV4</f>
        <v>42.312316285660884</v>
      </c>
      <c r="AV40" s="53">
        <f>AV39*ttokg/Drivers!AW4</f>
        <v>43.816585929964461</v>
      </c>
      <c r="AW40" s="53">
        <f>AW39*ttokg/Drivers!AX4</f>
        <v>45.424648988282733</v>
      </c>
      <c r="AX40" s="53">
        <f>AX39*ttokg/Drivers!AY4</f>
        <v>47.100086304697513</v>
      </c>
      <c r="AY40" s="53">
        <f>AY39*ttokg/Drivers!AZ4</f>
        <v>48.746669989357031</v>
      </c>
      <c r="AZ40" s="53">
        <f>AZ39*ttokg/Drivers!BA4</f>
        <v>50.461081879439917</v>
      </c>
      <c r="BA40" s="53">
        <f>BA39*ttokg/Drivers!BB4</f>
        <v>52.301899934471905</v>
      </c>
      <c r="BB40" s="53">
        <f>BB39*ttokg/Drivers!BC4</f>
        <v>54.241933705667918</v>
      </c>
      <c r="BC40" s="53">
        <f>BC39*ttokg/Drivers!BD4</f>
        <v>56.272913034786761</v>
      </c>
      <c r="BD40" s="53">
        <f>BD39*ttokg/Drivers!BE4</f>
        <v>58.399153201281173</v>
      </c>
      <c r="BE40" s="53">
        <f>BE39*ttokg/Drivers!BF4</f>
        <v>60.621737398912913</v>
      </c>
      <c r="BF40" s="53">
        <f>BF39*ttokg/Drivers!BG4</f>
        <v>62.964263927386149</v>
      </c>
      <c r="BG40" s="53">
        <f>BG39*ttokg/Drivers!BH4</f>
        <v>65.146047181528829</v>
      </c>
      <c r="BH40" s="53">
        <f>BH39*ttokg/Drivers!BI4</f>
        <v>67.438786825978937</v>
      </c>
      <c r="BI40" s="53">
        <f>BI39*ttokg/Drivers!BJ4</f>
        <v>69.864440626535469</v>
      </c>
      <c r="BJ40" s="53">
        <f>BJ39*ttokg/Drivers!BK4</f>
        <v>72.435155224063777</v>
      </c>
      <c r="BK40" s="53">
        <f>BK39*ttokg/Drivers!BL4</f>
        <v>75.217785687241744</v>
      </c>
    </row>
    <row r="41" spans="1:63" x14ac:dyDescent="0.25">
      <c r="A41" t="s">
        <v>338</v>
      </c>
      <c r="B41" t="s">
        <v>322</v>
      </c>
      <c r="C41" s="53">
        <f>C39/Drivers!D4</f>
        <v>1.6439990001225254E-2</v>
      </c>
      <c r="D41" s="53">
        <f>D39/Drivers!E4</f>
        <v>1.5721540498873907E-2</v>
      </c>
      <c r="E41" s="53">
        <f>E39/Drivers!F4</f>
        <v>1.4764973046683923E-2</v>
      </c>
      <c r="F41" s="53">
        <f>F39/Drivers!G4</f>
        <v>1.4633992493771092E-2</v>
      </c>
      <c r="G41" s="53">
        <f>G39/Drivers!H4</f>
        <v>1.5013290459911816E-2</v>
      </c>
      <c r="H41" s="53">
        <f>H39/Drivers!I4</f>
        <v>1.5976538911150123E-2</v>
      </c>
      <c r="I41" s="53">
        <f>I39/Drivers!J4</f>
        <v>1.7471172742527397E-2</v>
      </c>
      <c r="J41" s="53">
        <f>J39/Drivers!K4</f>
        <v>1.9214905481391424E-2</v>
      </c>
      <c r="K41" s="53">
        <f>K39/Drivers!L4</f>
        <v>1.9550270521717511E-2</v>
      </c>
      <c r="L41" s="53">
        <f>L39/Drivers!M4</f>
        <v>1.9711969335573339E-2</v>
      </c>
      <c r="M41" s="53">
        <f>M39/Drivers!N4</f>
        <v>2.0614793175582798E-2</v>
      </c>
      <c r="N41" s="53">
        <f>N39/Drivers!O4</f>
        <v>2.0583141915233708E-2</v>
      </c>
      <c r="O41" s="53">
        <f>O39/Drivers!P4</f>
        <v>2.0909662177214131E-2</v>
      </c>
      <c r="P41" s="53">
        <f>P39/Drivers!Q4</f>
        <v>2.2089421230622203E-2</v>
      </c>
      <c r="Q41" s="53">
        <f>Q39/Drivers!R4</f>
        <v>2.5289898144723769E-2</v>
      </c>
      <c r="R41" s="53">
        <f>R39/Drivers!S4</f>
        <v>3.0388089740143405E-2</v>
      </c>
      <c r="S41" s="53">
        <f>S39/Drivers!T4</f>
        <v>3.4316736757157879E-2</v>
      </c>
      <c r="T41" s="53">
        <f>T39/Drivers!U4</f>
        <v>3.5973303533512857E-2</v>
      </c>
      <c r="U41" s="53">
        <f>U39/Drivers!V4</f>
        <v>3.6420636129299161E-2</v>
      </c>
      <c r="V41" s="53">
        <f>V39/Drivers!W4</f>
        <v>3.6472048632198134E-2</v>
      </c>
      <c r="W41" s="53">
        <f>W39/Drivers!X4</f>
        <v>3.6843261541234656E-2</v>
      </c>
      <c r="X41" s="53">
        <f>X39/Drivers!Y4</f>
        <v>3.8208472966361234E-2</v>
      </c>
      <c r="Y41" s="53"/>
      <c r="Z41" s="53"/>
      <c r="AA41" s="53"/>
      <c r="AB41" s="53"/>
      <c r="AC41" s="53"/>
      <c r="AD41" s="53"/>
      <c r="AE41" s="53"/>
      <c r="AF41" s="53"/>
      <c r="AG41" s="53"/>
      <c r="AH41" s="53"/>
      <c r="AI41" s="53"/>
      <c r="AJ41" s="53"/>
      <c r="AK41" s="53"/>
      <c r="AL41" s="53"/>
      <c r="AM41" s="53"/>
      <c r="AN41" s="53"/>
      <c r="AO41" s="53">
        <f>(AO42-AD42)/AD42</f>
        <v>0.13404666021445072</v>
      </c>
      <c r="AP41" s="53"/>
      <c r="AQ41" s="53">
        <f>(AQ42-AE42)/AE42</f>
        <v>0.21552638483974332</v>
      </c>
      <c r="AR41" s="53"/>
      <c r="AS41" s="53"/>
      <c r="AT41" s="53"/>
      <c r="AU41" s="53"/>
      <c r="AV41" s="53"/>
      <c r="AW41" s="53"/>
      <c r="AX41" s="53"/>
      <c r="AY41" s="53"/>
      <c r="AZ41" s="53"/>
      <c r="BA41" s="53"/>
      <c r="BB41" s="53"/>
      <c r="BC41" s="53"/>
      <c r="BD41" s="53"/>
      <c r="BE41" s="53"/>
      <c r="BF41" s="53"/>
      <c r="BG41" s="53"/>
      <c r="BH41" s="53"/>
      <c r="BI41" s="53"/>
      <c r="BJ41" s="53"/>
      <c r="BK41" s="53"/>
    </row>
    <row r="42" spans="1:63" x14ac:dyDescent="0.25">
      <c r="A42" t="s">
        <v>339</v>
      </c>
      <c r="B42" t="s">
        <v>321</v>
      </c>
      <c r="C42" s="22">
        <v>609000</v>
      </c>
      <c r="D42" s="22">
        <v>593000</v>
      </c>
      <c r="E42" s="22">
        <v>564000</v>
      </c>
      <c r="F42" s="22">
        <v>577000</v>
      </c>
      <c r="G42" s="22">
        <v>607000</v>
      </c>
      <c r="H42" s="22">
        <v>647000</v>
      </c>
      <c r="I42" s="22">
        <v>699000</v>
      </c>
      <c r="J42" s="22">
        <v>753000</v>
      </c>
      <c r="K42" s="22">
        <v>777000</v>
      </c>
      <c r="L42" s="22">
        <v>803000</v>
      </c>
      <c r="M42" s="22">
        <v>850000</v>
      </c>
      <c r="N42" s="22">
        <v>869000</v>
      </c>
      <c r="O42" s="22">
        <v>896000</v>
      </c>
      <c r="P42" s="22">
        <v>925000</v>
      </c>
      <c r="Q42" s="22">
        <v>1043000</v>
      </c>
      <c r="R42" s="22">
        <v>1273000</v>
      </c>
      <c r="S42" s="22">
        <v>1427000</v>
      </c>
      <c r="T42" s="22">
        <v>1499000</v>
      </c>
      <c r="U42" s="22">
        <v>1584000</v>
      </c>
      <c r="V42" s="22">
        <v>1644000</v>
      </c>
      <c r="W42" s="22">
        <v>1681000</v>
      </c>
      <c r="X42" s="22">
        <v>1721000</v>
      </c>
      <c r="Y42" s="22">
        <f>((Data!$AJ$33*'Intermediate calculations'!Y39)+Data!$AK$33)</f>
        <v>1472686.7290347498</v>
      </c>
      <c r="Z42" s="22">
        <f>((Data!$AJ$33*'Intermediate calculations'!Z39)+Data!$AK$33)</f>
        <v>1523476.4138715439</v>
      </c>
      <c r="AA42" s="22">
        <f>((Data!$AJ$33*'Intermediate calculations'!AA39)+Data!$AK$33)</f>
        <v>1552532.2910157791</v>
      </c>
      <c r="AB42" s="22">
        <f>((Data!$AJ$33*'Intermediate calculations'!AB39)+Data!$AK$33)</f>
        <v>1563424.792186036</v>
      </c>
      <c r="AC42" s="22">
        <f>((Data!$AJ$33*'Intermediate calculations'!AC39)+Data!$AK$33)</f>
        <v>1562061.9056926596</v>
      </c>
      <c r="AD42" s="22">
        <f>((Data!$AJ$33*'Intermediate calculations'!AD39)+Data!$AK$33)</f>
        <v>1568002.1416223028</v>
      </c>
      <c r="AE42" s="22">
        <f>((Data!$AJ$33*'Intermediate calculations'!AE39)+Data!$AK$33)</f>
        <v>1578603.4215177081</v>
      </c>
      <c r="AF42" s="22">
        <f>((Data!$AJ$33*'Intermediate calculations'!AF39)+Data!$AK$33)</f>
        <v>1587637.3291291702</v>
      </c>
      <c r="AG42" s="22">
        <f>((Data!$AJ$33*'Intermediate calculations'!AG39)+Data!$AK$33)</f>
        <v>1325918.8258920508</v>
      </c>
      <c r="AH42" s="22">
        <f>((Data!$AJ$33*'Intermediate calculations'!AH39)+Data!$AK$33)</f>
        <v>1367014.9064216663</v>
      </c>
      <c r="AI42" s="22">
        <f>((Data!$AJ$33*'Intermediate calculations'!AI39)+Data!$AK$33)</f>
        <v>1409933.3278871665</v>
      </c>
      <c r="AJ42" s="22">
        <f>((Data!$AJ$33*'Intermediate calculations'!AJ39)+Data!$AK$33)</f>
        <v>1460400.7476846289</v>
      </c>
      <c r="AK42" s="22">
        <f>((Data!$AJ$33*'Intermediate calculations'!AK39)+Data!$AK$33)</f>
        <v>1515564.4539122928</v>
      </c>
      <c r="AL42" s="22">
        <f>((Data!$AJ$33*'Intermediate calculations'!AL39)+Data!$AK$33)</f>
        <v>1570360.1594882722</v>
      </c>
      <c r="AM42" s="22">
        <f>((Data!$AJ$33*'Intermediate calculations'!AM39)+Data!$AK$33)</f>
        <v>1635760.2757011426</v>
      </c>
      <c r="AN42" s="22">
        <f>((Data!$AJ$33*'Intermediate calculations'!AN39)+Data!$AK$33)</f>
        <v>1704522.8337760118</v>
      </c>
      <c r="AO42" s="22">
        <f>((Data!$AJ$33*'Intermediate calculations'!AO39)+Data!$AK$33)</f>
        <v>1778187.5919158787</v>
      </c>
      <c r="AP42" s="22">
        <f>((Data!$AJ$33*'Intermediate calculations'!AP39)+Data!$AK$33)</f>
        <v>1855052.0809358659</v>
      </c>
      <c r="AQ42" s="22">
        <f>((Data!$AJ$33*'Intermediate calculations'!AQ39)+Data!$AK$33)</f>
        <v>1918834.1100530692</v>
      </c>
      <c r="AR42" s="22">
        <f>((Data!$AJ$33*'Intermediate calculations'!AR39)+Data!$AK$33)</f>
        <v>2002303.2958492197</v>
      </c>
      <c r="AS42" s="22">
        <f>((Data!$AJ$33*'Intermediate calculations'!AS39)+Data!$AK$33)</f>
        <v>2088258.6564318801</v>
      </c>
      <c r="AT42" s="22">
        <f>((Data!$AJ$33*'Intermediate calculations'!AT39)+Data!$AK$33)</f>
        <v>2177333.0411047083</v>
      </c>
      <c r="AU42" s="22">
        <f>((Data!$AJ$33*'Intermediate calculations'!AU39)+Data!$AK$33)</f>
        <v>2262860.0709712645</v>
      </c>
      <c r="AV42" s="22">
        <f>((Data!$AJ$33*'Intermediate calculations'!AV39)+Data!$AK$33)</f>
        <v>2354182.8098632097</v>
      </c>
      <c r="AW42" s="22">
        <f>((Data!$AJ$33*'Intermediate calculations'!AW39)+Data!$AK$33)</f>
        <v>2451477.7746522385</v>
      </c>
      <c r="AX42" s="22">
        <f>((Data!$AJ$33*'Intermediate calculations'!AX39)+Data!$AK$33)</f>
        <v>2552973.4587960709</v>
      </c>
      <c r="AY42" s="22">
        <f>((Data!$AJ$33*'Intermediate calculations'!AY39)+Data!$AK$33)</f>
        <v>2653800.9239504333</v>
      </c>
      <c r="AZ42" s="22">
        <f>((Data!$AJ$33*'Intermediate calculations'!AZ39)+Data!$AK$33)</f>
        <v>2758865.9783729487</v>
      </c>
      <c r="BA42" s="22">
        <f>((Data!$AJ$33*'Intermediate calculations'!BA39)+Data!$AK$33)</f>
        <v>2871201.1345424107</v>
      </c>
      <c r="BB42" s="22">
        <f>((Data!$AJ$33*'Intermediate calculations'!BB39)+Data!$AK$33)</f>
        <v>2989468.7050164226</v>
      </c>
      <c r="BC42" s="22">
        <f>((Data!$AJ$33*'Intermediate calculations'!BC39)+Data!$AK$33)</f>
        <v>3113273.6036156118</v>
      </c>
      <c r="BD42" s="22">
        <f>((Data!$AJ$33*'Intermediate calculations'!BD39)+Data!$AK$33)</f>
        <v>3242863.6040050345</v>
      </c>
      <c r="BE42" s="22">
        <f>((Data!$AJ$33*'Intermediate calculations'!BE39)+Data!$AK$33)</f>
        <v>3378317.2766503245</v>
      </c>
      <c r="BF42" s="22">
        <f>((Data!$AJ$33*'Intermediate calculations'!BF39)+Data!$AK$33)</f>
        <v>3520900.4264994632</v>
      </c>
      <c r="BG42" s="22">
        <f>((Data!$AJ$33*'Intermediate calculations'!BG39)+Data!$AK$33)</f>
        <v>3655658.1983324867</v>
      </c>
      <c r="BH42" s="22">
        <f>((Data!$AJ$33*'Intermediate calculations'!BH39)+Data!$AK$33)</f>
        <v>3796950.3046275936</v>
      </c>
      <c r="BI42" s="22">
        <f>((Data!$AJ$33*'Intermediate calculations'!BI39)+Data!$AK$33)</f>
        <v>3945971.368542288</v>
      </c>
      <c r="BJ42" s="22">
        <f>((Data!$AJ$33*'Intermediate calculations'!BJ39)+Data!$AK$33)</f>
        <v>4103388.4683056455</v>
      </c>
      <c r="BK42" s="22">
        <f>((Data!$AJ$33*'Intermediate calculations'!BK39)+Data!$AK$33)</f>
        <v>4272858.2121637724</v>
      </c>
    </row>
    <row r="43" spans="1:63" x14ac:dyDescent="0.25">
      <c r="A43" t="s">
        <v>838</v>
      </c>
      <c r="B43" t="s">
        <v>815</v>
      </c>
      <c r="C43" s="22">
        <f>Data!C35</f>
        <v>86.98690270724579</v>
      </c>
      <c r="D43" s="22">
        <f>Data!D35</f>
        <v>85.412029598416751</v>
      </c>
      <c r="E43" s="22">
        <f>Data!E35</f>
        <v>82.670075098233795</v>
      </c>
      <c r="F43" s="22">
        <f>Data!F35</f>
        <v>93.784908087692543</v>
      </c>
      <c r="G43" s="22">
        <f>Data!G35</f>
        <v>85.280758961852342</v>
      </c>
      <c r="H43" s="22">
        <f>Data!H35</f>
        <v>90.110194006957386</v>
      </c>
      <c r="I43" s="22">
        <f>Data!I35</f>
        <v>96.630851643558501</v>
      </c>
      <c r="J43" s="22">
        <f>Data!J35</f>
        <v>90.082578577450462</v>
      </c>
      <c r="K43" s="22">
        <f>Data!K35</f>
        <v>94.634047967599372</v>
      </c>
      <c r="L43" s="22">
        <f>Data!L35</f>
        <v>94.202352622715566</v>
      </c>
      <c r="M43" s="22">
        <f>Data!M35</f>
        <v>95.33205671803546</v>
      </c>
      <c r="N43" s="22">
        <f>Data!N35</f>
        <v>87.813432210520816</v>
      </c>
      <c r="O43" s="22">
        <f>Data!O35</f>
        <v>95.16546905639143</v>
      </c>
      <c r="P43" s="22">
        <f>Data!P35</f>
        <v>89.302199213409068</v>
      </c>
      <c r="Q43" s="22">
        <f>Data!Q35</f>
        <v>81.529954234122201</v>
      </c>
      <c r="R43" s="22">
        <f>Data!R35</f>
        <v>71.80889155599867</v>
      </c>
      <c r="S43" s="22">
        <f>Data!S35</f>
        <v>68.101686202690857</v>
      </c>
      <c r="T43" s="22">
        <f>Data!T35</f>
        <v>68.19521740619362</v>
      </c>
      <c r="U43" s="22">
        <f>Data!U35</f>
        <v>67.928587433949829</v>
      </c>
      <c r="V43" s="22">
        <f>Data!V35</f>
        <v>61.42602874071288</v>
      </c>
      <c r="W43" s="22">
        <f>Data!W35</f>
        <v>61.879913995624968</v>
      </c>
      <c r="X43" s="22">
        <f>Data!X35</f>
        <v>62.868580144994802</v>
      </c>
      <c r="Y43" s="22">
        <f>((Data!$AJ$35*LN('Intermediate calculations'!Y2))+Data!$AK$35)</f>
        <v>67.008604056011919</v>
      </c>
      <c r="Z43" s="22">
        <f>((Data!$AJ$35*LN('Intermediate calculations'!Z2))+Data!$AK$35)</f>
        <v>66.126942573569849</v>
      </c>
      <c r="AA43" s="22">
        <f>((Data!$AJ$35*LN('Intermediate calculations'!AA2))+Data!$AK$35)</f>
        <v>65.298748914944895</v>
      </c>
      <c r="AB43" s="22">
        <f>((Data!$AJ$35*LN('Intermediate calculations'!AB2))+Data!$AK$35)</f>
        <v>64.517907163508653</v>
      </c>
      <c r="AC43" s="22">
        <f>((Data!$AJ$35*LN('Intermediate calculations'!AC2))+Data!$AK$35)</f>
        <v>63.779294229458571</v>
      </c>
      <c r="AD43" s="22">
        <f>((Data!$AJ$35*LN('Intermediate calculations'!AD2))+Data!$AK$35)</f>
        <v>63.078575942582013</v>
      </c>
      <c r="AE43" s="22">
        <f>((Data!$AJ$35*LN('Intermediate calculations'!AE2))+Data!$AK$35)</f>
        <v>62.412052946517086</v>
      </c>
      <c r="AF43" s="22">
        <f>((Data!$AJ$35*LN('Intermediate calculations'!AF2))+Data!$AK$35)</f>
        <v>61.776542475794329</v>
      </c>
      <c r="AG43" s="22">
        <f>((Data!$AJ$35*LN('Intermediate calculations'!AG2))+Data!$AK$35)</f>
        <v>61.169286434060382</v>
      </c>
      <c r="AH43" s="22">
        <f>((Data!$AJ$35*LN('Intermediate calculations'!AH2))+Data!$AK$35)</f>
        <v>60.587879050078747</v>
      </c>
      <c r="AI43" s="22">
        <f>((Data!$AJ$35*LN('Intermediate calculations'!AI2))+Data!$AK$35)</f>
        <v>60.030209311594177</v>
      </c>
      <c r="AJ43" s="22">
        <f>((Data!$AJ$35*LN('Intermediate calculations'!AJ2))+Data!$AK$35)</f>
        <v>59.494414696352727</v>
      </c>
      <c r="AK43" s="22">
        <f>((Data!$AJ$35*LN('Intermediate calculations'!AK2))+Data!$AK$35)</f>
        <v>58.978843640017558</v>
      </c>
      <c r="AL43" s="22">
        <f>((Data!$AJ$35*LN('Intermediate calculations'!AL2))+Data!$AK$35)</f>
        <v>58.482024833087181</v>
      </c>
      <c r="AM43" s="22">
        <f>((Data!$AJ$35*LN('Intermediate calculations'!AM2))+Data!$AK$35)</f>
        <v>58.002641907970194</v>
      </c>
      <c r="AN43" s="22">
        <f>((Data!$AJ$35*LN('Intermediate calculations'!AN2))+Data!$AK$35)</f>
        <v>57.539512419090912</v>
      </c>
      <c r="AO43" s="22">
        <f>((Data!$AJ$35*LN('Intermediate calculations'!AO2))+Data!$AK$35)</f>
        <v>57.091570270904612</v>
      </c>
      <c r="AP43" s="22">
        <f>((Data!$AJ$35*LN('Intermediate calculations'!AP2))+Data!$AK$35)</f>
        <v>56.657850936648842</v>
      </c>
      <c r="AQ43" s="22">
        <f>((Data!$AJ$35*LN('Intermediate calculations'!AQ2))+Data!$AK$35)</f>
        <v>56.237478952303242</v>
      </c>
      <c r="AR43" s="22">
        <f>((Data!$AJ$35*LN('Intermediate calculations'!AR2))+Data!$AK$35)</f>
        <v>55.829657278023902</v>
      </c>
      <c r="AS43" s="22">
        <f>((Data!$AJ$35*LN('Intermediate calculations'!AS2))+Data!$AK$35)</f>
        <v>55.433658202099345</v>
      </c>
      <c r="AT43" s="22">
        <f>((Data!$AJ$35*LN('Intermediate calculations'!AT2))+Data!$AK$35)</f>
        <v>55.048815526587653</v>
      </c>
      <c r="AU43" s="22">
        <f>((Data!$AJ$35*LN('Intermediate calculations'!AU2))+Data!$AK$35)</f>
        <v>54.674517823846799</v>
      </c>
      <c r="AV43" s="22">
        <f>((Data!$AJ$35*LN('Intermediate calculations'!AV2))+Data!$AK$35)</f>
        <v>54.310202592537571</v>
      </c>
      <c r="AW43" s="22">
        <f>((Data!$AJ$35*LN('Intermediate calculations'!AW2))+Data!$AK$35)</f>
        <v>53.955351172861633</v>
      </c>
      <c r="AX43" s="22">
        <f>((Data!$AJ$35*LN('Intermediate calculations'!AX2))+Data!$AK$35)</f>
        <v>53.609484305661013</v>
      </c>
      <c r="AY43" s="22">
        <f>((Data!$AJ$35*LN('Intermediate calculations'!AY2))+Data!$AK$35)</f>
        <v>53.272158239955402</v>
      </c>
      <c r="AZ43" s="22">
        <f>((Data!$AJ$35*LN('Intermediate calculations'!AZ2))+Data!$AK$35)</f>
        <v>52.942961309596079</v>
      </c>
      <c r="BA43" s="22">
        <f>((Data!$AJ$35*LN('Intermediate calculations'!BA2))+Data!$AK$35)</f>
        <v>52.621510912785027</v>
      </c>
      <c r="BB43" s="22">
        <f>((Data!$AJ$35*LN('Intermediate calculations'!BB2))+Data!$AK$35)</f>
        <v>52.307450838873336</v>
      </c>
      <c r="BC43" s="22">
        <f>((Data!$AJ$35*LN('Intermediate calculations'!BC2))+Data!$AK$35)</f>
        <v>52.000448895599824</v>
      </c>
      <c r="BD43" s="22">
        <f>((Data!$AJ$35*LN('Intermediate calculations'!BD2))+Data!$AK$35)</f>
        <v>51.700194797139382</v>
      </c>
      <c r="BE43" s="22">
        <f>((Data!$AJ$35*LN('Intermediate calculations'!BE2))+Data!$AK$35)</f>
        <v>51.406398279298507</v>
      </c>
      <c r="BF43" s="22">
        <f>((Data!$AJ$35*LN('Intermediate calculations'!BF2))+Data!$AK$35)</f>
        <v>51.118787413157747</v>
      </c>
      <c r="BG43" s="22">
        <f>((Data!$AJ$35*LN('Intermediate calculations'!BG2))+Data!$AK$35)</f>
        <v>50.837107092604512</v>
      </c>
      <c r="BH43" s="22">
        <f>((Data!$AJ$35*LN('Intermediate calculations'!BH2))+Data!$AK$35)</f>
        <v>50.561117674673177</v>
      </c>
      <c r="BI43" s="22">
        <f>((Data!$AJ$35*LN('Intermediate calculations'!BI2))+Data!$AK$35)</f>
        <v>50.290593754532807</v>
      </c>
      <c r="BJ43" s="22">
        <f>((Data!$AJ$35*LN('Intermediate calculations'!BJ2))+Data!$AK$35)</f>
        <v>50.02532305943172</v>
      </c>
      <c r="BK43" s="22">
        <f>((Data!$AJ$35*LN('Intermediate calculations'!BK2))+Data!$AK$35)</f>
        <v>49.765105448000718</v>
      </c>
    </row>
    <row r="44" spans="1:63" x14ac:dyDescent="0.25">
      <c r="A44" t="s">
        <v>345</v>
      </c>
      <c r="B44" t="s">
        <v>321</v>
      </c>
      <c r="C44" s="22">
        <v>6425000</v>
      </c>
      <c r="D44" s="22">
        <v>6769000</v>
      </c>
      <c r="E44" s="22">
        <v>7022000</v>
      </c>
      <c r="F44" s="22">
        <v>6828000</v>
      </c>
      <c r="G44" s="22">
        <v>6773000</v>
      </c>
      <c r="H44" s="22">
        <v>6417000</v>
      </c>
      <c r="I44" s="22">
        <v>6842000</v>
      </c>
      <c r="J44" s="22">
        <v>6738000</v>
      </c>
      <c r="K44" s="22">
        <v>6383000</v>
      </c>
      <c r="L44" s="22">
        <v>6341000</v>
      </c>
      <c r="M44" s="22">
        <v>6362000</v>
      </c>
      <c r="N44" s="22">
        <v>6852000</v>
      </c>
      <c r="O44" s="22">
        <v>7151000</v>
      </c>
      <c r="P44" s="22">
        <v>6983000</v>
      </c>
      <c r="Q44" s="22">
        <v>7243000</v>
      </c>
      <c r="R44" s="22">
        <v>7283000</v>
      </c>
      <c r="S44" s="22">
        <v>7462000</v>
      </c>
      <c r="T44" s="22">
        <v>7660000</v>
      </c>
      <c r="U44" s="22">
        <v>8029000</v>
      </c>
      <c r="V44" s="22">
        <v>8613000</v>
      </c>
      <c r="W44" s="22">
        <v>8658000</v>
      </c>
      <c r="X44" s="22">
        <v>8857000</v>
      </c>
      <c r="Y44" s="22">
        <f>((Data!$AJ$40*'Intermediate calculations'!Y45)+Data!$AK$40)</f>
        <v>8837588.9818800204</v>
      </c>
      <c r="Z44" s="22">
        <f>((Data!$AJ$40*'Intermediate calculations'!Z45)+Data!$AK$40)</f>
        <v>9069608.5036172904</v>
      </c>
      <c r="AA44" s="22">
        <f>((Data!$AJ$40*'Intermediate calculations'!AA45)+Data!$AK$40)</f>
        <v>9310273.6227034926</v>
      </c>
      <c r="AB44" s="22">
        <f>((Data!$AJ$40*'Intermediate calculations'!AB45)+Data!$AK$40)</f>
        <v>9559918.203922689</v>
      </c>
      <c r="AC44" s="22">
        <f>((Data!$AJ$40*'Intermediate calculations'!AC45)+Data!$AK$40)</f>
        <v>9818892.7438438796</v>
      </c>
      <c r="AD44" s="22">
        <f>((Data!$AJ$40*'Intermediate calculations'!AD45)+Data!$AK$40)</f>
        <v>10087565.193359558</v>
      </c>
      <c r="AE44" s="22">
        <f>((Data!$AJ$40*'Intermediate calculations'!AE45)+Data!$AK$40)</f>
        <v>10359825.374047417</v>
      </c>
      <c r="AF44" s="22">
        <f>((Data!$AJ$40*'Intermediate calculations'!AF45)+Data!$AK$40)</f>
        <v>10636488.448266506</v>
      </c>
      <c r="AG44" s="22">
        <f>((Data!$AJ$40*'Intermediate calculations'!AG45)+Data!$AK$40)</f>
        <v>10917625.618024401</v>
      </c>
      <c r="AH44" s="22">
        <f>((Data!$AJ$40*'Intermediate calculations'!AH45)+Data!$AK$40)</f>
        <v>11152692.375697788</v>
      </c>
      <c r="AI44" s="22">
        <f>((Data!$AJ$40*'Intermediate calculations'!AI45)+Data!$AK$40)</f>
        <v>11374213.720392853</v>
      </c>
      <c r="AJ44" s="22">
        <f>((Data!$AJ$40*'Intermediate calculations'!AJ45)+Data!$AK$40)</f>
        <v>11581596.749105513</v>
      </c>
      <c r="AK44" s="22">
        <f>((Data!$AJ$40*'Intermediate calculations'!AK45)+Data!$AK$40)</f>
        <v>11785239.625506744</v>
      </c>
      <c r="AL44" s="22">
        <f>((Data!$AJ$40*'Intermediate calculations'!AL45)+Data!$AK$40)</f>
        <v>11984963.710530404</v>
      </c>
      <c r="AM44" s="22">
        <f>((Data!$AJ$40*'Intermediate calculations'!AM45)+Data!$AK$40)</f>
        <v>12180592.241853267</v>
      </c>
      <c r="AN44" s="22">
        <f>((Data!$AJ$40*'Intermediate calculations'!AN45)+Data!$AK$40)</f>
        <v>12371950.59118773</v>
      </c>
      <c r="AO44" s="22">
        <f>((Data!$AJ$40*'Intermediate calculations'!AO45)+Data!$AK$40)</f>
        <v>12558866.520960063</v>
      </c>
      <c r="AP44" s="22">
        <f>((Data!$AJ$40*'Intermediate calculations'!AP45)+Data!$AK$40)</f>
        <v>12742543.252317514</v>
      </c>
      <c r="AQ44" s="22">
        <f>((Data!$AJ$40*'Intermediate calculations'!AQ45)+Data!$AK$40)</f>
        <v>12922852.719359275</v>
      </c>
      <c r="AR44" s="22">
        <f>((Data!$AJ$40*'Intermediate calculations'!AR45)+Data!$AK$40)</f>
        <v>13099668.255104583</v>
      </c>
      <c r="AS44" s="22">
        <f>((Data!$AJ$40*'Intermediate calculations'!AS45)+Data!$AK$40)</f>
        <v>13272864.738126677</v>
      </c>
      <c r="AT44" s="22">
        <f>((Data!$AJ$40*'Intermediate calculations'!AT45)+Data!$AK$40)</f>
        <v>13442318.738592368</v>
      </c>
      <c r="AU44" s="22">
        <f>((Data!$AJ$40*'Intermediate calculations'!AU45)+Data!$AK$40)</f>
        <v>13608308.652316205</v>
      </c>
      <c r="AV44" s="22">
        <f>((Data!$AJ$40*'Intermediate calculations'!AV45)+Data!$AK$40)</f>
        <v>13770724.619520757</v>
      </c>
      <c r="AW44" s="22">
        <f>((Data!$AJ$40*'Intermediate calculations'!AW45)+Data!$AK$40)</f>
        <v>13929458.451777641</v>
      </c>
      <c r="AX44" s="22">
        <f>((Data!$AJ$40*'Intermediate calculations'!AX45)+Data!$AK$40)</f>
        <v>14084403.751142252</v>
      </c>
      <c r="AY44" s="22">
        <f>((Data!$AJ$40*'Intermediate calculations'!AY45)+Data!$AK$40)</f>
        <v>14235456.028124902</v>
      </c>
      <c r="AZ44" s="22">
        <f>((Data!$AJ$40*'Intermediate calculations'!AZ45)+Data!$AK$40)</f>
        <v>14382944.580527261</v>
      </c>
      <c r="BA44" s="22">
        <f>((Data!$AJ$40*'Intermediate calculations'!BA45)+Data!$AK$40)</f>
        <v>14526778.074762285</v>
      </c>
      <c r="BB44" s="22">
        <f>((Data!$AJ$40*'Intermediate calculations'!BB45)+Data!$AK$40)</f>
        <v>14666866.949597608</v>
      </c>
      <c r="BC44" s="22">
        <f>((Data!$AJ$40*'Intermediate calculations'!BC45)+Data!$AK$40)</f>
        <v>14803123.508547641</v>
      </c>
      <c r="BD44" s="22">
        <f>((Data!$AJ$40*'Intermediate calculations'!BD45)+Data!$AK$40)</f>
        <v>14935462.010865357</v>
      </c>
      <c r="BE44" s="22">
        <f>((Data!$AJ$40*'Intermediate calculations'!BE45)+Data!$AK$40)</f>
        <v>15063816.702386335</v>
      </c>
      <c r="BF44" s="22">
        <f>((Data!$AJ$40*'Intermediate calculations'!BF45)+Data!$AK$40)</f>
        <v>15188106.335170861</v>
      </c>
      <c r="BG44" s="22">
        <f>((Data!$AJ$40*'Intermediate calculations'!BG45)+Data!$AK$40)</f>
        <v>15308251.859966867</v>
      </c>
      <c r="BH44" s="22">
        <f>((Data!$AJ$40*'Intermediate calculations'!BH45)+Data!$AK$40)</f>
        <v>15424176.509654883</v>
      </c>
      <c r="BI44" s="22">
        <f>((Data!$AJ$40*'Intermediate calculations'!BI45)+Data!$AK$40)</f>
        <v>15535805.880681302</v>
      </c>
      <c r="BJ44" s="22">
        <f>((Data!$AJ$40*'Intermediate calculations'!BJ45)+Data!$AK$40)</f>
        <v>15643007.841712508</v>
      </c>
      <c r="BK44" s="22">
        <f>((Data!$AJ$40*'Intermediate calculations'!BK45)+Data!$AK$40)</f>
        <v>15745712.096732207</v>
      </c>
    </row>
    <row r="45" spans="1:63" x14ac:dyDescent="0.25">
      <c r="A45" t="s">
        <v>749</v>
      </c>
      <c r="B45" t="s">
        <v>321</v>
      </c>
      <c r="C45" s="22">
        <v>2353000</v>
      </c>
      <c r="D45" s="22">
        <v>2534000</v>
      </c>
      <c r="E45" s="22">
        <v>2567000</v>
      </c>
      <c r="F45" s="22">
        <v>2743000</v>
      </c>
      <c r="G45" s="22">
        <v>2918000</v>
      </c>
      <c r="H45" s="22">
        <v>2540000</v>
      </c>
      <c r="I45" s="22">
        <v>2807000</v>
      </c>
      <c r="J45" s="22">
        <v>2912000</v>
      </c>
      <c r="K45" s="22">
        <v>3382000</v>
      </c>
      <c r="L45" s="22">
        <v>3381000</v>
      </c>
      <c r="M45" s="22">
        <v>3426000</v>
      </c>
      <c r="N45" s="22">
        <v>3589000</v>
      </c>
      <c r="O45" s="22">
        <v>3877000</v>
      </c>
      <c r="P45" s="22">
        <v>3708000</v>
      </c>
      <c r="Q45" s="22">
        <v>3712000</v>
      </c>
      <c r="R45" s="22">
        <v>3740000</v>
      </c>
      <c r="S45" s="22">
        <v>3825000</v>
      </c>
      <c r="T45" s="22">
        <v>3816000</v>
      </c>
      <c r="U45" s="22">
        <v>3809000</v>
      </c>
      <c r="V45" s="22">
        <v>4524000</v>
      </c>
      <c r="W45" s="22">
        <v>4471000</v>
      </c>
      <c r="X45" s="22">
        <v>4513000</v>
      </c>
      <c r="Y45" s="22">
        <f>((Data!$AJ$39*Drivers!Z4)+Data!$AK$39)</f>
        <v>4413531.2351076361</v>
      </c>
      <c r="Z45" s="22">
        <f>((Data!$AJ$39*Drivers!AA4)+Data!$AK$39)</f>
        <v>4510882.5831505293</v>
      </c>
      <c r="AA45" s="22">
        <f>((Data!$AJ$39*Drivers!AB4)+Data!$AK$39)</f>
        <v>4611861.4731789092</v>
      </c>
      <c r="AB45" s="22">
        <f>((Data!$AJ$39*Drivers!AC4)+Data!$AK$39)</f>
        <v>4716607.9890380893</v>
      </c>
      <c r="AC45" s="22">
        <f>((Data!$AJ$39*Drivers!AD4)+Data!$AK$39)</f>
        <v>4825269.1929805083</v>
      </c>
      <c r="AD45" s="22">
        <f>((Data!$AJ$39*Drivers!AE4)+Data!$AK$39)</f>
        <v>4937999.4707885766</v>
      </c>
      <c r="AE45" s="22">
        <f>((Data!$AJ$39*Drivers!AF4)+Data!$AK$39)</f>
        <v>5052235.0980750509</v>
      </c>
      <c r="AF45" s="22">
        <f>((Data!$AJ$39*Drivers!AG4)+Data!$AK$39)</f>
        <v>5168318.1027603969</v>
      </c>
      <c r="AG45" s="22">
        <f>((Data!$AJ$39*Drivers!AH4)+Data!$AK$39)</f>
        <v>5286278.3599661952</v>
      </c>
      <c r="AH45" s="22">
        <f>((Data!$AJ$39*Drivers!AI4)+Data!$AK$39)</f>
        <v>5384908.27510536</v>
      </c>
      <c r="AI45" s="22">
        <f>((Data!$AJ$39*Drivers!AJ4)+Data!$AK$39)</f>
        <v>5477854.7710073674</v>
      </c>
      <c r="AJ45" s="22">
        <f>((Data!$AJ$39*Drivers!AK4)+Data!$AK$39)</f>
        <v>5564869.0759039037</v>
      </c>
      <c r="AK45" s="22">
        <f>((Data!$AJ$39*Drivers!AL4)+Data!$AK$39)</f>
        <v>5650314.078068166</v>
      </c>
      <c r="AL45" s="22">
        <f>((Data!$AJ$39*Drivers!AM4)+Data!$AK$39)</f>
        <v>5734114.8236610461</v>
      </c>
      <c r="AM45" s="22">
        <f>((Data!$AJ$39*Drivers!AN4)+Data!$AK$39)</f>
        <v>5816197.1462920606</v>
      </c>
      <c r="AN45" s="22">
        <f>((Data!$AJ$39*Drivers!AO4)+Data!$AK$39)</f>
        <v>5896487.7749748807</v>
      </c>
      <c r="AO45" s="22">
        <f>((Data!$AJ$39*Drivers!AP4)+Data!$AK$39)</f>
        <v>5974914.441825062</v>
      </c>
      <c r="AP45" s="22">
        <f>((Data!$AJ$39*Drivers!AQ4)+Data!$AK$39)</f>
        <v>6051981.9974681092</v>
      </c>
      <c r="AQ45" s="22">
        <f>((Data!$AJ$39*Drivers!AR4)+Data!$AK$39)</f>
        <v>6127636.7076837784</v>
      </c>
      <c r="AR45" s="22">
        <f>((Data!$AJ$39*Drivers!AS4)+Data!$AK$39)</f>
        <v>6201825.4252142953</v>
      </c>
      <c r="AS45" s="22">
        <f>((Data!$AJ$39*Drivers!AT4)+Data!$AK$39)</f>
        <v>6274495.6512894165</v>
      </c>
      <c r="AT45" s="22">
        <f>((Data!$AJ$39*Drivers!AU4)+Data!$AK$39)</f>
        <v>6345595.5969020799</v>
      </c>
      <c r="AU45" s="22">
        <f>((Data!$AJ$39*Drivers!AV4)+Data!$AK$39)</f>
        <v>6415242.0720846187</v>
      </c>
      <c r="AV45" s="22">
        <f>((Data!$AJ$39*Drivers!AW4)+Data!$AK$39)</f>
        <v>6483388.9815888871</v>
      </c>
      <c r="AW45" s="22">
        <f>((Data!$AJ$39*Drivers!AX4)+Data!$AK$39)</f>
        <v>6549990.9314356782</v>
      </c>
      <c r="AX45" s="22">
        <f>((Data!$AJ$39*Drivers!AY4)+Data!$AK$39)</f>
        <v>6615003.2789015751</v>
      </c>
      <c r="AY45" s="22">
        <f>((Data!$AJ$39*Drivers!AZ4)+Data!$AK$39)</f>
        <v>6678382.1820175853</v>
      </c>
      <c r="AZ45" s="22">
        <f>((Data!$AJ$39*Drivers!BA4)+Data!$AK$39)</f>
        <v>6740265.8084027953</v>
      </c>
      <c r="BA45" s="22">
        <f>((Data!$AJ$39*Drivers!BB4)+Data!$AK$39)</f>
        <v>6800615.8360757045</v>
      </c>
      <c r="BB45" s="22">
        <f>((Data!$AJ$39*Drivers!BC4)+Data!$AK$39)</f>
        <v>6859394.6867039446</v>
      </c>
      <c r="BC45" s="22">
        <f>((Data!$AJ$39*Drivers!BD4)+Data!$AK$39)</f>
        <v>6916565.5643704031</v>
      </c>
      <c r="BD45" s="22">
        <f>((Data!$AJ$39*Drivers!BE4)+Data!$AK$39)</f>
        <v>6972092.4937517848</v>
      </c>
      <c r="BE45" s="22">
        <f>((Data!$AJ$39*Drivers!BF4)+Data!$AK$39)</f>
        <v>7025947.8855465595</v>
      </c>
      <c r="BF45" s="22">
        <f>((Data!$AJ$39*Drivers!BG4)+Data!$AK$39)</f>
        <v>7078097.6495350879</v>
      </c>
      <c r="BG45" s="22">
        <f>((Data!$AJ$39*Drivers!BH4)+Data!$AK$39)</f>
        <v>7128508.6180287488</v>
      </c>
      <c r="BH45" s="22">
        <f>((Data!$AJ$39*Drivers!BI4)+Data!$AK$39)</f>
        <v>7177148.5808819942</v>
      </c>
      <c r="BI45" s="22">
        <f>((Data!$AJ$39*Drivers!BJ4)+Data!$AK$39)</f>
        <v>7223986.319660319</v>
      </c>
      <c r="BJ45" s="22">
        <f>((Data!$AJ$39*Drivers!BK4)+Data!$AK$39)</f>
        <v>7268966.3943587206</v>
      </c>
      <c r="BK45" s="22">
        <f>((Data!$AJ$39*Drivers!BL4)+Data!$AK$39)</f>
        <v>7312059.30999377</v>
      </c>
    </row>
    <row r="46" spans="1:63" x14ac:dyDescent="0.25">
      <c r="A46" t="s">
        <v>344</v>
      </c>
      <c r="B46" t="s">
        <v>321</v>
      </c>
      <c r="C46" s="22">
        <v>9180000</v>
      </c>
      <c r="D46" s="22">
        <v>8614000</v>
      </c>
      <c r="E46" s="22">
        <v>3277000</v>
      </c>
      <c r="F46" s="22">
        <v>9997000</v>
      </c>
      <c r="G46" s="22">
        <v>13275000</v>
      </c>
      <c r="H46" s="22">
        <v>4866000</v>
      </c>
      <c r="I46" s="22">
        <v>10171000</v>
      </c>
      <c r="J46" s="22">
        <v>10136000</v>
      </c>
      <c r="K46" s="22">
        <v>7693000</v>
      </c>
      <c r="L46" s="22">
        <v>7946000</v>
      </c>
      <c r="M46" s="22">
        <v>11455000</v>
      </c>
      <c r="N46" s="22">
        <v>7772000</v>
      </c>
      <c r="O46" s="22">
        <v>10076000</v>
      </c>
      <c r="P46" s="22">
        <v>9705000</v>
      </c>
      <c r="Q46" s="22">
        <v>9737000</v>
      </c>
      <c r="R46" s="22">
        <v>11749000</v>
      </c>
      <c r="S46" s="22">
        <v>6618000</v>
      </c>
      <c r="T46" s="22">
        <v>7339000</v>
      </c>
      <c r="U46" s="22">
        <v>13164000</v>
      </c>
      <c r="V46" s="22">
        <v>12567000</v>
      </c>
      <c r="W46" s="22">
        <v>13421000</v>
      </c>
      <c r="X46" s="22">
        <v>10924000</v>
      </c>
      <c r="Y46" s="22">
        <f>((Data!$AJ$41*'Intermediate calculations'!Y44)+Data!$AK$41)</f>
        <v>11669565.858699912</v>
      </c>
      <c r="Z46" s="22">
        <f>((Data!$AJ$41*'Intermediate calculations'!Z44)+Data!$AK$41)</f>
        <v>11888967.550540989</v>
      </c>
      <c r="AA46" s="22">
        <f>((Data!$AJ$41*'Intermediate calculations'!AA44)+Data!$AK$41)</f>
        <v>12116544.669480311</v>
      </c>
      <c r="AB46" s="22">
        <f>((Data!$AJ$41*'Intermediate calculations'!AB44)+Data!$AK$41)</f>
        <v>12352612.92385966</v>
      </c>
      <c r="AC46" s="22">
        <f>((Data!$AJ$41*'Intermediate calculations'!AC44)+Data!$AK$41)</f>
        <v>12597503.749325689</v>
      </c>
      <c r="AD46" s="22">
        <f>((Data!$AJ$41*'Intermediate calculations'!AD44)+Data!$AK$41)</f>
        <v>12851565.086636676</v>
      </c>
      <c r="AE46" s="22">
        <f>((Data!$AJ$41*'Intermediate calculations'!AE44)+Data!$AK$41)</f>
        <v>13109019.044892458</v>
      </c>
      <c r="AF46" s="22">
        <f>((Data!$AJ$41*'Intermediate calculations'!AF44)+Data!$AK$41)</f>
        <v>13370636.455785824</v>
      </c>
      <c r="AG46" s="22">
        <f>((Data!$AJ$41*'Intermediate calculations'!AG44)+Data!$AK$41)</f>
        <v>13636484.649172502</v>
      </c>
      <c r="AH46" s="22">
        <f>((Data!$AJ$41*'Intermediate calculations'!AH44)+Data!$AK$41)</f>
        <v>13858767.860270306</v>
      </c>
      <c r="AI46" s="22">
        <f>((Data!$AJ$41*'Intermediate calculations'!AI44)+Data!$AK$41)</f>
        <v>14068242.293460643</v>
      </c>
      <c r="AJ46" s="22">
        <f>((Data!$AJ$41*'Intermediate calculations'!AJ44)+Data!$AK$41)</f>
        <v>14264347.289359251</v>
      </c>
      <c r="AK46" s="22">
        <f>((Data!$AJ$41*'Intermediate calculations'!AK44)+Data!$AK$41)</f>
        <v>14456915.53223498</v>
      </c>
      <c r="AL46" s="22">
        <f>((Data!$AJ$41*'Intermediate calculations'!AL44)+Data!$AK$41)</f>
        <v>14645778.097882461</v>
      </c>
      <c r="AM46" s="22">
        <f>((Data!$AJ$41*'Intermediate calculations'!AM44)+Data!$AK$41)</f>
        <v>14830767.836777033</v>
      </c>
      <c r="AN46" s="22">
        <f>((Data!$AJ$41*'Intermediate calculations'!AN44)+Data!$AK$41)</f>
        <v>15011719.617375214</v>
      </c>
      <c r="AO46" s="22">
        <f>((Data!$AJ$41*'Intermediate calculations'!AO44)+Data!$AK$41)</f>
        <v>15188470.568834096</v>
      </c>
      <c r="AP46" s="22">
        <f>((Data!$AJ$41*'Intermediate calculations'!AP44)+Data!$AK$41)</f>
        <v>15362158.477980366</v>
      </c>
      <c r="AQ46" s="22">
        <f>((Data!$AJ$41*'Intermediate calculations'!AQ44)+Data!$AK$41)</f>
        <v>15532662.243472658</v>
      </c>
      <c r="AR46" s="22">
        <f>((Data!$AJ$41*'Intermediate calculations'!AR44)+Data!$AK$41)</f>
        <v>15699862.086812718</v>
      </c>
      <c r="AS46" s="22">
        <f>((Data!$AJ$41*'Intermediate calculations'!AS44)+Data!$AK$41)</f>
        <v>15863639.69100501</v>
      </c>
      <c r="AT46" s="22">
        <f>((Data!$AJ$41*'Intermediate calculations'!AT44)+Data!$AK$41)</f>
        <v>16023878.338654283</v>
      </c>
      <c r="AU46" s="22">
        <f>((Data!$AJ$41*'Intermediate calculations'!AU44)+Data!$AK$41)</f>
        <v>16180841.285680797</v>
      </c>
      <c r="AV46" s="22">
        <f>((Data!$AJ$41*'Intermediate calculations'!AV44)+Data!$AK$41)</f>
        <v>16334424.646769846</v>
      </c>
      <c r="AW46" s="22">
        <f>((Data!$AJ$41*'Intermediate calculations'!AW44)+Data!$AK$41)</f>
        <v>16484526.117063429</v>
      </c>
      <c r="AX46" s="22">
        <f>((Data!$AJ$41*'Intermediate calculations'!AX44)+Data!$AK$41)</f>
        <v>16631045.084816119</v>
      </c>
      <c r="AY46" s="22">
        <f>((Data!$AJ$41*'Intermediate calculations'!AY44)+Data!$AK$41)</f>
        <v>16773882.742950628</v>
      </c>
      <c r="AZ46" s="22">
        <f>((Data!$AJ$41*'Intermediate calculations'!AZ44)+Data!$AK$41)</f>
        <v>16913350.481190823</v>
      </c>
      <c r="BA46" s="22">
        <f>((Data!$AJ$41*'Intermediate calculations'!BA44)+Data!$AK$41)</f>
        <v>17049361.932909582</v>
      </c>
      <c r="BB46" s="22">
        <f>((Data!$AJ$41*'Intermediate calculations'!BB44)+Data!$AK$41)</f>
        <v>17181832.407449163</v>
      </c>
      <c r="BC46" s="22">
        <f>((Data!$AJ$41*'Intermediate calculations'!BC44)+Data!$AK$41)</f>
        <v>17310678.977488786</v>
      </c>
      <c r="BD46" s="22">
        <f>((Data!$AJ$41*'Intermediate calculations'!BD44)+Data!$AK$41)</f>
        <v>17435820.565088034</v>
      </c>
      <c r="BE46" s="22">
        <f>((Data!$AJ$41*'Intermediate calculations'!BE44)+Data!$AK$41)</f>
        <v>17557194.991966352</v>
      </c>
      <c r="BF46" s="22">
        <f>((Data!$AJ$41*'Intermediate calculations'!BF44)+Data!$AK$41)</f>
        <v>17674725.428659994</v>
      </c>
      <c r="BG46" s="22">
        <f>((Data!$AJ$41*'Intermediate calculations'!BG44)+Data!$AK$41)</f>
        <v>17788337.124822468</v>
      </c>
      <c r="BH46" s="22">
        <f>((Data!$AJ$41*'Intermediate calculations'!BH44)+Data!$AK$41)</f>
        <v>17897957.488131534</v>
      </c>
      <c r="BI46" s="22">
        <f>((Data!$AJ$41*'Intermediate calculations'!BI44)+Data!$AK$41)</f>
        <v>18003516.161293894</v>
      </c>
      <c r="BJ46" s="22">
        <f>((Data!$AJ$41*'Intermediate calculations'!BJ44)+Data!$AK$41)</f>
        <v>18104888.198624276</v>
      </c>
      <c r="BK46" s="22">
        <f>((Data!$AJ$41*'Intermediate calculations'!BK44)+Data!$AK$41)</f>
        <v>18202007.12698805</v>
      </c>
    </row>
    <row r="47" spans="1:63" x14ac:dyDescent="0.25">
      <c r="A47" t="s">
        <v>750</v>
      </c>
      <c r="B47" t="s">
        <v>321</v>
      </c>
      <c r="C47" s="22">
        <v>194000</v>
      </c>
      <c r="D47" s="22">
        <v>195000</v>
      </c>
      <c r="E47" s="22">
        <v>199000</v>
      </c>
      <c r="F47" s="22">
        <v>200000</v>
      </c>
      <c r="G47" s="22">
        <v>184000</v>
      </c>
      <c r="H47" s="22">
        <v>183000</v>
      </c>
      <c r="I47" s="22">
        <v>181000</v>
      </c>
      <c r="J47" s="22">
        <v>179000</v>
      </c>
      <c r="K47" s="22">
        <v>177000</v>
      </c>
      <c r="L47" s="22">
        <v>175500</v>
      </c>
      <c r="M47" s="22">
        <v>174000</v>
      </c>
      <c r="N47" s="22">
        <v>186000</v>
      </c>
      <c r="O47" s="22">
        <v>190000</v>
      </c>
      <c r="P47" s="22">
        <v>174000</v>
      </c>
      <c r="Q47" s="22">
        <v>169000</v>
      </c>
      <c r="R47" s="22">
        <v>179000</v>
      </c>
      <c r="S47" s="22">
        <v>191000</v>
      </c>
      <c r="T47" s="22">
        <v>182000</v>
      </c>
      <c r="U47" s="22">
        <v>185000</v>
      </c>
      <c r="V47" s="22">
        <v>177000</v>
      </c>
      <c r="W47" s="22">
        <v>184000</v>
      </c>
      <c r="X47" s="22">
        <v>182000</v>
      </c>
      <c r="Y47" s="22">
        <f>((Data!$AJ$12*((Drivers!Z5*1000000)/Drivers!Z4))+Data!$AK$12)*Drivers!Z4</f>
        <v>170435.07406736707</v>
      </c>
      <c r="Z47" s="22">
        <f>((Data!$AJ$12*((Drivers!AA5*1000000)/Drivers!AA4))+Data!$AK$12)*Drivers!AA4</f>
        <v>169260.02713261731</v>
      </c>
      <c r="AA47" s="22">
        <f>((Data!$AJ$12*((Drivers!AB5*1000000)/Drivers!AB4))+Data!$AK$12)*Drivers!AB4</f>
        <v>170823.44404986899</v>
      </c>
      <c r="AB47" s="22">
        <f>((Data!$AJ$12*((Drivers!AC5*1000000)/Drivers!AC4))+Data!$AK$12)*Drivers!AC4</f>
        <v>174711.78486587515</v>
      </c>
      <c r="AC47" s="22">
        <f>((Data!$AJ$12*((Drivers!AD5*1000000)/Drivers!AD4))+Data!$AK$12)*Drivers!AD4</f>
        <v>180236.58250760715</v>
      </c>
      <c r="AD47" s="22">
        <f>((Data!$AJ$12*((Drivers!AE5*1000000)/Drivers!AE4))+Data!$AK$12)*Drivers!AE4</f>
        <v>185102.24039273366</v>
      </c>
      <c r="AE47" s="22">
        <f>((Data!$AJ$12*((Drivers!AF5*1000000)/Drivers!AF4))+Data!$AK$12)*Drivers!AF4</f>
        <v>189493.32677247809</v>
      </c>
      <c r="AF47" s="22">
        <f>((Data!$AJ$12*((Drivers!AG5*1000000)/Drivers!AG4))+Data!$AK$12)*Drivers!AG4</f>
        <v>194160.18747683696</v>
      </c>
      <c r="AG47" s="22">
        <f>((Data!$AJ$12*((Drivers!AH5*1000000)/Drivers!AH4))+Data!$AK$12)*Drivers!AH4</f>
        <v>230803.63807554464</v>
      </c>
      <c r="AH47" s="22">
        <f>((Data!$AJ$12*((Drivers!AI5*1000000)/Drivers!AI4))+Data!$AK$12)*Drivers!AI4</f>
        <v>230833.23329270992</v>
      </c>
      <c r="AI47" s="22">
        <f>((Data!$AJ$12*((Drivers!AJ5*1000000)/Drivers!AJ4))+Data!$AK$12)*Drivers!AJ4</f>
        <v>230367.65417982635</v>
      </c>
      <c r="AJ47" s="22">
        <f>((Data!$AJ$12*((Drivers!AK5*1000000)/Drivers!AK4))+Data!$AK$12)*Drivers!AK4</f>
        <v>228720.24603431631</v>
      </c>
      <c r="AK47" s="22">
        <f>((Data!$AJ$12*((Drivers!AL5*1000000)/Drivers!AL4))+Data!$AK$12)*Drivers!AL4</f>
        <v>226442.32912741066</v>
      </c>
      <c r="AL47" s="22">
        <f>((Data!$AJ$12*((Drivers!AM5*1000000)/Drivers!AM4))+Data!$AK$12)*Drivers!AM4</f>
        <v>224126.5757221352</v>
      </c>
      <c r="AM47" s="22">
        <f>((Data!$AJ$12*((Drivers!AN5*1000000)/Drivers!AN4))+Data!$AK$12)*Drivers!AN4</f>
        <v>220477.2087680026</v>
      </c>
      <c r="AN47" s="22">
        <f>((Data!$AJ$12*((Drivers!AO5*1000000)/Drivers!AO4))+Data!$AK$12)*Drivers!AO4</f>
        <v>216343.42829655216</v>
      </c>
      <c r="AO47" s="22">
        <f>((Data!$AJ$12*((Drivers!AP5*1000000)/Drivers!AP4))+Data!$AK$12)*Drivers!AP4</f>
        <v>211540.34408340926</v>
      </c>
      <c r="AP47" s="22">
        <f>((Data!$AJ$12*((Drivers!AQ5*1000000)/Drivers!AQ4))+Data!$AK$12)*Drivers!AQ4</f>
        <v>206293.36268035279</v>
      </c>
      <c r="AQ47" s="22">
        <f>((Data!$AJ$12*((Drivers!AR5*1000000)/Drivers!AR4))+Data!$AK$12)*Drivers!AR4</f>
        <v>202517.22885232759</v>
      </c>
      <c r="AR47" s="22">
        <f>((Data!$AJ$12*((Drivers!AS5*1000000)/Drivers!AS4))+Data!$AK$12)*Drivers!AS4</f>
        <v>196350.35535618261</v>
      </c>
      <c r="AS47" s="22">
        <f>((Data!$AJ$12*((Drivers!AT5*1000000)/Drivers!AT4))+Data!$AK$12)*Drivers!AT4</f>
        <v>189815.74516609823</v>
      </c>
      <c r="AT47" s="22">
        <f>((Data!$AJ$12*((Drivers!AU5*1000000)/Drivers!AU4))+Data!$AK$12)*Drivers!AU4</f>
        <v>182836.3170078508</v>
      </c>
      <c r="AU47" s="22">
        <f>((Data!$AJ$12*((Drivers!AV5*1000000)/Drivers!AV4))+Data!$AK$12)*Drivers!AV4</f>
        <v>176202.87298743016</v>
      </c>
      <c r="AV47" s="22">
        <f>((Data!$AJ$12*((Drivers!AW5*1000000)/Drivers!AW4))+Data!$AK$12)*Drivers!AW4</f>
        <v>168812.89447495842</v>
      </c>
      <c r="AW47" s="22">
        <f>((Data!$AJ$12*((Drivers!AX5*1000000)/Drivers!AX4))+Data!$AK$12)*Drivers!AX4</f>
        <v>160643.35379571808</v>
      </c>
      <c r="AX47" s="22">
        <f>((Data!$AJ$12*((Drivers!AY5*1000000)/Drivers!AY4))+Data!$AK$12)*Drivers!AY4</f>
        <v>151900.66039985605</v>
      </c>
      <c r="AY47" s="22">
        <f>((Data!$AJ$12*((Drivers!AZ5*1000000)/Drivers!AZ4))+Data!$AK$12)*Drivers!AZ4</f>
        <v>143156.01810992291</v>
      </c>
      <c r="AZ47" s="22">
        <f>((Data!$AJ$12*((Drivers!BA5*1000000)/Drivers!BA4))+Data!$AK$12)*Drivers!BA4</f>
        <v>133838.53788408954</v>
      </c>
      <c r="BA47" s="22">
        <f>((Data!$AJ$12*((Drivers!BB5*1000000)/Drivers!BB4))+Data!$AK$12)*Drivers!BB4</f>
        <v>123589.21795675463</v>
      </c>
      <c r="BB47" s="22">
        <f>((Data!$AJ$12*((Drivers!BC5*1000000)/Drivers!BC4))+Data!$AK$12)*Drivers!BC4</f>
        <v>112563.72981213598</v>
      </c>
      <c r="BC47" s="22">
        <f>((Data!$AJ$12*((Drivers!BD5*1000000)/Drivers!BD4))+Data!$AK$12)*Drivers!BD4</f>
        <v>100806.78244819524</v>
      </c>
      <c r="BD47" s="22">
        <f>((Data!$AJ$12*((Drivers!BE5*1000000)/Drivers!BE4))+Data!$AK$12)*Drivers!BE4</f>
        <v>88287.421933990103</v>
      </c>
      <c r="BE47" s="22">
        <f>((Data!$AJ$12*((Drivers!BF5*1000000)/Drivers!BF4))+Data!$AK$12)*Drivers!BF4</f>
        <v>74995.033771584305</v>
      </c>
      <c r="BF47" s="22">
        <f>((Data!$AJ$12*((Drivers!BG5*1000000)/Drivers!BG4))+Data!$AK$12)*Drivers!BG4</f>
        <v>60778.873310332267</v>
      </c>
      <c r="BG47" s="22">
        <f>((Data!$AJ$12*((Drivers!BH5*1000000)/Drivers!BH4))+Data!$AK$12)*Drivers!BH4</f>
        <v>47398.393046913487</v>
      </c>
      <c r="BH47" s="22">
        <f>((Data!$AJ$12*((Drivers!BI5*1000000)/Drivers!BI4))+Data!$AK$12)*Drivers!BI4</f>
        <v>33160.99721526161</v>
      </c>
      <c r="BI47" s="22">
        <f>((Data!$AJ$12*((Drivers!BJ5*1000000)/Drivers!BJ4))+Data!$AK$12)*Drivers!BJ4</f>
        <v>17924.465333718676</v>
      </c>
      <c r="BJ47" s="22">
        <f>((Data!$AJ$12*((Drivers!BK5*1000000)/Drivers!BK4))+Data!$AK$12)*Drivers!BK4</f>
        <v>1607.5050760575537</v>
      </c>
      <c r="BK47" s="22">
        <f>((Data!$AJ$12*((Drivers!BL5*1000000)/Drivers!BL4))+Data!$AK$12)*Drivers!BL4</f>
        <v>-16221.943332729006</v>
      </c>
    </row>
    <row r="48" spans="1:63" x14ac:dyDescent="0.25">
      <c r="A48" t="s">
        <v>750</v>
      </c>
      <c r="B48" t="s">
        <v>322</v>
      </c>
      <c r="C48" s="22">
        <f>C47/Drivers!D4</f>
        <v>5.2716662152689246E-3</v>
      </c>
      <c r="D48" s="22">
        <f>D47/Drivers!E4</f>
        <v>5.169815172479616E-3</v>
      </c>
      <c r="E48" s="22">
        <f>E47/Drivers!F4</f>
        <v>5.1457611843959729E-3</v>
      </c>
      <c r="F48" s="22">
        <f>F47/Drivers!G4</f>
        <v>5.0462043081969284E-3</v>
      </c>
      <c r="G48" s="22">
        <f>G47/Drivers!H4</f>
        <v>4.5360352128469197E-3</v>
      </c>
      <c r="H48" s="22">
        <f>H47/Drivers!I4</f>
        <v>4.4164752579161221E-3</v>
      </c>
      <c r="I48" s="22">
        <f>I47/Drivers!J4</f>
        <v>4.2849353203217606E-3</v>
      </c>
      <c r="J48" s="22">
        <f>J47/Drivers!K4</f>
        <v>4.164004940882645E-3</v>
      </c>
      <c r="K48" s="22">
        <f>K47/Drivers!L4</f>
        <v>4.0519881526276339E-3</v>
      </c>
      <c r="L48" s="22">
        <f>L47/Drivers!M4</f>
        <v>3.9581814855756533E-3</v>
      </c>
      <c r="M48" s="22">
        <f>M47/Drivers!N4</f>
        <v>3.8694433792356062E-3</v>
      </c>
      <c r="N48" s="22">
        <f>N47/Drivers!O4</f>
        <v>4.0815185460911186E-3</v>
      </c>
      <c r="O48" s="22">
        <f>O47/Drivers!P4</f>
        <v>4.1169283043219537E-3</v>
      </c>
      <c r="P48" s="22">
        <f>P47/Drivers!Q4</f>
        <v>3.7243791609769998E-3</v>
      </c>
      <c r="Q48" s="22">
        <f>Q47/Drivers!R4</f>
        <v>3.5735725639283586E-3</v>
      </c>
      <c r="R48" s="22">
        <f>R47/Drivers!S4</f>
        <v>3.7384660230142057E-3</v>
      </c>
      <c r="S48" s="22">
        <f>S47/Drivers!T4</f>
        <v>3.9390004330631945E-3</v>
      </c>
      <c r="T48" s="22">
        <f>T47/Drivers!U4</f>
        <v>3.7052299055457499E-3</v>
      </c>
      <c r="U48" s="22">
        <f>U47/Drivers!V4</f>
        <v>3.7163914417652206E-3</v>
      </c>
      <c r="V48" s="22">
        <f>V47/Drivers!W4</f>
        <v>3.5065467723514772E-3</v>
      </c>
      <c r="W48" s="22">
        <f>W47/Drivers!X4</f>
        <v>3.5925596839359707E-3</v>
      </c>
      <c r="X48" s="22">
        <f>X47/Drivers!Y4</f>
        <v>3.499719214835302E-3</v>
      </c>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row>
    <row r="49" spans="1:63" x14ac:dyDescent="0.25">
      <c r="A49" t="s">
        <v>371</v>
      </c>
      <c r="B49" t="s">
        <v>321</v>
      </c>
      <c r="C49" s="22">
        <v>316000</v>
      </c>
      <c r="D49" s="22">
        <v>245000</v>
      </c>
      <c r="E49" s="22">
        <v>243000</v>
      </c>
      <c r="F49" s="22">
        <v>287000</v>
      </c>
      <c r="G49" s="22">
        <v>410000</v>
      </c>
      <c r="H49" s="22">
        <v>303000</v>
      </c>
      <c r="I49" s="22">
        <v>331000</v>
      </c>
      <c r="J49" s="22">
        <v>243000</v>
      </c>
      <c r="K49" s="22">
        <v>235000</v>
      </c>
      <c r="L49" s="22"/>
      <c r="M49" s="22">
        <v>210000</v>
      </c>
      <c r="N49" s="22">
        <v>209000</v>
      </c>
      <c r="O49" s="22">
        <v>206000</v>
      </c>
      <c r="P49" s="22">
        <v>196000</v>
      </c>
      <c r="Q49" s="22">
        <v>179000</v>
      </c>
      <c r="R49" s="22">
        <v>189000</v>
      </c>
      <c r="S49" s="22">
        <v>203000</v>
      </c>
      <c r="T49" s="22">
        <v>190000</v>
      </c>
      <c r="U49" s="22">
        <v>196000</v>
      </c>
      <c r="V49" s="22">
        <v>187000</v>
      </c>
      <c r="W49" s="22">
        <v>192000</v>
      </c>
      <c r="X49" s="22">
        <v>191000</v>
      </c>
      <c r="Y49" s="22">
        <f>((Data!$AJ$44*'Intermediate calculations'!Y47)+Data!$AK$44)</f>
        <v>178153.03966071302</v>
      </c>
      <c r="Z49" s="22">
        <f>((Data!$AJ$44*'Intermediate calculations'!Z47)+Data!$AK$44)</f>
        <v>176988.95083941502</v>
      </c>
      <c r="AA49" s="22">
        <f>((Data!$AJ$44*'Intermediate calculations'!AA47)+Data!$AK$44)</f>
        <v>178537.78782845702</v>
      </c>
      <c r="AB49" s="22">
        <f>((Data!$AJ$44*'Intermediate calculations'!AB47)+Data!$AK$44)</f>
        <v>182389.86721648034</v>
      </c>
      <c r="AC49" s="22">
        <f>((Data!$AJ$44*'Intermediate calculations'!AC47)+Data!$AK$44)</f>
        <v>187863.1423550972</v>
      </c>
      <c r="AD49" s="22">
        <f>((Data!$AJ$44*'Intermediate calculations'!AD47)+Data!$AK$44)</f>
        <v>192683.42466453745</v>
      </c>
      <c r="AE49" s="22">
        <f>((Data!$AJ$44*'Intermediate calculations'!AE47)+Data!$AK$44)</f>
        <v>197033.56117130004</v>
      </c>
      <c r="AF49" s="22">
        <f>((Data!$AJ$44*'Intermediate calculations'!AF47)+Data!$AK$44)</f>
        <v>201656.90021916202</v>
      </c>
      <c r="AG49" s="22">
        <f>((Data!$AJ$44*'Intermediate calculations'!AG47)+Data!$AK$44)</f>
        <v>237958.62566881432</v>
      </c>
      <c r="AH49" s="22">
        <f>((Data!$AJ$44*'Intermediate calculations'!AH47)+Data!$AK$44)</f>
        <v>237987.94489041064</v>
      </c>
      <c r="AI49" s="22">
        <f>((Data!$AJ$44*'Intermediate calculations'!AI47)+Data!$AK$44)</f>
        <v>237526.70762004319</v>
      </c>
      <c r="AJ49" s="22">
        <f>((Data!$AJ$44*'Intermediate calculations'!AJ47)+Data!$AK$44)</f>
        <v>235894.66267818568</v>
      </c>
      <c r="AK49" s="22">
        <f>((Data!$AJ$44*'Intermediate calculations'!AK47)+Data!$AK$44)</f>
        <v>233637.98889881934</v>
      </c>
      <c r="AL49" s="22">
        <f>((Data!$AJ$44*'Intermediate calculations'!AL47)+Data!$AK$44)</f>
        <v>231343.83147221574</v>
      </c>
      <c r="AM49" s="22">
        <f>((Data!$AJ$44*'Intermediate calculations'!AM47)+Data!$AK$44)</f>
        <v>227728.4973519452</v>
      </c>
      <c r="AN49" s="22">
        <f>((Data!$AJ$44*'Intermediate calculations'!AN47)+Data!$AK$44)</f>
        <v>223633.26720052981</v>
      </c>
      <c r="AO49" s="22">
        <f>((Data!$AJ$44*'Intermediate calculations'!AO47)+Data!$AK$44)</f>
        <v>218874.97502093847</v>
      </c>
      <c r="AP49" s="22">
        <f>((Data!$AJ$44*'Intermediate calculations'!AP47)+Data!$AK$44)</f>
        <v>213676.9252952419</v>
      </c>
      <c r="AQ49" s="22">
        <f>((Data!$AJ$44*'Intermediate calculations'!AQ47)+Data!$AK$44)</f>
        <v>209936.00648856847</v>
      </c>
      <c r="AR49" s="22">
        <f>((Data!$AJ$44*'Intermediate calculations'!AR47)+Data!$AK$44)</f>
        <v>203826.64329045065</v>
      </c>
      <c r="AS49" s="22">
        <f>((Data!$AJ$44*'Intermediate calculations'!AS47)+Data!$AK$44)</f>
        <v>197352.9727936741</v>
      </c>
      <c r="AT49" s="22">
        <f>((Data!$AJ$44*'Intermediate calculations'!AT47)+Data!$AK$44)</f>
        <v>190438.63255942753</v>
      </c>
      <c r="AU49" s="22">
        <f>((Data!$AJ$44*'Intermediate calculations'!AU47)+Data!$AK$44)</f>
        <v>183867.04992513708</v>
      </c>
      <c r="AV49" s="22">
        <f>((Data!$AJ$44*'Intermediate calculations'!AV47)+Data!$AK$44)</f>
        <v>176545.98799850617</v>
      </c>
      <c r="AW49" s="22">
        <f>((Data!$AJ$44*'Intermediate calculations'!AW47)+Data!$AK$44)</f>
        <v>168452.63385357725</v>
      </c>
      <c r="AX49" s="22">
        <f>((Data!$AJ$44*'Intermediate calculations'!AX47)+Data!$AK$44)</f>
        <v>159791.4720317082</v>
      </c>
      <c r="AY49" s="22">
        <f>((Data!$AJ$44*'Intermediate calculations'!AY47)+Data!$AK$44)</f>
        <v>151128.37949053341</v>
      </c>
      <c r="AZ49" s="22">
        <f>((Data!$AJ$44*'Intermediate calculations'!AZ47)+Data!$AK$44)</f>
        <v>141897.79111759519</v>
      </c>
      <c r="BA49" s="22">
        <f>((Data!$AJ$44*'Intermediate calculations'!BA47)+Data!$AK$44)</f>
        <v>131744.05308341331</v>
      </c>
      <c r="BB49" s="22">
        <f>((Data!$AJ$44*'Intermediate calculations'!BB47)+Data!$AK$44)</f>
        <v>120821.3851295264</v>
      </c>
      <c r="BC49" s="22">
        <f>((Data!$AJ$44*'Intermediate calculations'!BC47)+Data!$AK$44)</f>
        <v>109174.07931202126</v>
      </c>
      <c r="BD49" s="22">
        <f>((Data!$AJ$44*'Intermediate calculations'!BD47)+Data!$AK$44)</f>
        <v>96771.470366456488</v>
      </c>
      <c r="BE49" s="22">
        <f>((Data!$AJ$44*'Intermediate calculations'!BE47)+Data!$AK$44)</f>
        <v>83603.042782322766</v>
      </c>
      <c r="BF49" s="22">
        <f>((Data!$AJ$44*'Intermediate calculations'!BF47)+Data!$AK$44)</f>
        <v>69519.457705573077</v>
      </c>
      <c r="BG49" s="22">
        <f>((Data!$AJ$44*'Intermediate calculations'!BG47)+Data!$AK$44)</f>
        <v>56263.759539302395</v>
      </c>
      <c r="BH49" s="22">
        <f>((Data!$AJ$44*'Intermediate calculations'!BH47)+Data!$AK$44)</f>
        <v>42159.137126453585</v>
      </c>
      <c r="BI49" s="22">
        <f>((Data!$AJ$44*'Intermediate calculations'!BI47)+Data!$AK$44)</f>
        <v>27064.696288282281</v>
      </c>
      <c r="BJ49" s="22">
        <f>((Data!$AJ$44*'Intermediate calculations'!BJ47)+Data!$AK$44)</f>
        <v>10899.902804903508</v>
      </c>
      <c r="BK49" s="22">
        <f>((Data!$AJ$44*'Intermediate calculations'!BK47)+Data!$AK$44)</f>
        <v>-6763.2738468427196</v>
      </c>
    </row>
    <row r="50" spans="1:63" x14ac:dyDescent="0.25">
      <c r="A50" t="s">
        <v>858</v>
      </c>
      <c r="B50" t="s">
        <v>321</v>
      </c>
      <c r="C50" s="22">
        <f>C15*Constants!$H$29*Constants!$H$35</f>
        <v>1907100</v>
      </c>
      <c r="D50" s="22">
        <f>D15*Constants!$H$29*Constants!$H$35</f>
        <v>1946700</v>
      </c>
      <c r="E50" s="22">
        <f>E15*Constants!$H$29*Constants!$H$35</f>
        <v>1896300</v>
      </c>
      <c r="F50" s="22">
        <f>F15*Constants!$H$29*Constants!$H$35</f>
        <v>1801800</v>
      </c>
      <c r="G50" s="22">
        <f>G15*Constants!$H$29*Constants!$H$35</f>
        <v>1805400</v>
      </c>
      <c r="H50" s="22">
        <f>H15*Constants!$H$29*Constants!$H$35</f>
        <v>2067300</v>
      </c>
      <c r="I50" s="22">
        <f>I15*Constants!$H$29*Constants!$H$35</f>
        <v>2205000</v>
      </c>
      <c r="J50" s="22">
        <f>J15*Constants!$H$29*Constants!$H$35</f>
        <v>2193300</v>
      </c>
      <c r="K50" s="22">
        <f>K15*Constants!$H$29*Constants!$H$35</f>
        <v>2250900</v>
      </c>
      <c r="L50" s="22">
        <f>L15*Constants!$H$29*Constants!$H$35</f>
        <v>2288700</v>
      </c>
      <c r="M50" s="22">
        <f>M15*Constants!$H$29*Constants!$H$35</f>
        <v>2133000</v>
      </c>
      <c r="N50" s="22">
        <f>N15*Constants!$H$29*Constants!$H$35</f>
        <v>2122200</v>
      </c>
      <c r="O50" s="22">
        <f>O15*Constants!$H$29*Constants!$H$35</f>
        <v>2211300</v>
      </c>
      <c r="P50" s="22">
        <f>P15*Constants!$H$29*Constants!$H$35</f>
        <v>2118600</v>
      </c>
      <c r="Q50" s="22">
        <f>Q15*Constants!$H$29*Constants!$H$35</f>
        <v>2254500</v>
      </c>
      <c r="R50" s="22">
        <f>R15*Constants!$H$29*Constants!$H$35</f>
        <v>2391300</v>
      </c>
      <c r="S50" s="22">
        <f>S15*Constants!$H$29*Constants!$H$35</f>
        <v>2261700</v>
      </c>
      <c r="T50" s="22">
        <f>T15*Constants!$H$29*Constants!$H$35</f>
        <v>2303100</v>
      </c>
      <c r="U50" s="22">
        <f>U15*Constants!$H$29*Constants!$H$35</f>
        <v>2362500</v>
      </c>
      <c r="V50" s="22">
        <f>V15*Constants!$H$29*Constants!$H$35</f>
        <v>2328300</v>
      </c>
      <c r="W50" s="22">
        <f>W15*Constants!$H$29*Constants!$H$35</f>
        <v>2439900</v>
      </c>
      <c r="X50" s="22">
        <f>X15*Constants!$H$29*Constants!$H$35</f>
        <v>2448000</v>
      </c>
      <c r="Y50" s="22">
        <f>Y15*Constants!$H$29*Constants!$H$35</f>
        <v>2572847.857413834</v>
      </c>
      <c r="Z50" s="22">
        <f>Z15*Constants!$H$29*Constants!$H$35</f>
        <v>2613548.2459889757</v>
      </c>
      <c r="AA50" s="22">
        <f>AA15*Constants!$H$29*Constants!$H$35</f>
        <v>2646741.4486120148</v>
      </c>
      <c r="AB50" s="22">
        <f>AB15*Constants!$H$29*Constants!$H$35</f>
        <v>2673821.7978476216</v>
      </c>
      <c r="AC50" s="22">
        <f>AC15*Constants!$H$29*Constants!$H$35</f>
        <v>2697077.9526909902</v>
      </c>
      <c r="AD50" s="22">
        <f>AD15*Constants!$H$29*Constants!$H$35</f>
        <v>2724013.8145486726</v>
      </c>
      <c r="AE50" s="22">
        <f>AE15*Constants!$H$29*Constants!$H$35</f>
        <v>2753059.2946651899</v>
      </c>
      <c r="AF50" s="22">
        <f>AF15*Constants!$H$29*Constants!$H$35</f>
        <v>2781910.3709685993</v>
      </c>
      <c r="AG50" s="22">
        <f>AG15*Constants!$H$29*Constants!$H$35</f>
        <v>2707761.8431062642</v>
      </c>
      <c r="AH50" s="22">
        <f>AH15*Constants!$H$29*Constants!$H$35</f>
        <v>2745039.6546680899</v>
      </c>
      <c r="AI50" s="22">
        <f>AI15*Constants!$H$29*Constants!$H$35</f>
        <v>2781769.868862052</v>
      </c>
      <c r="AJ50" s="22">
        <f>AJ15*Constants!$H$29*Constants!$H$35</f>
        <v>2820085.2733042035</v>
      </c>
      <c r="AK50" s="22">
        <f>AK15*Constants!$H$29*Constants!$H$35</f>
        <v>2859850.9766577054</v>
      </c>
      <c r="AL50" s="22">
        <f>AL15*Constants!$H$29*Constants!$H$35</f>
        <v>2899116.3390752422</v>
      </c>
      <c r="AM50" s="22">
        <f>AM15*Constants!$H$29*Constants!$H$35</f>
        <v>2942055.9021596969</v>
      </c>
      <c r="AN50" s="22">
        <f>AN15*Constants!$H$29*Constants!$H$35</f>
        <v>2985887.656992028</v>
      </c>
      <c r="AO50" s="22">
        <f>AO15*Constants!$H$29*Constants!$H$35</f>
        <v>3031183.8809755147</v>
      </c>
      <c r="AP50" s="22">
        <f>AP15*Constants!$H$29*Constants!$H$35</f>
        <v>3077404.8069097223</v>
      </c>
      <c r="AQ50" s="22">
        <f>AQ15*Constants!$H$29*Constants!$H$35</f>
        <v>3118319.9051554003</v>
      </c>
      <c r="AR50" s="22">
        <f>AR15*Constants!$H$29*Constants!$H$35</f>
        <v>3166433.4767362876</v>
      </c>
      <c r="AS50" s="22">
        <f>AS15*Constants!$H$29*Constants!$H$35</f>
        <v>3215164.3419891</v>
      </c>
      <c r="AT50" s="22">
        <f>AT15*Constants!$H$29*Constants!$H$35</f>
        <v>3264742.8772981525</v>
      </c>
      <c r="AU50" s="22">
        <f>AU15*Constants!$H$29*Constants!$H$35</f>
        <v>3312648.5054013846</v>
      </c>
      <c r="AV50" s="22">
        <f>AV15*Constants!$H$29*Constants!$H$35</f>
        <v>3362439.6021375395</v>
      </c>
      <c r="AW50" s="22">
        <f>AW15*Constants!$H$29*Constants!$H$35</f>
        <v>3414173.6529589924</v>
      </c>
      <c r="AX50" s="22">
        <f>AX15*Constants!$H$29*Constants!$H$35</f>
        <v>3467164.2854029229</v>
      </c>
      <c r="AY50" s="22">
        <f>AY15*Constants!$H$29*Constants!$H$35</f>
        <v>3519542.2782821795</v>
      </c>
      <c r="AZ50" s="22">
        <f>AZ15*Constants!$H$29*Constants!$H$35</f>
        <v>3573211.5746283093</v>
      </c>
      <c r="BA50" s="22">
        <f>BA15*Constants!$H$29*Constants!$H$35</f>
        <v>3629322.0178673822</v>
      </c>
      <c r="BB50" s="22">
        <f>BB15*Constants!$H$29*Constants!$H$35</f>
        <v>3687354.4729146012</v>
      </c>
      <c r="BC50" s="22">
        <f>BC15*Constants!$H$29*Constants!$H$35</f>
        <v>3747149.9902278129</v>
      </c>
      <c r="BD50" s="22">
        <f>BD15*Constants!$H$29*Constants!$H$35</f>
        <v>3808795.3318106537</v>
      </c>
      <c r="BE50" s="22">
        <f>BE15*Constants!$H$29*Constants!$H$35</f>
        <v>3872314.4696838204</v>
      </c>
      <c r="BF50" s="22">
        <f>BF15*Constants!$H$29*Constants!$H$35</f>
        <v>3938183.402196961</v>
      </c>
      <c r="BG50" s="22">
        <f>BG15*Constants!$H$29*Constants!$H$35</f>
        <v>4000683.0585937276</v>
      </c>
      <c r="BH50" s="22">
        <f>BH15*Constants!$H$29*Constants!$H$35</f>
        <v>4065290.8969269297</v>
      </c>
      <c r="BI50" s="22">
        <f>BI15*Constants!$H$29*Constants!$H$35</f>
        <v>4132456.3569730986</v>
      </c>
      <c r="BJ50" s="22">
        <f>BJ15*Constants!$H$29*Constants!$H$35</f>
        <v>4202422.0895182984</v>
      </c>
      <c r="BK50" s="22">
        <f>BK15*Constants!$H$29*Constants!$H$35</f>
        <v>4276578.2347589107</v>
      </c>
    </row>
    <row r="51" spans="1:63" x14ac:dyDescent="0.25">
      <c r="A51" t="s">
        <v>859</v>
      </c>
      <c r="B51" t="s">
        <v>321</v>
      </c>
      <c r="C51" s="22">
        <f>C8*Constants!$H$30*Constants!$H$36</f>
        <v>2349655</v>
      </c>
      <c r="D51" s="22">
        <f>D8*Constants!$H$30*Constants!$H$36</f>
        <v>2559865</v>
      </c>
      <c r="E51" s="22">
        <f>E8*Constants!$H$30*Constants!$H$36</f>
        <v>2708475</v>
      </c>
      <c r="F51" s="22">
        <f>F8*Constants!$H$30*Constants!$H$36</f>
        <v>2671900</v>
      </c>
      <c r="G51" s="22">
        <f>G8*Constants!$H$30*Constants!$H$36</f>
        <v>2353120</v>
      </c>
      <c r="H51" s="22">
        <f>H8*Constants!$H$30*Constants!$H$36</f>
        <v>1953874.9999999998</v>
      </c>
      <c r="I51" s="22">
        <f>I8*Constants!$H$30*Constants!$H$36</f>
        <v>1951949.9999999998</v>
      </c>
      <c r="J51" s="22">
        <f>J8*Constants!$H$30*Constants!$H$36</f>
        <v>1934239.9999999998</v>
      </c>
      <c r="K51" s="22">
        <f>K8*Constants!$H$30*Constants!$H$36</f>
        <v>1910754.9999999998</v>
      </c>
      <c r="L51" s="22">
        <f>L8*Constants!$H$30*Constants!$H$36</f>
        <v>1970044.9999999998</v>
      </c>
      <c r="M51" s="22">
        <f>M8*Constants!$H$30*Constants!$H$36</f>
        <v>2404710</v>
      </c>
      <c r="N51" s="22">
        <f>N8*Constants!$H$30*Constants!$H$36</f>
        <v>2018554.9999999998</v>
      </c>
      <c r="O51" s="22">
        <f>O8*Constants!$H$30*Constants!$H$36</f>
        <v>2207590</v>
      </c>
      <c r="P51" s="22">
        <f>P8*Constants!$H$30*Constants!$H$36</f>
        <v>2347345</v>
      </c>
      <c r="Q51" s="22">
        <f>Q8*Constants!$H$30*Constants!$H$36</f>
        <v>2432045</v>
      </c>
      <c r="R51" s="22">
        <f>R8*Constants!$H$30*Constants!$H$36</f>
        <v>2588355</v>
      </c>
      <c r="S51" s="22">
        <f>S8*Constants!$H$30*Constants!$H$36</f>
        <v>3111185</v>
      </c>
      <c r="T51" s="22">
        <f>T8*Constants!$H$30*Constants!$H$36</f>
        <v>3316390</v>
      </c>
      <c r="U51" s="22">
        <f>U8*Constants!$H$30*Constants!$H$36</f>
        <v>2965270</v>
      </c>
      <c r="V51" s="22">
        <f>V8*Constants!$H$30*Constants!$H$36</f>
        <v>3067295</v>
      </c>
      <c r="W51" s="22">
        <f>W8*Constants!$H$30*Constants!$H$36</f>
        <v>3410330</v>
      </c>
      <c r="X51" s="22">
        <f>X8*Constants!$H$30*Constants!$H$36</f>
        <v>3347575</v>
      </c>
      <c r="Y51" s="22">
        <f>Y8*Constants!$H$30*Constants!$H$36</f>
        <v>3553481.3362749014</v>
      </c>
      <c r="Z51" s="22">
        <f>Z8*Constants!$H$30*Constants!$H$36</f>
        <v>3665570.2985201017</v>
      </c>
      <c r="AA51" s="22">
        <f>AA8*Constants!$H$30*Constants!$H$36</f>
        <v>3743133.8665390383</v>
      </c>
      <c r="AB51" s="22">
        <f>AB8*Constants!$H$30*Constants!$H$36</f>
        <v>3792062.3020158801</v>
      </c>
      <c r="AC51" s="22">
        <f>AC8*Constants!$H$30*Constants!$H$36</f>
        <v>3822077.0660968707</v>
      </c>
      <c r="AD51" s="22">
        <f>AD8*Constants!$H$30*Constants!$H$36</f>
        <v>3865262.5789287579</v>
      </c>
      <c r="AE51" s="22">
        <f>AE8*Constants!$H$30*Constants!$H$36</f>
        <v>3916530.0433970531</v>
      </c>
      <c r="AF51" s="22">
        <f>AF8*Constants!$H$30*Constants!$H$36</f>
        <v>3965778.2553798635</v>
      </c>
      <c r="AG51" s="22">
        <f>AG8*Constants!$H$30*Constants!$H$36</f>
        <v>3572066.7140172985</v>
      </c>
      <c r="AH51" s="22">
        <f>AH8*Constants!$H$30*Constants!$H$36</f>
        <v>3668656.117581557</v>
      </c>
      <c r="AI51" s="22">
        <f>AI8*Constants!$H$30*Constants!$H$36</f>
        <v>3766544.0163313206</v>
      </c>
      <c r="AJ51" s="22">
        <f>AJ8*Constants!$H$30*Constants!$H$36</f>
        <v>3875037.3636908997</v>
      </c>
      <c r="AK51" s="22">
        <f>AK8*Constants!$H$30*Constants!$H$36</f>
        <v>3990757.9310440966</v>
      </c>
      <c r="AL51" s="22">
        <f>AL8*Constants!$H$30*Constants!$H$36</f>
        <v>4105387.7154912772</v>
      </c>
      <c r="AM51" s="22">
        <f>AM8*Constants!$H$30*Constants!$H$36</f>
        <v>4236878.5058601052</v>
      </c>
      <c r="AN51" s="22">
        <f>AN8*Constants!$H$30*Constants!$H$36</f>
        <v>4373345.5596846202</v>
      </c>
      <c r="AO51" s="22">
        <f>AO8*Constants!$H$30*Constants!$H$36</f>
        <v>4517289.692868798</v>
      </c>
      <c r="AP51" s="22">
        <f>AP8*Constants!$H$30*Constants!$H$36</f>
        <v>4666071.9314679401</v>
      </c>
      <c r="AQ51" s="22">
        <f>AQ8*Constants!$H$30*Constants!$H$36</f>
        <v>4793004.6320765987</v>
      </c>
      <c r="AR51" s="22">
        <f>AR8*Constants!$H$30*Constants!$H$36</f>
        <v>4951751.6091816891</v>
      </c>
      <c r="AS51" s="22">
        <f>AS8*Constants!$H$30*Constants!$H$36</f>
        <v>5114120.52333201</v>
      </c>
      <c r="AT51" s="22">
        <f>AT8*Constants!$H$30*Constants!$H$36</f>
        <v>5281132.6693734899</v>
      </c>
      <c r="AU51" s="22">
        <f>AU8*Constants!$H$30*Constants!$H$36</f>
        <v>5441902.5831504762</v>
      </c>
      <c r="AV51" s="22">
        <f>AV8*Constants!$H$30*Constants!$H$36</f>
        <v>5611721.3660796806</v>
      </c>
      <c r="AW51" s="22">
        <f>AW8*Constants!$H$30*Constants!$H$36</f>
        <v>5790864.6971808812</v>
      </c>
      <c r="AX51" s="22">
        <f>AX8*Constants!$H$30*Constants!$H$36</f>
        <v>5976417.4404087132</v>
      </c>
      <c r="AY51" s="22">
        <f>AY8*Constants!$H$30*Constants!$H$36</f>
        <v>6160390.8247550828</v>
      </c>
      <c r="AZ51" s="22">
        <f>AZ8*Constants!$H$30*Constants!$H$36</f>
        <v>6350862.0104155559</v>
      </c>
      <c r="BA51" s="22">
        <f>BA8*Constants!$H$30*Constants!$H$36</f>
        <v>6552787.1535040373</v>
      </c>
      <c r="BB51" s="22">
        <f>BB8*Constants!$H$30*Constants!$H$36</f>
        <v>6763963.8492737701</v>
      </c>
      <c r="BC51" s="22">
        <f>BC8*Constants!$H$30*Constants!$H$36</f>
        <v>6983733.991042424</v>
      </c>
      <c r="BD51" s="22">
        <f>BD8*Constants!$H$30*Constants!$H$36</f>
        <v>7212492.7780495556</v>
      </c>
      <c r="BE51" s="22">
        <f>BE8*Constants!$H$30*Constants!$H$36</f>
        <v>7450360.7281488916</v>
      </c>
      <c r="BF51" s="22">
        <f>BF8*Constants!$H$30*Constants!$H$36</f>
        <v>7699401.2270628214</v>
      </c>
      <c r="BG51" s="22">
        <f>BG8*Constants!$H$30*Constants!$H$36</f>
        <v>7935107.0302426778</v>
      </c>
      <c r="BH51" s="22">
        <f>BH8*Constants!$H$30*Constants!$H$36</f>
        <v>8180991.0826338073</v>
      </c>
      <c r="BI51" s="22">
        <f>BI8*Constants!$H$30*Constants!$H$36</f>
        <v>8439001.020024281</v>
      </c>
      <c r="BJ51" s="22">
        <f>BJ8*Constants!$H$30*Constants!$H$36</f>
        <v>8710213.1238228194</v>
      </c>
      <c r="BK51" s="22">
        <f>BK8*Constants!$H$30*Constants!$H$36</f>
        <v>9000608.4948687684</v>
      </c>
    </row>
    <row r="52" spans="1:63" x14ac:dyDescent="0.25">
      <c r="A52" t="s">
        <v>860</v>
      </c>
      <c r="B52" t="s">
        <v>321</v>
      </c>
      <c r="C52" s="22">
        <f>C18*Constants!$H$31*Constants!$H$37</f>
        <v>647570</v>
      </c>
      <c r="D52" s="22">
        <f>D18*Constants!$H$31*Constants!$H$37</f>
        <v>736120</v>
      </c>
      <c r="E52" s="22">
        <f>E18*Constants!$H$31*Constants!$H$37</f>
        <v>677985</v>
      </c>
      <c r="F52" s="22">
        <f>F18*Constants!$H$31*Constants!$H$37</f>
        <v>644490</v>
      </c>
      <c r="G52" s="22">
        <f>G18*Constants!$H$31*Constants!$H$37</f>
        <v>520904.99999999994</v>
      </c>
      <c r="H52" s="22">
        <f>H18*Constants!$H$31*Constants!$H$37</f>
        <v>364980</v>
      </c>
      <c r="I52" s="22">
        <f>I18*Constants!$H$31*Constants!$H$37</f>
        <v>409255</v>
      </c>
      <c r="J52" s="22">
        <f>J18*Constants!$H$31*Constants!$H$37</f>
        <v>395010</v>
      </c>
      <c r="K52" s="22">
        <f>K18*Constants!$H$31*Constants!$H$37</f>
        <v>373065</v>
      </c>
      <c r="L52" s="22">
        <f>L18*Constants!$H$31*Constants!$H$37</f>
        <v>403865</v>
      </c>
      <c r="M52" s="22">
        <f>M18*Constants!$H$31*Constants!$H$37</f>
        <v>416955</v>
      </c>
      <c r="N52" s="22">
        <f>N18*Constants!$H$31*Constants!$H$37</f>
        <v>405790</v>
      </c>
      <c r="O52" s="22">
        <f>O18*Constants!$H$31*Constants!$H$37</f>
        <v>404635</v>
      </c>
      <c r="P52" s="22">
        <f>P18*Constants!$H$31*Constants!$H$37</f>
        <v>440440</v>
      </c>
      <c r="Q52" s="22">
        <f>Q18*Constants!$H$31*Constants!$H$37</f>
        <v>463154.99999999994</v>
      </c>
      <c r="R52" s="22">
        <f>R18*Constants!$H$31*Constants!$H$37</f>
        <v>518209.99999999994</v>
      </c>
      <c r="S52" s="22">
        <f>S18*Constants!$H$31*Constants!$H$37</f>
        <v>520904.99999999994</v>
      </c>
      <c r="T52" s="22">
        <f>T18*Constants!$H$31*Constants!$H$37</f>
        <v>618695</v>
      </c>
      <c r="U52" s="22">
        <f>U18*Constants!$H$31*Constants!$H$37</f>
        <v>618310</v>
      </c>
      <c r="V52" s="22">
        <f>V18*Constants!$H$31*Constants!$H$37</f>
        <v>624085</v>
      </c>
      <c r="W52" s="22">
        <f>W18*Constants!$H$31*Constants!$H$37</f>
        <v>631015</v>
      </c>
      <c r="X52" s="22">
        <f>X18*Constants!$H$31*Constants!$H$37</f>
        <v>572880</v>
      </c>
      <c r="Y52" s="22">
        <f>Y18*Constants!$H$31*Constants!$H$37</f>
        <v>629387.94585339085</v>
      </c>
      <c r="Z52" s="22">
        <f>Z18*Constants!$H$31*Constants!$H$37</f>
        <v>635567.23076037748</v>
      </c>
      <c r="AA52" s="22">
        <f>AA18*Constants!$H$31*Constants!$H$37</f>
        <v>641938.46906819183</v>
      </c>
      <c r="AB52" s="22">
        <f>AB18*Constants!$H$31*Constants!$H$37</f>
        <v>648516.22212428018</v>
      </c>
      <c r="AC52" s="22">
        <f>AC18*Constants!$H$31*Constants!$H$37</f>
        <v>655319.2778063101</v>
      </c>
      <c r="AD52" s="22">
        <f>AD18*Constants!$H$31*Constants!$H$37</f>
        <v>662389.0119307295</v>
      </c>
      <c r="AE52" s="22">
        <f>AE18*Constants!$H$31*Constants!$H$37</f>
        <v>669560.5796758011</v>
      </c>
      <c r="AF52" s="22">
        <f>AF18*Constants!$H$31*Constants!$H$37</f>
        <v>676845.30458818271</v>
      </c>
      <c r="AG52" s="22">
        <f>AG18*Constants!$H$31*Constants!$H$37</f>
        <v>683808.67359084578</v>
      </c>
      <c r="AH52" s="22">
        <f>AH18*Constants!$H$31*Constants!$H$37</f>
        <v>690052.31836664607</v>
      </c>
      <c r="AI52" s="22">
        <f>AI18*Constants!$H$31*Constants!$H$37</f>
        <v>695942.97458227258</v>
      </c>
      <c r="AJ52" s="22">
        <f>AJ18*Constants!$H$31*Constants!$H$37</f>
        <v>701474.34574752208</v>
      </c>
      <c r="AK52" s="22">
        <f>AK18*Constants!$H$31*Constants!$H$37</f>
        <v>706915.04746405908</v>
      </c>
      <c r="AL52" s="22">
        <f>AL18*Constants!$H$31*Constants!$H$37</f>
        <v>712252.17563052627</v>
      </c>
      <c r="AM52" s="22">
        <f>AM18*Constants!$H$31*Constants!$H$37</f>
        <v>717498.87304467568</v>
      </c>
      <c r="AN52" s="22">
        <f>AN18*Constants!$H$31*Constants!$H$37</f>
        <v>722638.81069289497</v>
      </c>
      <c r="AO52" s="22">
        <f>AO18*Constants!$H$31*Constants!$H$37</f>
        <v>727669.95871050342</v>
      </c>
      <c r="AP52" s="22">
        <f>AP18*Constants!$H$31*Constants!$H$37</f>
        <v>732621.17510261748</v>
      </c>
      <c r="AQ52" s="22">
        <f>AQ18*Constants!$H$31*Constants!$H$37</f>
        <v>737462.69902924157</v>
      </c>
      <c r="AR52" s="22">
        <f>AR18*Constants!$H$31*Constants!$H$37</f>
        <v>742244.32579703769</v>
      </c>
      <c r="AS52" s="22">
        <f>AS18*Constants!$H$31*Constants!$H$37</f>
        <v>746934.88245973876</v>
      </c>
      <c r="AT52" s="22">
        <f>AT18*Constants!$H$31*Constants!$H$37</f>
        <v>751532.15149190696</v>
      </c>
      <c r="AU52" s="22">
        <f>AU18*Constants!$H$31*Constants!$H$37</f>
        <v>756032.64143494575</v>
      </c>
      <c r="AV52" s="22">
        <f>AV18*Constants!$H$31*Constants!$H$37</f>
        <v>760448.61174914357</v>
      </c>
      <c r="AW52" s="22">
        <f>AW18*Constants!$H$31*Constants!$H$37</f>
        <v>764777.50564423203</v>
      </c>
      <c r="AX52" s="22">
        <f>AX18*Constants!$H$31*Constants!$H$37</f>
        <v>769013.6553794283</v>
      </c>
      <c r="AY52" s="22">
        <f>AY18*Constants!$H$31*Constants!$H$37</f>
        <v>773146.42202233349</v>
      </c>
      <c r="AZ52" s="22">
        <f>AZ18*Constants!$H$31*Constants!$H$37</f>
        <v>777192.41173020564</v>
      </c>
      <c r="BA52" s="22">
        <f>BA18*Constants!$H$31*Constants!$H$37</f>
        <v>781154.14056176995</v>
      </c>
      <c r="BB52" s="22">
        <f>BB18*Constants!$H$31*Constants!$H$37</f>
        <v>785027.08648437657</v>
      </c>
      <c r="BC52" s="22">
        <f>BC18*Constants!$H$31*Constants!$H$37</f>
        <v>788808.30454645923</v>
      </c>
      <c r="BD52" s="22">
        <f>BD18*Constants!$H$31*Constants!$H$37</f>
        <v>792495.94334860716</v>
      </c>
      <c r="BE52" s="22">
        <f>BE18*Constants!$H$31*Constants!$H$37</f>
        <v>796088.40239310393</v>
      </c>
      <c r="BF52" s="22">
        <f>BF18*Constants!$H$31*Constants!$H$37</f>
        <v>799585.59870302235</v>
      </c>
      <c r="BG52" s="22">
        <f>BG18*Constants!$H$31*Constants!$H$37</f>
        <v>802961.21126932302</v>
      </c>
      <c r="BH52" s="22">
        <f>BH18*Constants!$H$31*Constants!$H$37</f>
        <v>806236.50179515069</v>
      </c>
      <c r="BI52" s="22">
        <f>BI18*Constants!$H$31*Constants!$H$37</f>
        <v>809411.45176358277</v>
      </c>
      <c r="BJ52" s="22">
        <f>BJ18*Constants!$H$31*Constants!$H$37</f>
        <v>812483.67048299185</v>
      </c>
      <c r="BK52" s="22">
        <f>BK18*Constants!$H$31*Constants!$H$37</f>
        <v>815457.2385726244</v>
      </c>
    </row>
    <row r="53" spans="1:63" x14ac:dyDescent="0.25">
      <c r="A53" t="s">
        <v>861</v>
      </c>
      <c r="B53" t="s">
        <v>321</v>
      </c>
      <c r="C53" s="22">
        <f>C32*Constants!$H$32*Constants!$H$38</f>
        <v>63100</v>
      </c>
      <c r="D53" s="22">
        <f>D32*Constants!$H$32*Constants!$H$38</f>
        <v>65400</v>
      </c>
      <c r="E53" s="22">
        <f>E32*Constants!$H$32*Constants!$H$38</f>
        <v>56350</v>
      </c>
      <c r="F53" s="22">
        <f>F32*Constants!$H$32*Constants!$H$38</f>
        <v>64800</v>
      </c>
      <c r="G53" s="22">
        <f>G32*Constants!$H$32*Constants!$H$38</f>
        <v>59800</v>
      </c>
      <c r="H53" s="22">
        <f>H32*Constants!$H$32*Constants!$H$38</f>
        <v>59500</v>
      </c>
      <c r="I53" s="22">
        <f>I32*Constants!$H$32*Constants!$H$38</f>
        <v>63250</v>
      </c>
      <c r="J53" s="22">
        <f>J32*Constants!$H$32*Constants!$H$38</f>
        <v>63950</v>
      </c>
      <c r="K53" s="22">
        <f>K32*Constants!$H$32*Constants!$H$38</f>
        <v>62500</v>
      </c>
      <c r="L53" s="22">
        <f>L32*Constants!$H$32*Constants!$H$38</f>
        <v>59600</v>
      </c>
      <c r="M53" s="22">
        <f>M32*Constants!$H$32*Constants!$H$38</f>
        <v>61500</v>
      </c>
      <c r="N53" s="22">
        <f>N32*Constants!$H$32*Constants!$H$38</f>
        <v>53450</v>
      </c>
      <c r="O53" s="22">
        <f>O32*Constants!$H$32*Constants!$H$38</f>
        <v>58300</v>
      </c>
      <c r="P53" s="22">
        <f>P32*Constants!$H$32*Constants!$H$38</f>
        <v>67500</v>
      </c>
      <c r="Q53" s="22">
        <f>Q32*Constants!$H$32*Constants!$H$38</f>
        <v>78400</v>
      </c>
      <c r="R53" s="22">
        <f>R32*Constants!$H$32*Constants!$H$38</f>
        <v>79850</v>
      </c>
      <c r="S53" s="22">
        <f>S32*Constants!$H$32*Constants!$H$38</f>
        <v>85700</v>
      </c>
      <c r="T53" s="22">
        <f>T32*Constants!$H$32*Constants!$H$38</f>
        <v>93550</v>
      </c>
      <c r="U53" s="22">
        <f>U32*Constants!$H$32*Constants!$H$38</f>
        <v>90850</v>
      </c>
      <c r="V53" s="22">
        <f>V32*Constants!$H$32*Constants!$H$38</f>
        <v>90350</v>
      </c>
      <c r="W53" s="22">
        <f>W32*Constants!$H$32*Constants!$H$38</f>
        <v>95950</v>
      </c>
      <c r="X53" s="22">
        <f>X32*Constants!$H$32*Constants!$H$38</f>
        <v>102550</v>
      </c>
      <c r="Y53" s="22">
        <f>Y32*Constants!$H$32*Constants!$H$38</f>
        <v>105628.4028989072</v>
      </c>
      <c r="Z53" s="22">
        <f>Z32*Constants!$H$32*Constants!$H$38</f>
        <v>108679.75384424042</v>
      </c>
      <c r="AA53" s="22">
        <f>AA32*Constants!$H$32*Constants!$H$38</f>
        <v>110664.82800644259</v>
      </c>
      <c r="AB53" s="22">
        <f>AB32*Constants!$H$32*Constants!$H$38</f>
        <v>111762.68513118346</v>
      </c>
      <c r="AC53" s="22">
        <f>AC32*Constants!$H$32*Constants!$H$38</f>
        <v>112269.16709136481</v>
      </c>
      <c r="AD53" s="22">
        <f>AD32*Constants!$H$32*Constants!$H$38</f>
        <v>113161.9062288714</v>
      </c>
      <c r="AE53" s="22">
        <f>AE32*Constants!$H$32*Constants!$H$38</f>
        <v>114295.39273597985</v>
      </c>
      <c r="AF53" s="22">
        <f>AF32*Constants!$H$32*Constants!$H$38</f>
        <v>115360.36759665346</v>
      </c>
      <c r="AG53" s="22">
        <f>AG32*Constants!$H$32*Constants!$H$38</f>
        <v>102913.00671144525</v>
      </c>
      <c r="AH53" s="22">
        <f>AH32*Constants!$H$32*Constants!$H$38</f>
        <v>105486.98778058386</v>
      </c>
      <c r="AI53" s="22">
        <f>AI32*Constants!$H$32*Constants!$H$38</f>
        <v>108121.93129323474</v>
      </c>
      <c r="AJ53" s="22">
        <f>AJ32*Constants!$H$32*Constants!$H$38</f>
        <v>111102.52988001858</v>
      </c>
      <c r="AK53" s="22">
        <f>AK32*Constants!$H$32*Constants!$H$38</f>
        <v>114309.37865603258</v>
      </c>
      <c r="AL53" s="22">
        <f>AL32*Constants!$H$32*Constants!$H$38</f>
        <v>117489.15422490551</v>
      </c>
      <c r="AM53" s="22">
        <f>AM32*Constants!$H$32*Constants!$H$38</f>
        <v>121189.46257035605</v>
      </c>
      <c r="AN53" s="22">
        <f>AN32*Constants!$H$32*Constants!$H$38</f>
        <v>125048.22864125164</v>
      </c>
      <c r="AO53" s="22">
        <f>AO32*Constants!$H$32*Constants!$H$38</f>
        <v>129141.97088466265</v>
      </c>
      <c r="AP53" s="22">
        <f>AP32*Constants!$H$32*Constants!$H$38</f>
        <v>133388.33182703116</v>
      </c>
      <c r="AQ53" s="22">
        <f>AQ32*Constants!$H$32*Constants!$H$38</f>
        <v>136973.84143606713</v>
      </c>
      <c r="AR53" s="22">
        <f>AR32*Constants!$H$32*Constants!$H$38</f>
        <v>141534.8406252017</v>
      </c>
      <c r="AS53" s="22">
        <f>AS32*Constants!$H$32*Constants!$H$38</f>
        <v>146211.97845873522</v>
      </c>
      <c r="AT53" s="22">
        <f>AT32*Constants!$H$32*Constants!$H$38</f>
        <v>151036.58766693325</v>
      </c>
      <c r="AU53" s="22">
        <f>AU32*Constants!$H$32*Constants!$H$38</f>
        <v>155676.34509990347</v>
      </c>
      <c r="AV53" s="22">
        <f>AV32*Constants!$H$32*Constants!$H$38</f>
        <v>160597.63022222667</v>
      </c>
      <c r="AW53" s="22">
        <f>AW32*Constants!$H$32*Constants!$H$38</f>
        <v>165809.01884248503</v>
      </c>
      <c r="AX53" s="22">
        <f>AX32*Constants!$H$32*Constants!$H$38</f>
        <v>171221.80007494957</v>
      </c>
      <c r="AY53" s="22">
        <f>AY32*Constants!$H$32*Constants!$H$38</f>
        <v>176592.57138355594</v>
      </c>
      <c r="AZ53" s="22">
        <f>AZ32*Constants!$H$32*Constants!$H$38</f>
        <v>182167.07545789873</v>
      </c>
      <c r="BA53" s="22">
        <f>BA32*Constants!$H$32*Constants!$H$38</f>
        <v>188096.56327030971</v>
      </c>
      <c r="BB53" s="22">
        <f>BB32*Constants!$H$32*Constants!$H$38</f>
        <v>194314.02763426804</v>
      </c>
      <c r="BC53" s="22">
        <f>BC32*Constants!$H$32*Constants!$H$38</f>
        <v>200799.54209319112</v>
      </c>
      <c r="BD53" s="22">
        <f>BD32*Constants!$H$32*Constants!$H$38</f>
        <v>207565.29105458804</v>
      </c>
      <c r="BE53" s="22">
        <f>BE32*Constants!$H$32*Constants!$H$38</f>
        <v>214615.05270557338</v>
      </c>
      <c r="BF53" s="22">
        <f>BF32*Constants!$H$32*Constants!$H$38</f>
        <v>222011.8652362196</v>
      </c>
      <c r="BG53" s="22">
        <f>BG32*Constants!$H$32*Constants!$H$38</f>
        <v>229008.65884366434</v>
      </c>
      <c r="BH53" s="22">
        <f>BH32*Constants!$H$32*Constants!$H$38</f>
        <v>236322.43426689232</v>
      </c>
      <c r="BI53" s="22">
        <f>BI32*Constants!$H$32*Constants!$H$38</f>
        <v>244012.68982896925</v>
      </c>
      <c r="BJ53" s="22">
        <f>BJ32*Constants!$H$32*Constants!$H$38</f>
        <v>252112.44846000441</v>
      </c>
      <c r="BK53" s="22">
        <f>BK32*Constants!$H$32*Constants!$H$38</f>
        <v>260804.17719105427</v>
      </c>
    </row>
    <row r="54" spans="1:63" x14ac:dyDescent="0.25">
      <c r="A54" t="s">
        <v>862</v>
      </c>
      <c r="B54" t="s">
        <v>321</v>
      </c>
      <c r="C54" s="22">
        <f>C37*Constants!$H$33*Constants!$H$39</f>
        <v>268800</v>
      </c>
      <c r="D54" s="22">
        <f>D37*Constants!$H$33*Constants!$H$39</f>
        <v>278400</v>
      </c>
      <c r="E54" s="22">
        <f>E37*Constants!$H$33*Constants!$H$39</f>
        <v>285600</v>
      </c>
      <c r="F54" s="22">
        <f>F37*Constants!$H$33*Constants!$H$39</f>
        <v>282000</v>
      </c>
      <c r="G54" s="22">
        <f>G37*Constants!$H$33*Constants!$H$39</f>
        <v>301200</v>
      </c>
      <c r="H54" s="22">
        <f>H37*Constants!$H$33*Constants!$H$39</f>
        <v>348000</v>
      </c>
      <c r="I54" s="22">
        <f>I37*Constants!$H$33*Constants!$H$39</f>
        <v>338400</v>
      </c>
      <c r="J54" s="22">
        <f>J37*Constants!$H$33*Constants!$H$39</f>
        <v>376800</v>
      </c>
      <c r="K54" s="22">
        <f>K37*Constants!$H$33*Constants!$H$39</f>
        <v>387600</v>
      </c>
      <c r="L54" s="22">
        <f>L37*Constants!$H$33*Constants!$H$39</f>
        <v>381600</v>
      </c>
      <c r="M54" s="22">
        <f>M37*Constants!$H$33*Constants!$H$39</f>
        <v>394800</v>
      </c>
      <c r="N54" s="22">
        <f>N37*Constants!$H$33*Constants!$H$39</f>
        <v>396000</v>
      </c>
      <c r="O54" s="22">
        <f>O37*Constants!$H$33*Constants!$H$39</f>
        <v>408000</v>
      </c>
      <c r="P54" s="22">
        <f>P37*Constants!$H$33*Constants!$H$39</f>
        <v>393600</v>
      </c>
      <c r="Q54" s="22">
        <f>Q37*Constants!$H$33*Constants!$H$39</f>
        <v>417600</v>
      </c>
      <c r="R54" s="22">
        <f>R37*Constants!$H$33*Constants!$H$39</f>
        <v>450000</v>
      </c>
      <c r="S54" s="22">
        <f>S37*Constants!$H$33*Constants!$H$39</f>
        <v>494400</v>
      </c>
      <c r="T54" s="22">
        <f>T37*Constants!$H$33*Constants!$H$39</f>
        <v>525600</v>
      </c>
      <c r="U54" s="22">
        <f>U37*Constants!$H$33*Constants!$H$39</f>
        <v>511200</v>
      </c>
      <c r="V54" s="22">
        <f>V37*Constants!$H$33*Constants!$H$39</f>
        <v>484800</v>
      </c>
      <c r="W54" s="22">
        <f>W37*Constants!$H$33*Constants!$H$39</f>
        <v>495600</v>
      </c>
      <c r="X54" s="22">
        <f>X37*Constants!$H$33*Constants!$H$39</f>
        <v>542400</v>
      </c>
      <c r="Y54" s="22">
        <f>Y37*Constants!$H$33*Constants!$H$39</f>
        <v>540697.78654844046</v>
      </c>
      <c r="Z54" s="22">
        <f>Z37*Constants!$H$33*Constants!$H$39</f>
        <v>553346.5983869565</v>
      </c>
      <c r="AA54" s="22">
        <f>AA37*Constants!$H$33*Constants!$H$39</f>
        <v>563114.1969123556</v>
      </c>
      <c r="AB54" s="22">
        <f>AB37*Constants!$H$33*Constants!$H$39</f>
        <v>570515.05069488112</v>
      </c>
      <c r="AC54" s="22">
        <f>AC37*Constants!$H$33*Constants!$H$39</f>
        <v>576395.71358630783</v>
      </c>
      <c r="AD54" s="22">
        <f>AD37*Constants!$H$33*Constants!$H$39</f>
        <v>583540.1340020902</v>
      </c>
      <c r="AE54" s="22">
        <f>AE37*Constants!$H$33*Constants!$H$39</f>
        <v>591430.09596214874</v>
      </c>
      <c r="AF54" s="22">
        <f>AF37*Constants!$H$33*Constants!$H$39</f>
        <v>599200.91710823053</v>
      </c>
      <c r="AG54" s="22">
        <f>AG37*Constants!$H$33*Constants!$H$39</f>
        <v>568657.38086250052</v>
      </c>
      <c r="AH54" s="22">
        <f>AH37*Constants!$H$33*Constants!$H$39</f>
        <v>580002.15782887931</v>
      </c>
      <c r="AI54" s="22">
        <f>AI37*Constants!$H$33*Constants!$H$39</f>
        <v>591287.82426098268</v>
      </c>
      <c r="AJ54" s="22">
        <f>AJ37*Constants!$H$33*Constants!$H$39</f>
        <v>603313.07673947071</v>
      </c>
      <c r="AK54" s="22">
        <f>AK37*Constants!$H$33*Constants!$H$39</f>
        <v>615917.00158100261</v>
      </c>
      <c r="AL54" s="22">
        <f>AL37*Constants!$H$33*Constants!$H$39</f>
        <v>628376.79545291013</v>
      </c>
      <c r="AM54" s="22">
        <f>AM37*Constants!$H$33*Constants!$H$39</f>
        <v>642245.27851453715</v>
      </c>
      <c r="AN54" s="22">
        <f>AN37*Constants!$H$33*Constants!$H$39</f>
        <v>656490.73227631731</v>
      </c>
      <c r="AO54" s="22">
        <f>AO37*Constants!$H$33*Constants!$H$39</f>
        <v>671327.6060330607</v>
      </c>
      <c r="AP54" s="22">
        <f>AP37*Constants!$H$33*Constants!$H$39</f>
        <v>686542.54303443932</v>
      </c>
      <c r="AQ54" s="22">
        <f>AQ37*Constants!$H$33*Constants!$H$39</f>
        <v>699822.12517181621</v>
      </c>
      <c r="AR54" s="22">
        <f>AR37*Constants!$H$33*Constants!$H$39</f>
        <v>715813.33289349254</v>
      </c>
      <c r="AS54" s="22">
        <f>AS37*Constants!$H$33*Constants!$H$39</f>
        <v>732072.4422984249</v>
      </c>
      <c r="AT54" s="22">
        <f>AT37*Constants!$H$33*Constants!$H$39</f>
        <v>748686.35864248604</v>
      </c>
      <c r="AU54" s="22">
        <f>AU37*Constants!$H$33*Constants!$H$39</f>
        <v>764715.66397543356</v>
      </c>
      <c r="AV54" s="22">
        <f>AV37*Constants!$H$33*Constants!$H$39</f>
        <v>781483.54604894691</v>
      </c>
      <c r="AW54" s="22">
        <f>AW37*Constants!$H$33*Constants!$H$39</f>
        <v>799012.51481999853</v>
      </c>
      <c r="AX54" s="22">
        <f>AX37*Constants!$H$33*Constants!$H$39</f>
        <v>817048.70112177415</v>
      </c>
      <c r="AY54" s="22">
        <f>AY37*Constants!$H$33*Constants!$H$39</f>
        <v>834898.76038894418</v>
      </c>
      <c r="AZ54" s="22">
        <f>AZ37*Constants!$H$33*Constants!$H$39</f>
        <v>853266.5416738973</v>
      </c>
      <c r="BA54" s="22">
        <f>BA37*Constants!$H$33*Constants!$H$39</f>
        <v>872580.21103705466</v>
      </c>
      <c r="BB54" s="22">
        <f>BB37*Constants!$H$33*Constants!$H$39</f>
        <v>892647.85237626184</v>
      </c>
      <c r="BC54" s="22">
        <f>BC37*Constants!$H$33*Constants!$H$39</f>
        <v>913411.34679761727</v>
      </c>
      <c r="BD54" s="22">
        <f>BD37*Constants!$H$33*Constants!$H$39</f>
        <v>934903.84196612297</v>
      </c>
      <c r="BE54" s="22">
        <f>BE37*Constants!$H$33*Constants!$H$39</f>
        <v>957134.94467881205</v>
      </c>
      <c r="BF54" s="22">
        <f>BF37*Constants!$H$33*Constants!$H$39</f>
        <v>980282.3648361431</v>
      </c>
      <c r="BG54" s="22">
        <f>BG37*Constants!$H$33*Constants!$H$39</f>
        <v>1002222.180575152</v>
      </c>
      <c r="BH54" s="22">
        <f>BH37*Constants!$H$33*Constants!$H$39</f>
        <v>1024990.2094873342</v>
      </c>
      <c r="BI54" s="22">
        <f>BI37*Constants!$H$33*Constants!$H$39</f>
        <v>1048754.2214314276</v>
      </c>
      <c r="BJ54" s="22">
        <f>BJ37*Constants!$H$33*Constants!$H$39</f>
        <v>1073605.7746008227</v>
      </c>
      <c r="BK54" s="22">
        <f>BK37*Constants!$H$33*Constants!$H$39</f>
        <v>1100062.0865751917</v>
      </c>
    </row>
    <row r="55" spans="1:63" x14ac:dyDescent="0.25">
      <c r="A55" t="s">
        <v>863</v>
      </c>
      <c r="B55" t="s">
        <v>321</v>
      </c>
      <c r="C55" s="22">
        <f>C42*Constants!$H$34*Constants!$H$40</f>
        <v>633360</v>
      </c>
      <c r="D55" s="22">
        <f>D42*Constants!$H$34*Constants!$H$40</f>
        <v>616720</v>
      </c>
      <c r="E55" s="22">
        <f>E42*Constants!$H$34*Constants!$H$40</f>
        <v>586560</v>
      </c>
      <c r="F55" s="22">
        <f>F42*Constants!$H$34*Constants!$H$40</f>
        <v>600080</v>
      </c>
      <c r="G55" s="22">
        <f>G42*Constants!$H$34*Constants!$H$40</f>
        <v>631280</v>
      </c>
      <c r="H55" s="22">
        <f>H42*Constants!$H$34*Constants!$H$40</f>
        <v>672880</v>
      </c>
      <c r="I55" s="22">
        <f>I42*Constants!$H$34*Constants!$H$40</f>
        <v>726960</v>
      </c>
      <c r="J55" s="22">
        <f>J42*Constants!$H$34*Constants!$H$40</f>
        <v>783120</v>
      </c>
      <c r="K55" s="22">
        <f>K42*Constants!$H$34*Constants!$H$40</f>
        <v>808080</v>
      </c>
      <c r="L55" s="22">
        <f>L42*Constants!$H$34*Constants!$H$40</f>
        <v>835120</v>
      </c>
      <c r="M55" s="22">
        <f>M42*Constants!$H$34*Constants!$H$40</f>
        <v>884000</v>
      </c>
      <c r="N55" s="22">
        <f>N42*Constants!$H$34*Constants!$H$40</f>
        <v>903760</v>
      </c>
      <c r="O55" s="22">
        <f>O42*Constants!$H$34*Constants!$H$40</f>
        <v>931840</v>
      </c>
      <c r="P55" s="22">
        <f>P42*Constants!$H$34*Constants!$H$40</f>
        <v>962000</v>
      </c>
      <c r="Q55" s="22">
        <f>Q42*Constants!$H$34*Constants!$H$40</f>
        <v>1084720</v>
      </c>
      <c r="R55" s="22">
        <f>R42*Constants!$H$34*Constants!$H$40</f>
        <v>1323920</v>
      </c>
      <c r="S55" s="22">
        <f>S42*Constants!$H$34*Constants!$H$40</f>
        <v>1484080</v>
      </c>
      <c r="T55" s="22">
        <f>T42*Constants!$H$34*Constants!$H$40</f>
        <v>1558960</v>
      </c>
      <c r="U55" s="22">
        <f>U42*Constants!$H$34*Constants!$H$40</f>
        <v>1647360</v>
      </c>
      <c r="V55" s="22">
        <f>V42*Constants!$H$34*Constants!$H$40</f>
        <v>1709760</v>
      </c>
      <c r="W55" s="22">
        <f>W42*Constants!$H$34*Constants!$H$40</f>
        <v>1748240</v>
      </c>
      <c r="X55" s="22">
        <f>X42*Constants!$H$34*Constants!$H$40</f>
        <v>1789840</v>
      </c>
      <c r="Y55" s="22">
        <f>Y42*Constants!$H$34*Constants!$H$40</f>
        <v>1531594.1981961399</v>
      </c>
      <c r="Z55" s="22">
        <f>Z42*Constants!$H$34*Constants!$H$40</f>
        <v>1584415.4704264058</v>
      </c>
      <c r="AA55" s="22">
        <f>AA42*Constants!$H$34*Constants!$H$40</f>
        <v>1614633.5826564105</v>
      </c>
      <c r="AB55" s="22">
        <f>AB42*Constants!$H$34*Constants!$H$40</f>
        <v>1625961.7838734775</v>
      </c>
      <c r="AC55" s="22">
        <f>AC42*Constants!$H$34*Constants!$H$40</f>
        <v>1624544.3819203658</v>
      </c>
      <c r="AD55" s="22">
        <f>AD42*Constants!$H$34*Constants!$H$40</f>
        <v>1630722.2272871952</v>
      </c>
      <c r="AE55" s="22">
        <f>AE42*Constants!$H$34*Constants!$H$40</f>
        <v>1641747.5583784168</v>
      </c>
      <c r="AF55" s="22">
        <f>AF42*Constants!$H$34*Constants!$H$40</f>
        <v>1651142.8222943372</v>
      </c>
      <c r="AG55" s="22">
        <f>AG42*Constants!$H$34*Constants!$H$40</f>
        <v>1378955.578927733</v>
      </c>
      <c r="AH55" s="22">
        <f>AH42*Constants!$H$34*Constants!$H$40</f>
        <v>1421695.5026785331</v>
      </c>
      <c r="AI55" s="22">
        <f>AI42*Constants!$H$34*Constants!$H$40</f>
        <v>1466330.6610026532</v>
      </c>
      <c r="AJ55" s="22">
        <f>AJ42*Constants!$H$34*Constants!$H$40</f>
        <v>1518816.7775920141</v>
      </c>
      <c r="AK55" s="22">
        <f>AK42*Constants!$H$34*Constants!$H$40</f>
        <v>1576187.0320687848</v>
      </c>
      <c r="AL55" s="22">
        <f>AL42*Constants!$H$34*Constants!$H$40</f>
        <v>1633174.5658678033</v>
      </c>
      <c r="AM55" s="22">
        <f>AM42*Constants!$H$34*Constants!$H$40</f>
        <v>1701190.6867291885</v>
      </c>
      <c r="AN55" s="22">
        <f>AN42*Constants!$H$34*Constants!$H$40</f>
        <v>1772703.7471270524</v>
      </c>
      <c r="AO55" s="22">
        <f>AO42*Constants!$H$34*Constants!$H$40</f>
        <v>1849315.0955925141</v>
      </c>
      <c r="AP55" s="22">
        <f>AP42*Constants!$H$34*Constants!$H$40</f>
        <v>1929254.1641733008</v>
      </c>
      <c r="AQ55" s="22">
        <f>AQ42*Constants!$H$34*Constants!$H$40</f>
        <v>1995587.4744551922</v>
      </c>
      <c r="AR55" s="22">
        <f>AR42*Constants!$H$34*Constants!$H$40</f>
        <v>2082395.4276831886</v>
      </c>
      <c r="AS55" s="22">
        <f>AS42*Constants!$H$34*Constants!$H$40</f>
        <v>2171789.0026891553</v>
      </c>
      <c r="AT55" s="22">
        <f>AT42*Constants!$H$34*Constants!$H$40</f>
        <v>2264426.3627488967</v>
      </c>
      <c r="AU55" s="22">
        <f>AU42*Constants!$H$34*Constants!$H$40</f>
        <v>2353374.4738101154</v>
      </c>
      <c r="AV55" s="22">
        <f>AV42*Constants!$H$34*Constants!$H$40</f>
        <v>2448350.1222577384</v>
      </c>
      <c r="AW55" s="22">
        <f>AW42*Constants!$H$34*Constants!$H$40</f>
        <v>2549536.8856383283</v>
      </c>
      <c r="AX55" s="22">
        <f>AX42*Constants!$H$34*Constants!$H$40</f>
        <v>2655092.3971479139</v>
      </c>
      <c r="AY55" s="22">
        <f>AY42*Constants!$H$34*Constants!$H$40</f>
        <v>2759952.9609084511</v>
      </c>
      <c r="AZ55" s="22">
        <f>AZ42*Constants!$H$34*Constants!$H$40</f>
        <v>2869220.6175078666</v>
      </c>
      <c r="BA55" s="22">
        <f>BA42*Constants!$H$34*Constants!$H$40</f>
        <v>2986049.1799241072</v>
      </c>
      <c r="BB55" s="22">
        <f>BB42*Constants!$H$34*Constants!$H$40</f>
        <v>3109047.4532170799</v>
      </c>
      <c r="BC55" s="22">
        <f>BC42*Constants!$H$34*Constants!$H$40</f>
        <v>3237804.5477602365</v>
      </c>
      <c r="BD55" s="22">
        <f>BD42*Constants!$H$34*Constants!$H$40</f>
        <v>3372578.1481652367</v>
      </c>
      <c r="BE55" s="22">
        <f>BE42*Constants!$H$34*Constants!$H$40</f>
        <v>3513449.9677163381</v>
      </c>
      <c r="BF55" s="22">
        <f>BF42*Constants!$H$34*Constants!$H$40</f>
        <v>3661736.4435594422</v>
      </c>
      <c r="BG55" s="22">
        <f>BG42*Constants!$H$34*Constants!$H$40</f>
        <v>3801884.5262657865</v>
      </c>
      <c r="BH55" s="22">
        <f>BH42*Constants!$H$34*Constants!$H$40</f>
        <v>3948828.3168126978</v>
      </c>
      <c r="BI55" s="22">
        <f>BI42*Constants!$H$34*Constants!$H$40</f>
        <v>4103810.2232839796</v>
      </c>
      <c r="BJ55" s="22">
        <f>BJ42*Constants!$H$34*Constants!$H$40</f>
        <v>4267524.0070378715</v>
      </c>
      <c r="BK55" s="22">
        <f>BK42*Constants!$H$34*Constants!$H$40</f>
        <v>4443772.540650324</v>
      </c>
    </row>
    <row r="56" spans="1:63" x14ac:dyDescent="0.25">
      <c r="A56" t="s">
        <v>873</v>
      </c>
      <c r="B56" t="s">
        <v>321</v>
      </c>
      <c r="C56" s="22">
        <f>SUM(C50:C55)</f>
        <v>5869585</v>
      </c>
      <c r="D56" s="22">
        <f t="shared" ref="D56:BK56" si="48">SUM(D50:D55)</f>
        <v>6203205</v>
      </c>
      <c r="E56" s="22">
        <f t="shared" si="48"/>
        <v>6211270</v>
      </c>
      <c r="F56" s="22">
        <f t="shared" si="48"/>
        <v>6065070</v>
      </c>
      <c r="G56" s="22">
        <f t="shared" si="48"/>
        <v>5671705</v>
      </c>
      <c r="H56" s="22">
        <f t="shared" si="48"/>
        <v>5466535</v>
      </c>
      <c r="I56" s="22">
        <f t="shared" si="48"/>
        <v>5694815</v>
      </c>
      <c r="J56" s="22">
        <f t="shared" si="48"/>
        <v>5746420</v>
      </c>
      <c r="K56" s="22">
        <f t="shared" si="48"/>
        <v>5792900</v>
      </c>
      <c r="L56" s="22">
        <f t="shared" si="48"/>
        <v>5938930</v>
      </c>
      <c r="M56" s="22">
        <f t="shared" si="48"/>
        <v>6294965</v>
      </c>
      <c r="N56" s="22">
        <f t="shared" si="48"/>
        <v>5899755</v>
      </c>
      <c r="O56" s="22">
        <f t="shared" si="48"/>
        <v>6221665</v>
      </c>
      <c r="P56" s="22">
        <f t="shared" si="48"/>
        <v>6329485</v>
      </c>
      <c r="Q56" s="22">
        <f t="shared" si="48"/>
        <v>6730420</v>
      </c>
      <c r="R56" s="22">
        <f t="shared" si="48"/>
        <v>7351635</v>
      </c>
      <c r="S56" s="22">
        <f t="shared" si="48"/>
        <v>7957970</v>
      </c>
      <c r="T56" s="22">
        <f t="shared" si="48"/>
        <v>8416295</v>
      </c>
      <c r="U56" s="22">
        <f t="shared" si="48"/>
        <v>8195490</v>
      </c>
      <c r="V56" s="22">
        <f t="shared" si="48"/>
        <v>8304590</v>
      </c>
      <c r="W56" s="22">
        <f t="shared" si="48"/>
        <v>8821035</v>
      </c>
      <c r="X56" s="22">
        <f t="shared" si="48"/>
        <v>8803245</v>
      </c>
      <c r="Y56" s="22">
        <f t="shared" si="48"/>
        <v>8933637.5271856133</v>
      </c>
      <c r="Z56" s="22">
        <f t="shared" si="48"/>
        <v>9161127.5979270581</v>
      </c>
      <c r="AA56" s="22">
        <f t="shared" si="48"/>
        <v>9320226.3917944543</v>
      </c>
      <c r="AB56" s="22">
        <f t="shared" si="48"/>
        <v>9422639.8416873235</v>
      </c>
      <c r="AC56" s="22">
        <f t="shared" si="48"/>
        <v>9487683.5591922104</v>
      </c>
      <c r="AD56" s="22">
        <f t="shared" si="48"/>
        <v>9579089.672926316</v>
      </c>
      <c r="AE56" s="22">
        <f t="shared" si="48"/>
        <v>9686622.9648145903</v>
      </c>
      <c r="AF56" s="22">
        <f t="shared" si="48"/>
        <v>9790238.037935866</v>
      </c>
      <c r="AG56" s="22">
        <f t="shared" si="48"/>
        <v>9014163.1972160861</v>
      </c>
      <c r="AH56" s="22">
        <f t="shared" si="48"/>
        <v>9210932.7389042899</v>
      </c>
      <c r="AI56" s="22">
        <f t="shared" si="48"/>
        <v>9409997.2763325162</v>
      </c>
      <c r="AJ56" s="22">
        <f t="shared" si="48"/>
        <v>9629829.3669541292</v>
      </c>
      <c r="AK56" s="22">
        <f t="shared" si="48"/>
        <v>9863937.36747168</v>
      </c>
      <c r="AL56" s="22">
        <f t="shared" si="48"/>
        <v>10095796.745742666</v>
      </c>
      <c r="AM56" s="22">
        <f t="shared" si="48"/>
        <v>10361058.70887856</v>
      </c>
      <c r="AN56" s="22">
        <f t="shared" si="48"/>
        <v>10636114.735414166</v>
      </c>
      <c r="AO56" s="22">
        <f t="shared" si="48"/>
        <v>10925928.205065053</v>
      </c>
      <c r="AP56" s="22">
        <f t="shared" si="48"/>
        <v>11225282.952515053</v>
      </c>
      <c r="AQ56" s="22">
        <f t="shared" si="48"/>
        <v>11481170.677324316</v>
      </c>
      <c r="AR56" s="22">
        <f t="shared" si="48"/>
        <v>11800173.012916896</v>
      </c>
      <c r="AS56" s="22">
        <f t="shared" si="48"/>
        <v>12126293.171227165</v>
      </c>
      <c r="AT56" s="22">
        <f t="shared" si="48"/>
        <v>12461557.007221865</v>
      </c>
      <c r="AU56" s="22">
        <f t="shared" si="48"/>
        <v>12784350.212872259</v>
      </c>
      <c r="AV56" s="22">
        <f t="shared" si="48"/>
        <v>13125040.878495276</v>
      </c>
      <c r="AW56" s="22">
        <f t="shared" si="48"/>
        <v>13484174.275084917</v>
      </c>
      <c r="AX56" s="22">
        <f t="shared" si="48"/>
        <v>13855958.279535701</v>
      </c>
      <c r="AY56" s="22">
        <f t="shared" si="48"/>
        <v>14224523.817740548</v>
      </c>
      <c r="AZ56" s="22">
        <f t="shared" si="48"/>
        <v>14605920.231413733</v>
      </c>
      <c r="BA56" s="22">
        <f t="shared" si="48"/>
        <v>15009989.26616466</v>
      </c>
      <c r="BB56" s="22">
        <f t="shared" si="48"/>
        <v>15432354.741900358</v>
      </c>
      <c r="BC56" s="22">
        <f t="shared" si="48"/>
        <v>15871707.722467741</v>
      </c>
      <c r="BD56" s="22">
        <f t="shared" si="48"/>
        <v>16328831.334394764</v>
      </c>
      <c r="BE56" s="22">
        <f t="shared" si="48"/>
        <v>16803963.565326538</v>
      </c>
      <c r="BF56" s="22">
        <f t="shared" si="48"/>
        <v>17301200.901594609</v>
      </c>
      <c r="BG56" s="22">
        <f t="shared" si="48"/>
        <v>17771866.665790331</v>
      </c>
      <c r="BH56" s="22">
        <f t="shared" si="48"/>
        <v>18262659.441922814</v>
      </c>
      <c r="BI56" s="22">
        <f t="shared" si="48"/>
        <v>18777445.963305339</v>
      </c>
      <c r="BJ56" s="22">
        <f t="shared" si="48"/>
        <v>19318361.113922808</v>
      </c>
      <c r="BK56" s="22">
        <f t="shared" si="48"/>
        <v>19897282.772616874</v>
      </c>
    </row>
    <row r="57" spans="1:63" x14ac:dyDescent="0.25">
      <c r="A57" t="s">
        <v>871</v>
      </c>
      <c r="B57" t="s">
        <v>321</v>
      </c>
      <c r="C57" s="22">
        <v>4072000</v>
      </c>
      <c r="D57" s="22">
        <v>4235000</v>
      </c>
      <c r="E57" s="22">
        <v>4455000</v>
      </c>
      <c r="F57" s="22">
        <v>4085000</v>
      </c>
      <c r="G57" s="22">
        <v>3855000</v>
      </c>
      <c r="H57" s="22">
        <v>3877000</v>
      </c>
      <c r="I57" s="22">
        <v>4035000</v>
      </c>
      <c r="J57" s="22">
        <v>3826000</v>
      </c>
      <c r="K57" s="22">
        <v>3001000</v>
      </c>
      <c r="L57" s="22">
        <v>2960000</v>
      </c>
      <c r="M57" s="22">
        <v>2936000</v>
      </c>
      <c r="N57" s="22">
        <v>3263000</v>
      </c>
      <c r="O57" s="22">
        <v>3274000</v>
      </c>
      <c r="P57" s="22">
        <v>3275000</v>
      </c>
      <c r="Q57" s="22">
        <v>3531000</v>
      </c>
      <c r="R57" s="22">
        <v>3543000</v>
      </c>
      <c r="S57" s="22">
        <v>3637000</v>
      </c>
      <c r="T57" s="22">
        <v>3844000</v>
      </c>
      <c r="U57" s="22">
        <v>4220000</v>
      </c>
      <c r="V57" s="22">
        <v>4089000</v>
      </c>
      <c r="W57" s="22">
        <v>4187000</v>
      </c>
      <c r="X57" s="22">
        <v>4344000</v>
      </c>
      <c r="Y57" s="22">
        <v>4429000</v>
      </c>
      <c r="Z57" s="22">
        <v>4436000</v>
      </c>
      <c r="AA57" s="22">
        <v>4767000</v>
      </c>
      <c r="AB57" s="22">
        <v>5087000</v>
      </c>
      <c r="AC57" s="22">
        <v>5551000</v>
      </c>
      <c r="AD57" s="22">
        <v>5004000</v>
      </c>
      <c r="AE57" s="22"/>
      <c r="AF57" s="22"/>
      <c r="AG57" s="22"/>
      <c r="AH57" s="22"/>
      <c r="AI57" s="22"/>
      <c r="AJ57" s="22"/>
      <c r="AK57" s="22"/>
      <c r="AL57" s="22"/>
      <c r="AM57" s="22"/>
      <c r="AN57" s="22"/>
      <c r="AO57" s="22"/>
      <c r="AP57" s="22"/>
      <c r="AQ57" s="22"/>
      <c r="AR57" s="22"/>
      <c r="AS57" s="22"/>
      <c r="AT57" s="22"/>
      <c r="AU57" s="22"/>
      <c r="AV57" s="22"/>
      <c r="AW57" s="22"/>
      <c r="AX57" s="22"/>
      <c r="AY57" s="22"/>
      <c r="AZ57" s="22"/>
      <c r="BA57" s="22"/>
      <c r="BB57" s="22"/>
      <c r="BC57" s="22"/>
      <c r="BD57" s="22"/>
      <c r="BE57" s="22"/>
      <c r="BF57" s="22"/>
      <c r="BG57" s="22"/>
      <c r="BH57" s="22"/>
      <c r="BI57" s="22"/>
      <c r="BJ57" s="22"/>
      <c r="BK57" s="22"/>
    </row>
    <row r="58" spans="1:63" x14ac:dyDescent="0.25">
      <c r="A58" t="s">
        <v>872</v>
      </c>
      <c r="B58" t="s">
        <v>321</v>
      </c>
      <c r="C58" s="22">
        <f>((Data!$AJ$37*'Intermediate calculations'!C56)+Data!$AK$37)</f>
        <v>5251932.2753573991</v>
      </c>
      <c r="D58" s="22">
        <f>((Data!$AJ$37*'Intermediate calculations'!D56)+Data!$AK$37)</f>
        <v>5456645.3617997784</v>
      </c>
      <c r="E58" s="22">
        <f>((Data!$AJ$37*'Intermediate calculations'!E56)+Data!$AK$37)</f>
        <v>5461594.1389778787</v>
      </c>
      <c r="F58" s="22">
        <f>((Data!$AJ$37*'Intermediate calculations'!F56)+Data!$AK$37)</f>
        <v>5371884.1298720818</v>
      </c>
      <c r="G58" s="22">
        <f>((Data!$AJ$37*'Intermediate calculations'!G56)+Data!$AK$37)</f>
        <v>5130510.8211723436</v>
      </c>
      <c r="H58" s="22">
        <f>((Data!$AJ$37*'Intermediate calculations'!H56)+Data!$AK$37)</f>
        <v>5004616.1387630664</v>
      </c>
      <c r="I58" s="22">
        <f>((Data!$AJ$37*'Intermediate calculations'!I56)+Data!$AK$37)</f>
        <v>5144691.384171214</v>
      </c>
      <c r="J58" s="22">
        <f>((Data!$AJ$37*'Intermediate calculations'!J56)+Data!$AK$37)</f>
        <v>5176356.8083839687</v>
      </c>
      <c r="K58" s="22">
        <f>((Data!$AJ$37*'Intermediate calculations'!K56)+Data!$AK$37)</f>
        <v>5204877.4733855929</v>
      </c>
      <c r="L58" s="22">
        <f>((Data!$AJ$37*'Intermediate calculations'!L56)+Data!$AK$37)</f>
        <v>5294483.1685273126</v>
      </c>
      <c r="M58" s="22">
        <f>((Data!$AJ$37*'Intermediate calculations'!M56)+Data!$AK$37)</f>
        <v>5512950.3579389574</v>
      </c>
      <c r="N58" s="22">
        <f>((Data!$AJ$37*'Intermediate calculations'!N56)+Data!$AK$37)</f>
        <v>5270444.9359232113</v>
      </c>
      <c r="O58" s="22">
        <f>((Data!$AJ$37*'Intermediate calculations'!O56)+Data!$AK$37)</f>
        <v>5467972.6310753804</v>
      </c>
      <c r="P58" s="22">
        <f>((Data!$AJ$37*'Intermediate calculations'!P56)+Data!$AK$37)</f>
        <v>5534132.2287620232</v>
      </c>
      <c r="Q58" s="22">
        <f>((Data!$AJ$37*'Intermediate calculations'!Q56)+Data!$AK$37)</f>
        <v>5780150.5769209331</v>
      </c>
      <c r="R58" s="22">
        <f>((Data!$AJ$37*'Intermediate calculations'!R56)+Data!$AK$37)</f>
        <v>6161335.2780608628</v>
      </c>
      <c r="S58" s="22">
        <f>((Data!$AJ$37*'Intermediate calculations'!S56)+Data!$AK$37)</f>
        <v>6533389.4392863307</v>
      </c>
      <c r="T58" s="22">
        <f>((Data!$AJ$37*'Intermediate calculations'!T56)+Data!$AK$37)</f>
        <v>6814622.9544943627</v>
      </c>
      <c r="U58" s="22">
        <f>((Data!$AJ$37*'Intermediate calculations'!U56)+Data!$AK$37)</f>
        <v>6679134.4554478135</v>
      </c>
      <c r="V58" s="22">
        <f>((Data!$AJ$37*'Intermediate calculations'!V56)+Data!$AK$37)</f>
        <v>6746079.475922795</v>
      </c>
      <c r="W58" s="22">
        <f>((Data!$AJ$37*'Intermediate calculations'!W56)+Data!$AK$37)</f>
        <v>7062976.0946139265</v>
      </c>
      <c r="X58" s="22">
        <f>((Data!$AJ$37*'Intermediate calculations'!X56)+Data!$AK$37)</f>
        <v>7052059.9450790975</v>
      </c>
      <c r="Y58" s="22">
        <f>((Data!$AJ$37*'Intermediate calculations'!Y56)+Data!$AK$37)</f>
        <v>7132070.3062360678</v>
      </c>
      <c r="Z58" s="22">
        <f>((Data!$AJ$37*'Intermediate calculations'!Z56)+Data!$AK$37)</f>
        <v>7271660.8419248052</v>
      </c>
      <c r="AA58" s="22">
        <f>((Data!$AJ$37*'Intermediate calculations'!AA56)+Data!$AK$37)</f>
        <v>7369285.6999724489</v>
      </c>
      <c r="AB58" s="22">
        <f>((Data!$AJ$37*'Intermediate calculations'!AB56)+Data!$AK$37)</f>
        <v>7432127.7760493662</v>
      </c>
      <c r="AC58" s="22">
        <f>((Data!$AJ$37*'Intermediate calculations'!AC56)+Data!$AK$37)</f>
        <v>7472039.3525858801</v>
      </c>
      <c r="AD58" s="22">
        <f>((Data!$AJ$37*'Intermediate calculations'!AD56)+Data!$AK$37)</f>
        <v>7528127.20002372</v>
      </c>
      <c r="AE58" s="22">
        <f>((Data!$AJ$37*'Intermediate calculations'!AE56)+Data!$AK$37)</f>
        <v>7594110.8703005556</v>
      </c>
      <c r="AF58" s="22">
        <f>((Data!$AJ$37*'Intermediate calculations'!AF56)+Data!$AK$37)</f>
        <v>7657690.2762732469</v>
      </c>
      <c r="AG58" s="22">
        <f>((Data!$AJ$37*'Intermediate calculations'!AG56)+Data!$AK$37)</f>
        <v>7181481.7877113353</v>
      </c>
      <c r="AH58" s="22">
        <f>((Data!$AJ$37*'Intermediate calculations'!AH56)+Data!$AK$37)</f>
        <v>7302221.8518467136</v>
      </c>
      <c r="AI58" s="22">
        <f>((Data!$AJ$37*'Intermediate calculations'!AI56)+Data!$AK$37)</f>
        <v>7424370.1518831532</v>
      </c>
      <c r="AJ58" s="22">
        <f>((Data!$AJ$37*'Intermediate calculations'!AJ56)+Data!$AK$37)</f>
        <v>7559261.6624947209</v>
      </c>
      <c r="AK58" s="22">
        <f>((Data!$AJ$37*'Intermediate calculations'!AK56)+Data!$AK$37)</f>
        <v>7702913.0363536086</v>
      </c>
      <c r="AL58" s="22">
        <f>((Data!$AJ$37*'Intermediate calculations'!AL56)+Data!$AK$37)</f>
        <v>7845184.6296227928</v>
      </c>
      <c r="AM58" s="22">
        <f>((Data!$AJ$37*'Intermediate calculations'!AM56)+Data!$AK$37)</f>
        <v>8007952.4348782133</v>
      </c>
      <c r="AN58" s="22">
        <f>((Data!$AJ$37*'Intermediate calculations'!AN56)+Data!$AK$37)</f>
        <v>8176729.9905903451</v>
      </c>
      <c r="AO58" s="22">
        <f>((Data!$AJ$37*'Intermediate calculations'!AO56)+Data!$AK$37)</f>
        <v>8354562.8838965259</v>
      </c>
      <c r="AP58" s="22">
        <f>((Data!$AJ$37*'Intermediate calculations'!AP56)+Data!$AK$37)</f>
        <v>8538250.4154943582</v>
      </c>
      <c r="AQ58" s="22">
        <f>((Data!$AJ$37*'Intermediate calculations'!AQ56)+Data!$AK$37)</f>
        <v>8695266.0798083153</v>
      </c>
      <c r="AR58" s="22">
        <f>((Data!$AJ$37*'Intermediate calculations'!AR56)+Data!$AK$37)</f>
        <v>8891009.5984867085</v>
      </c>
      <c r="AS58" s="22">
        <f>((Data!$AJ$37*'Intermediate calculations'!AS56)+Data!$AK$37)</f>
        <v>9091120.6954196636</v>
      </c>
      <c r="AT58" s="22">
        <f>((Data!$AJ$37*'Intermediate calculations'!AT56)+Data!$AK$37)</f>
        <v>9296842.4586202707</v>
      </c>
      <c r="AU58" s="22">
        <f>((Data!$AJ$37*'Intermediate calculations'!AU56)+Data!$AK$37)</f>
        <v>9494912.0989635438</v>
      </c>
      <c r="AV58" s="22">
        <f>((Data!$AJ$37*'Intermediate calculations'!AV56)+Data!$AK$37)</f>
        <v>9703963.8275223728</v>
      </c>
      <c r="AW58" s="22">
        <f>((Data!$AJ$37*'Intermediate calculations'!AW56)+Data!$AK$37)</f>
        <v>9924332.2288784087</v>
      </c>
      <c r="AX58" s="22">
        <f>((Data!$AJ$37*'Intermediate calculations'!AX56)+Data!$AK$37)</f>
        <v>10152463.189375464</v>
      </c>
      <c r="AY58" s="22">
        <f>((Data!$AJ$37*'Intermediate calculations'!AY56)+Data!$AK$37)</f>
        <v>10378619.261799812</v>
      </c>
      <c r="AZ58" s="22">
        <f>((Data!$AJ$37*'Intermediate calculations'!AZ56)+Data!$AK$37)</f>
        <v>10612648.507651657</v>
      </c>
      <c r="BA58" s="22">
        <f>((Data!$AJ$37*'Intermediate calculations'!BA56)+Data!$AK$37)</f>
        <v>10860589.935742466</v>
      </c>
      <c r="BB58" s="22">
        <f>((Data!$AJ$37*'Intermediate calculations'!BB56)+Data!$AK$37)</f>
        <v>11119758.27140747</v>
      </c>
      <c r="BC58" s="22">
        <f>((Data!$AJ$37*'Intermediate calculations'!BC56)+Data!$AK$37)</f>
        <v>11389350.336300487</v>
      </c>
      <c r="BD58" s="22">
        <f>((Data!$AJ$37*'Intermediate calculations'!BD56)+Data!$AK$37)</f>
        <v>11669846.665906835</v>
      </c>
      <c r="BE58" s="22">
        <f>((Data!$AJ$37*'Intermediate calculations'!BE56)+Data!$AK$37)</f>
        <v>11961393.292195119</v>
      </c>
      <c r="BF58" s="22">
        <f>((Data!$AJ$37*'Intermediate calculations'!BF56)+Data!$AK$37)</f>
        <v>12266503.866506683</v>
      </c>
      <c r="BG58" s="22">
        <f>((Data!$AJ$37*'Intermediate calculations'!BG56)+Data!$AK$37)</f>
        <v>12555309.817202888</v>
      </c>
      <c r="BH58" s="22">
        <f>((Data!$AJ$37*'Intermediate calculations'!BH56)+Data!$AK$37)</f>
        <v>12856465.934958732</v>
      </c>
      <c r="BI58" s="22">
        <f>((Data!$AJ$37*'Intermediate calculations'!BI56)+Data!$AK$37)</f>
        <v>13172344.892009128</v>
      </c>
      <c r="BJ58" s="22">
        <f>((Data!$AJ$37*'Intermediate calculations'!BJ56)+Data!$AK$37)</f>
        <v>13504256.677832361</v>
      </c>
      <c r="BK58" s="22">
        <f>((Data!$AJ$37*'Intermediate calculations'!BK56)+Data!$AK$37)</f>
        <v>13859489.696115451</v>
      </c>
    </row>
    <row r="59" spans="1:63" x14ac:dyDescent="0.25">
      <c r="A59" t="s">
        <v>345</v>
      </c>
      <c r="B59" t="s">
        <v>321</v>
      </c>
      <c r="C59" s="22">
        <f>C58+C56</f>
        <v>11121517.275357399</v>
      </c>
      <c r="D59" s="22">
        <f t="shared" ref="D59:BK59" si="49">D58+D56</f>
        <v>11659850.361799778</v>
      </c>
      <c r="E59" s="22">
        <f t="shared" si="49"/>
        <v>11672864.138977878</v>
      </c>
      <c r="F59" s="22">
        <f t="shared" si="49"/>
        <v>11436954.129872082</v>
      </c>
      <c r="G59" s="22">
        <f t="shared" si="49"/>
        <v>10802215.821172344</v>
      </c>
      <c r="H59" s="22">
        <f t="shared" si="49"/>
        <v>10471151.138763066</v>
      </c>
      <c r="I59" s="22">
        <f t="shared" si="49"/>
        <v>10839506.384171214</v>
      </c>
      <c r="J59" s="22">
        <f t="shared" si="49"/>
        <v>10922776.808383968</v>
      </c>
      <c r="K59" s="22">
        <f t="shared" si="49"/>
        <v>10997777.473385593</v>
      </c>
      <c r="L59" s="22">
        <f t="shared" si="49"/>
        <v>11233413.168527313</v>
      </c>
      <c r="M59" s="22">
        <f t="shared" si="49"/>
        <v>11807915.357938956</v>
      </c>
      <c r="N59" s="22">
        <f t="shared" si="49"/>
        <v>11170199.935923211</v>
      </c>
      <c r="O59" s="22">
        <f t="shared" si="49"/>
        <v>11689637.63107538</v>
      </c>
      <c r="P59" s="22">
        <f t="shared" si="49"/>
        <v>11863617.228762023</v>
      </c>
      <c r="Q59" s="22">
        <f t="shared" si="49"/>
        <v>12510570.576920934</v>
      </c>
      <c r="R59" s="22">
        <f t="shared" si="49"/>
        <v>13512970.278060863</v>
      </c>
      <c r="S59" s="22">
        <f t="shared" si="49"/>
        <v>14491359.439286331</v>
      </c>
      <c r="T59" s="22">
        <f t="shared" si="49"/>
        <v>15230917.954494363</v>
      </c>
      <c r="U59" s="22">
        <f t="shared" si="49"/>
        <v>14874624.455447813</v>
      </c>
      <c r="V59" s="22">
        <f t="shared" si="49"/>
        <v>15050669.475922795</v>
      </c>
      <c r="W59" s="22">
        <f t="shared" si="49"/>
        <v>15884011.094613926</v>
      </c>
      <c r="X59" s="22">
        <f t="shared" si="49"/>
        <v>15855304.945079098</v>
      </c>
      <c r="Y59" s="22">
        <f t="shared" si="49"/>
        <v>16065707.833421681</v>
      </c>
      <c r="Z59" s="22">
        <f t="shared" si="49"/>
        <v>16432788.439851863</v>
      </c>
      <c r="AA59" s="22">
        <f t="shared" si="49"/>
        <v>16689512.091766903</v>
      </c>
      <c r="AB59" s="22">
        <f t="shared" si="49"/>
        <v>16854767.61773669</v>
      </c>
      <c r="AC59" s="22">
        <f t="shared" si="49"/>
        <v>16959722.911778092</v>
      </c>
      <c r="AD59" s="22">
        <f t="shared" si="49"/>
        <v>17107216.872950036</v>
      </c>
      <c r="AE59" s="22">
        <f t="shared" si="49"/>
        <v>17280733.835115146</v>
      </c>
      <c r="AF59" s="22">
        <f t="shared" si="49"/>
        <v>17447928.314209111</v>
      </c>
      <c r="AG59" s="22">
        <f t="shared" si="49"/>
        <v>16195644.984927421</v>
      </c>
      <c r="AH59" s="22">
        <f t="shared" si="49"/>
        <v>16513154.590751003</v>
      </c>
      <c r="AI59" s="22">
        <f t="shared" si="49"/>
        <v>16834367.428215668</v>
      </c>
      <c r="AJ59" s="22">
        <f t="shared" si="49"/>
        <v>17189091.029448852</v>
      </c>
      <c r="AK59" s="22">
        <f t="shared" si="49"/>
        <v>17566850.403825291</v>
      </c>
      <c r="AL59" s="22">
        <f t="shared" si="49"/>
        <v>17940981.375365458</v>
      </c>
      <c r="AM59" s="22">
        <f t="shared" si="49"/>
        <v>18369011.143756773</v>
      </c>
      <c r="AN59" s="22">
        <f t="shared" si="49"/>
        <v>18812844.726004511</v>
      </c>
      <c r="AO59" s="22">
        <f t="shared" si="49"/>
        <v>19280491.088961579</v>
      </c>
      <c r="AP59" s="22">
        <f t="shared" si="49"/>
        <v>19763533.368009411</v>
      </c>
      <c r="AQ59" s="22">
        <f t="shared" si="49"/>
        <v>20176436.757132631</v>
      </c>
      <c r="AR59" s="22">
        <f t="shared" si="49"/>
        <v>20691182.611403607</v>
      </c>
      <c r="AS59" s="22">
        <f t="shared" si="49"/>
        <v>21217413.866646826</v>
      </c>
      <c r="AT59" s="22">
        <f t="shared" si="49"/>
        <v>21758399.465842135</v>
      </c>
      <c r="AU59" s="22">
        <f t="shared" si="49"/>
        <v>22279262.311835803</v>
      </c>
      <c r="AV59" s="22">
        <f t="shared" si="49"/>
        <v>22829004.706017651</v>
      </c>
      <c r="AW59" s="22">
        <f t="shared" si="49"/>
        <v>23408506.503963325</v>
      </c>
      <c r="AX59" s="22">
        <f t="shared" si="49"/>
        <v>24008421.468911164</v>
      </c>
      <c r="AY59" s="22">
        <f t="shared" si="49"/>
        <v>24603143.079540361</v>
      </c>
      <c r="AZ59" s="22">
        <f t="shared" si="49"/>
        <v>25218568.73906539</v>
      </c>
      <c r="BA59" s="22">
        <f t="shared" si="49"/>
        <v>25870579.201907128</v>
      </c>
      <c r="BB59" s="22">
        <f t="shared" si="49"/>
        <v>26552113.013307828</v>
      </c>
      <c r="BC59" s="22">
        <f t="shared" si="49"/>
        <v>27261058.058768228</v>
      </c>
      <c r="BD59" s="22">
        <f t="shared" si="49"/>
        <v>27998678.0003016</v>
      </c>
      <c r="BE59" s="22">
        <f t="shared" si="49"/>
        <v>28765356.857521657</v>
      </c>
      <c r="BF59" s="22">
        <f t="shared" si="49"/>
        <v>29567704.76810129</v>
      </c>
      <c r="BG59" s="22">
        <f t="shared" si="49"/>
        <v>30327176.482993219</v>
      </c>
      <c r="BH59" s="22">
        <f t="shared" si="49"/>
        <v>31119125.376881547</v>
      </c>
      <c r="BI59" s="22">
        <f t="shared" si="49"/>
        <v>31949790.855314467</v>
      </c>
      <c r="BJ59" s="22">
        <f t="shared" si="49"/>
        <v>32822617.79175517</v>
      </c>
      <c r="BK59" s="22">
        <f t="shared" si="49"/>
        <v>33756772.468732327</v>
      </c>
    </row>
    <row r="60" spans="1:63" x14ac:dyDescent="0.25">
      <c r="A60" t="s">
        <v>874</v>
      </c>
      <c r="B60" t="s">
        <v>321</v>
      </c>
      <c r="C60" s="22">
        <f>((Data!$AJ$41*'Intermediate calculations'!C59)+Data!$AK$41)</f>
        <v>13829288.143620679</v>
      </c>
      <c r="D60" s="22">
        <f>((Data!$AJ$41*'Intermediate calculations'!D59)+Data!$AK$41)</f>
        <v>14338345.265431453</v>
      </c>
      <c r="E60" s="22">
        <f>((Data!$AJ$41*'Intermediate calculations'!E59)+Data!$AK$41)</f>
        <v>14350651.319287347</v>
      </c>
      <c r="F60" s="22">
        <f>((Data!$AJ$41*'Intermediate calculations'!F59)+Data!$AK$41)</f>
        <v>14127570.714980846</v>
      </c>
      <c r="G60" s="22">
        <f>((Data!$AJ$41*'Intermediate calculations'!G59)+Data!$AK$41)</f>
        <v>13527351.139652345</v>
      </c>
      <c r="H60" s="22">
        <f>((Data!$AJ$41*'Intermediate calculations'!H59)+Data!$AK$41)</f>
        <v>13214290.622651216</v>
      </c>
      <c r="I60" s="22">
        <f>((Data!$AJ$41*'Intermediate calculations'!I59)+Data!$AK$41)</f>
        <v>13562613.744067688</v>
      </c>
      <c r="J60" s="22">
        <f>((Data!$AJ$41*'Intermediate calculations'!J59)+Data!$AK$41)</f>
        <v>13641355.704295026</v>
      </c>
      <c r="K60" s="22">
        <f>((Data!$AJ$41*'Intermediate calculations'!K59)+Data!$AK$41)</f>
        <v>13712277.636498626</v>
      </c>
      <c r="L60" s="22">
        <f>((Data!$AJ$41*'Intermediate calculations'!L59)+Data!$AK$41)</f>
        <v>13935098.844753608</v>
      </c>
      <c r="M60" s="22">
        <f>((Data!$AJ$41*'Intermediate calculations'!M59)+Data!$AK$41)</f>
        <v>14478358.098886751</v>
      </c>
      <c r="N60" s="22">
        <f>((Data!$AJ$41*'Intermediate calculations'!N59)+Data!$AK$41)</f>
        <v>13875323.313469701</v>
      </c>
      <c r="O60" s="22">
        <f>((Data!$AJ$41*'Intermediate calculations'!O59)+Data!$AK$41)</f>
        <v>14366512.624908183</v>
      </c>
      <c r="P60" s="22">
        <f>((Data!$AJ$41*'Intermediate calculations'!P59)+Data!$AK$41)</f>
        <v>14531030.755936412</v>
      </c>
      <c r="Q60" s="22">
        <f>((Data!$AJ$41*'Intermediate calculations'!Q59)+Data!$AK$41)</f>
        <v>15142801.084853152</v>
      </c>
      <c r="R60" s="22">
        <f>((Data!$AJ$41*'Intermediate calculations'!R59)+Data!$AK$41)</f>
        <v>16090687.662173694</v>
      </c>
      <c r="S60" s="22">
        <f>((Data!$AJ$41*'Intermediate calculations'!S59)+Data!$AK$41)</f>
        <v>17015869.455690674</v>
      </c>
      <c r="T60" s="22">
        <f>((Data!$AJ$41*'Intermediate calculations'!T59)+Data!$AK$41)</f>
        <v>17715208.839882039</v>
      </c>
      <c r="U60" s="22">
        <f>((Data!$AJ$41*'Intermediate calculations'!U59)+Data!$AK$41)</f>
        <v>17378291.51543678</v>
      </c>
      <c r="V60" s="22">
        <f>((Data!$AJ$41*'Intermediate calculations'!V59)+Data!$AK$41)</f>
        <v>17544762.746147033</v>
      </c>
      <c r="W60" s="22">
        <f>((Data!$AJ$41*'Intermediate calculations'!W59)+Data!$AK$41)</f>
        <v>18332785.062775426</v>
      </c>
      <c r="X60" s="22">
        <f>((Data!$AJ$41*'Intermediate calculations'!X59)+Data!$AK$41)</f>
        <v>18305640.028913509</v>
      </c>
      <c r="Y60" s="22">
        <f>((Data!$AJ$41*'Intermediate calculations'!Y59)+Data!$AK$41)</f>
        <v>18504600.656557959</v>
      </c>
      <c r="Z60" s="22">
        <f>((Data!$AJ$41*'Intermediate calculations'!Z59)+Data!$AK$41)</f>
        <v>18851718.457205907</v>
      </c>
      <c r="AA60" s="22">
        <f>((Data!$AJ$41*'Intermediate calculations'!AA59)+Data!$AK$41)</f>
        <v>19094480.803856894</v>
      </c>
      <c r="AB60" s="22">
        <f>((Data!$AJ$41*'Intermediate calculations'!AB59)+Data!$AK$41)</f>
        <v>19250749.301060826</v>
      </c>
      <c r="AC60" s="22">
        <f>((Data!$AJ$41*'Intermediate calculations'!AC59)+Data!$AK$41)</f>
        <v>19349996.851042576</v>
      </c>
      <c r="AD60" s="22">
        <f>((Data!$AJ$41*'Intermediate calculations'!AD59)+Data!$AK$41)</f>
        <v>19489469.703909285</v>
      </c>
      <c r="AE60" s="22">
        <f>((Data!$AJ$41*'Intermediate calculations'!AE59)+Data!$AK$41)</f>
        <v>19653550.358748574</v>
      </c>
      <c r="AF60" s="22">
        <f>((Data!$AJ$41*'Intermediate calculations'!AF59)+Data!$AK$41)</f>
        <v>19811652.36372228</v>
      </c>
      <c r="AG60" s="22">
        <f>((Data!$AJ$41*'Intermediate calculations'!AG59)+Data!$AK$41)</f>
        <v>18627471.485098206</v>
      </c>
      <c r="AH60" s="22">
        <f>((Data!$AJ$41*'Intermediate calculations'!AH59)+Data!$AK$41)</f>
        <v>18927714.086116791</v>
      </c>
      <c r="AI60" s="22">
        <f>((Data!$AJ$41*'Intermediate calculations'!AI59)+Data!$AK$41)</f>
        <v>19231458.527330764</v>
      </c>
      <c r="AJ60" s="22">
        <f>((Data!$AJ$41*'Intermediate calculations'!AJ59)+Data!$AK$41)</f>
        <v>19566891.329121679</v>
      </c>
      <c r="AK60" s="22">
        <f>((Data!$AJ$41*'Intermediate calculations'!AK59)+Data!$AK$41)</f>
        <v>19924107.158317588</v>
      </c>
      <c r="AL60" s="22">
        <f>((Data!$AJ$41*'Intermediate calculations'!AL59)+Data!$AK$41)</f>
        <v>20277891.906736337</v>
      </c>
      <c r="AM60" s="22">
        <f>((Data!$AJ$41*'Intermediate calculations'!AM59)+Data!$AK$41)</f>
        <v>20682644.294122688</v>
      </c>
      <c r="AN60" s="22">
        <f>((Data!$AJ$41*'Intermediate calculations'!AN59)+Data!$AK$41)</f>
        <v>21102341.042533822</v>
      </c>
      <c r="AO60" s="22">
        <f>((Data!$AJ$41*'Intermediate calculations'!AO59)+Data!$AK$41)</f>
        <v>21544555.570207447</v>
      </c>
      <c r="AP60" s="22">
        <f>((Data!$AJ$41*'Intermediate calculations'!AP59)+Data!$AK$41)</f>
        <v>22001328.743690118</v>
      </c>
      <c r="AQ60" s="22">
        <f>((Data!$AJ$41*'Intermediate calculations'!AQ59)+Data!$AK$41)</f>
        <v>22391777.363971002</v>
      </c>
      <c r="AR60" s="22">
        <f>((Data!$AJ$41*'Intermediate calculations'!AR59)+Data!$AK$41)</f>
        <v>22878529.98913639</v>
      </c>
      <c r="AS60" s="22">
        <f>((Data!$AJ$41*'Intermediate calculations'!AS59)+Data!$AK$41)</f>
        <v>23376143.409056947</v>
      </c>
      <c r="AT60" s="22">
        <f>((Data!$AJ$41*'Intermediate calculations'!AT59)+Data!$AK$41)</f>
        <v>23887708.793022841</v>
      </c>
      <c r="AU60" s="22">
        <f>((Data!$AJ$41*'Intermediate calculations'!AU59)+Data!$AK$41)</f>
        <v>24380245.751863629</v>
      </c>
      <c r="AV60" s="22">
        <f>((Data!$AJ$41*'Intermediate calculations'!AV59)+Data!$AK$41)</f>
        <v>24900091.713346303</v>
      </c>
      <c r="AW60" s="22">
        <f>((Data!$AJ$41*'Intermediate calculations'!AW59)+Data!$AK$41)</f>
        <v>25448078.684193522</v>
      </c>
      <c r="AX60" s="22">
        <f>((Data!$AJ$41*'Intermediate calculations'!AX59)+Data!$AK$41)</f>
        <v>26015368.700502492</v>
      </c>
      <c r="AY60" s="22">
        <f>((Data!$AJ$41*'Intermediate calculations'!AY59)+Data!$AK$41)</f>
        <v>26577747.790716507</v>
      </c>
      <c r="AZ60" s="22">
        <f>((Data!$AJ$41*'Intermediate calculations'!AZ59)+Data!$AK$41)</f>
        <v>27159704.989365935</v>
      </c>
      <c r="BA60" s="22">
        <f>((Data!$AJ$41*'Intermediate calculations'!BA59)+Data!$AK$41)</f>
        <v>27776257.41381041</v>
      </c>
      <c r="BB60" s="22">
        <f>((Data!$AJ$41*'Intermediate calculations'!BB59)+Data!$AK$41)</f>
        <v>28420727.629715487</v>
      </c>
      <c r="BC60" s="22">
        <f>((Data!$AJ$41*'Intermediate calculations'!BC59)+Data!$AK$41)</f>
        <v>29091118.384905875</v>
      </c>
      <c r="BD60" s="22">
        <f>((Data!$AJ$41*'Intermediate calculations'!BD59)+Data!$AK$41)</f>
        <v>29788624.620141514</v>
      </c>
      <c r="BE60" s="22">
        <f>((Data!$AJ$41*'Intermediate calculations'!BE59)+Data!$AK$41)</f>
        <v>30513609.471042722</v>
      </c>
      <c r="BF60" s="22">
        <f>((Data!$AJ$41*'Intermediate calculations'!BF59)+Data!$AK$41)</f>
        <v>31272323.598665401</v>
      </c>
      <c r="BG60" s="22">
        <f>((Data!$AJ$41*'Intermediate calculations'!BG59)+Data!$AK$41)</f>
        <v>31990493.250533827</v>
      </c>
      <c r="BH60" s="22">
        <f>((Data!$AJ$41*'Intermediate calculations'!BH59)+Data!$AK$41)</f>
        <v>32739373.887256809</v>
      </c>
      <c r="BI60" s="22">
        <f>((Data!$AJ$41*'Intermediate calculations'!BI59)+Data!$AK$41)</f>
        <v>33524865.599150486</v>
      </c>
      <c r="BJ60" s="22">
        <f>((Data!$AJ$41*'Intermediate calculations'!BJ59)+Data!$AK$41)</f>
        <v>34350225.918427415</v>
      </c>
      <c r="BK60" s="22">
        <f>((Data!$AJ$41*'Intermediate calculations'!BK59)+Data!$AK$41)</f>
        <v>35233578.814922594</v>
      </c>
    </row>
    <row r="61" spans="1:63" x14ac:dyDescent="0.25">
      <c r="A61" t="s">
        <v>367</v>
      </c>
      <c r="B61" t="s">
        <v>361</v>
      </c>
      <c r="C61" s="22">
        <f>((Data!$AJ$42*LN('Intermediate calculations'!C60))+Data!$AK$42)</f>
        <v>3291216.8411945887</v>
      </c>
      <c r="D61" s="22">
        <f>((Data!$AJ$42*LN('Intermediate calculations'!D60))+Data!$AK$42)</f>
        <v>3319070.3486274015</v>
      </c>
      <c r="E61" s="22">
        <f>((Data!$AJ$42*LN('Intermediate calculations'!E60))+Data!$AK$42)</f>
        <v>3319731.3767311443</v>
      </c>
      <c r="F61" s="22">
        <f>((Data!$AJ$42*LN('Intermediate calculations'!F60))+Data!$AK$42)</f>
        <v>3307659.5145521946</v>
      </c>
      <c r="G61" s="22">
        <f>((Data!$AJ$42*LN('Intermediate calculations'!G60))+Data!$AK$42)</f>
        <v>3274207.49275437</v>
      </c>
      <c r="H61" s="22">
        <f>((Data!$AJ$42*LN('Intermediate calculations'!H60))+Data!$AK$42)</f>
        <v>3256165.8317827508</v>
      </c>
      <c r="I61" s="22">
        <f>((Data!$AJ$42*LN('Intermediate calculations'!I60))+Data!$AK$42)</f>
        <v>3276213.4544376917</v>
      </c>
      <c r="J61" s="22">
        <f>((Data!$AJ$42*LN('Intermediate calculations'!J60))+Data!$AK$42)</f>
        <v>3280674.0371948611</v>
      </c>
      <c r="K61" s="22">
        <f>((Data!$AJ$42*LN('Intermediate calculations'!K60))+Data!$AK$42)</f>
        <v>3284669.6459477041</v>
      </c>
      <c r="L61" s="22">
        <f>((Data!$AJ$42*LN('Intermediate calculations'!L60))+Data!$AK$42)</f>
        <v>3297089.8418645374</v>
      </c>
      <c r="M61" s="22">
        <f>((Data!$AJ$42*LN('Intermediate calculations'!M60))+Data!$AK$42)</f>
        <v>3326557.9619940948</v>
      </c>
      <c r="N61" s="22">
        <f>((Data!$AJ$42*LN('Intermediate calculations'!N60))+Data!$AK$42)</f>
        <v>3293777.5166018195</v>
      </c>
      <c r="O61" s="22">
        <f>((Data!$AJ$42*LN('Intermediate calculations'!O60))+Data!$AK$42)</f>
        <v>3320582.5419616979</v>
      </c>
      <c r="P61" s="22">
        <f>((Data!$AJ$42*LN('Intermediate calculations'!P60))+Data!$AK$42)</f>
        <v>3329356.0641698465</v>
      </c>
      <c r="Q61" s="22">
        <f>((Data!$AJ$42*LN('Intermediate calculations'!Q60))+Data!$AK$42)</f>
        <v>3361131.5914097354</v>
      </c>
      <c r="R61" s="22">
        <f>((Data!$AJ$42*LN('Intermediate calculations'!R60))+Data!$AK$42)</f>
        <v>3407914.3370274547</v>
      </c>
      <c r="S61" s="22">
        <f>((Data!$AJ$42*LN('Intermediate calculations'!S60))+Data!$AK$42)</f>
        <v>3450991.0539786909</v>
      </c>
      <c r="T61" s="22">
        <f>((Data!$AJ$42*LN('Intermediate calculations'!T60))+Data!$AK$42)</f>
        <v>3482025.5623515509</v>
      </c>
      <c r="U61" s="22">
        <f>((Data!$AJ$42*LN('Intermediate calculations'!U60))+Data!$AK$42)</f>
        <v>3467230.1714797169</v>
      </c>
      <c r="V61" s="22">
        <f>((Data!$AJ$42*LN('Intermediate calculations'!V60))+Data!$AK$42)</f>
        <v>3474576.1001284774</v>
      </c>
      <c r="W61" s="22">
        <f>((Data!$AJ$42*LN('Intermediate calculations'!W60))+Data!$AK$42)</f>
        <v>3508429.4822034501</v>
      </c>
      <c r="X61" s="22">
        <f>((Data!$AJ$42*LN('Intermediate calculations'!X60))+Data!$AK$42)</f>
        <v>3507287.7345839478</v>
      </c>
      <c r="Y61" s="22">
        <f>((Data!$AJ$42*LN('Intermediate calculations'!Y60))+Data!$AK$42)</f>
        <v>3515617.2389317304</v>
      </c>
      <c r="Z61" s="22">
        <f>((Data!$AJ$42*LN('Intermediate calculations'!Z60))+Data!$AK$42)</f>
        <v>3529937.1972337775</v>
      </c>
      <c r="AA61" s="22">
        <f>((Data!$AJ$42*LN('Intermediate calculations'!AA60))+Data!$AK$42)</f>
        <v>3539796.2550597806</v>
      </c>
      <c r="AB61" s="22">
        <f>((Data!$AJ$42*LN('Intermediate calculations'!AB60))+Data!$AK$42)</f>
        <v>3546076.5340432245</v>
      </c>
      <c r="AC61" s="22">
        <f>((Data!$AJ$42*LN('Intermediate calculations'!AC60))+Data!$AK$42)</f>
        <v>3550038.7806002889</v>
      </c>
      <c r="AD61" s="22">
        <f>((Data!$AJ$42*LN('Intermediate calculations'!AD60))+Data!$AK$42)</f>
        <v>3555572.724338321</v>
      </c>
      <c r="AE61" s="22">
        <f>((Data!$AJ$42*LN('Intermediate calculations'!AE60))+Data!$AK$42)</f>
        <v>3562032.5684638266</v>
      </c>
      <c r="AF61" s="22">
        <f>((Data!$AJ$42*LN('Intermediate calculations'!AF60))+Data!$AK$42)</f>
        <v>3568206.2156633344</v>
      </c>
      <c r="AG61" s="22">
        <f>((Data!$AJ$42*LN('Intermediate calculations'!AG60))+Data!$AK$42)</f>
        <v>3520716.6219241023</v>
      </c>
      <c r="AH61" s="22">
        <f>((Data!$AJ$42*LN('Intermediate calculations'!AH60))+Data!$AK$42)</f>
        <v>3533037.1152882241</v>
      </c>
      <c r="AI61" s="22">
        <f>((Data!$AJ$42*LN('Intermediate calculations'!AI60))+Data!$AK$42)</f>
        <v>3545304.0204190724</v>
      </c>
      <c r="AJ61" s="22">
        <f>((Data!$AJ$42*LN('Intermediate calculations'!AJ60))+Data!$AK$42)</f>
        <v>3558627.5576701295</v>
      </c>
      <c r="AK61" s="22">
        <f>((Data!$AJ$42*LN('Intermediate calculations'!AK60))+Data!$AK$42)</f>
        <v>3572567.4965905957</v>
      </c>
      <c r="AL61" s="22">
        <f>((Data!$AJ$42*LN('Intermediate calculations'!AL60))+Data!$AK$42)</f>
        <v>3586129.3521209899</v>
      </c>
      <c r="AM61" s="22">
        <f>((Data!$AJ$42*LN('Intermediate calculations'!AM60))+Data!$AK$42)</f>
        <v>3601357.7553091105</v>
      </c>
      <c r="AN61" s="22">
        <f>((Data!$AJ$42*LN('Intermediate calculations'!AN60))+Data!$AK$42)</f>
        <v>3616836.8800676391</v>
      </c>
      <c r="AO61" s="22">
        <f>((Data!$AJ$42*LN('Intermediate calculations'!AO60))+Data!$AK$42)</f>
        <v>3632816.9098103661</v>
      </c>
      <c r="AP61" s="22">
        <f>((Data!$AJ$42*LN('Intermediate calculations'!AP60))+Data!$AK$42)</f>
        <v>3648982.2872415613</v>
      </c>
      <c r="AQ61" s="22">
        <f>((Data!$AJ$42*LN('Intermediate calculations'!AQ60))+Data!$AK$42)</f>
        <v>3662536.5532071777</v>
      </c>
      <c r="AR61" s="22">
        <f>((Data!$AJ$42*LN('Intermediate calculations'!AR60))+Data!$AK$42)</f>
        <v>3679106.7642989531</v>
      </c>
      <c r="AS61" s="22">
        <f>((Data!$AJ$42*LN('Intermediate calculations'!AS60))+Data!$AK$42)</f>
        <v>3695686.1969787367</v>
      </c>
      <c r="AT61" s="22">
        <f>((Data!$AJ$42*LN('Intermediate calculations'!AT60))+Data!$AK$42)</f>
        <v>3712366.5577206537</v>
      </c>
      <c r="AU61" s="22">
        <f>((Data!$AJ$42*LN('Intermediate calculations'!AU60))+Data!$AK$42)</f>
        <v>3728092.3106716257</v>
      </c>
      <c r="AV61" s="22">
        <f>((Data!$AJ$42*LN('Intermediate calculations'!AV60))+Data!$AK$42)</f>
        <v>3744349.0542546511</v>
      </c>
      <c r="AW61" s="22">
        <f>((Data!$AJ$42*LN('Intermediate calculations'!AW60))+Data!$AK$42)</f>
        <v>3761122.4167910554</v>
      </c>
      <c r="AX61" s="22">
        <f>((Data!$AJ$42*LN('Intermediate calculations'!AX60))+Data!$AK$42)</f>
        <v>3778110.3404880594</v>
      </c>
      <c r="AY61" s="22">
        <f>((Data!$AJ$42*LN('Intermediate calculations'!AY60))+Data!$AK$42)</f>
        <v>3794589.4316595942</v>
      </c>
      <c r="AZ61" s="22">
        <f>((Data!$AJ$42*LN('Intermediate calculations'!AZ60))+Data!$AK$42)</f>
        <v>3811279.0879160985</v>
      </c>
      <c r="BA61" s="22">
        <f>((Data!$AJ$42*LN('Intermediate calculations'!BA60))+Data!$AK$42)</f>
        <v>3828575.1785653625</v>
      </c>
      <c r="BB61" s="22">
        <f>((Data!$AJ$42*LN('Intermediate calculations'!BB60))+Data!$AK$42)</f>
        <v>3846248.7906987332</v>
      </c>
      <c r="BC61" s="22">
        <f>((Data!$AJ$42*LN('Intermediate calculations'!BC60))+Data!$AK$42)</f>
        <v>3864212.946987683</v>
      </c>
      <c r="BD61" s="22">
        <f>((Data!$AJ$42*LN('Intermediate calculations'!BD60))+Data!$AK$42)</f>
        <v>3882469.507038977</v>
      </c>
      <c r="BE61" s="22">
        <f>((Data!$AJ$42*LN('Intermediate calculations'!BE60))+Data!$AK$42)</f>
        <v>3900997.69296032</v>
      </c>
      <c r="BF61" s="22">
        <f>((Data!$AJ$42*LN('Intermediate calculations'!BF60))+Data!$AK$42)</f>
        <v>3919922.2985376902</v>
      </c>
      <c r="BG61" s="22">
        <f>((Data!$AJ$42*LN('Intermediate calculations'!BG60))+Data!$AK$42)</f>
        <v>3937417.2855871152</v>
      </c>
      <c r="BH61" s="22">
        <f>((Data!$AJ$42*LN('Intermediate calculations'!BH60))+Data!$AK$42)</f>
        <v>3955246.9721445516</v>
      </c>
      <c r="BI61" s="22">
        <f>((Data!$AJ$42*LN('Intermediate calculations'!BI60))+Data!$AK$42)</f>
        <v>3973515.3159673344</v>
      </c>
      <c r="BJ61" s="22">
        <f>((Data!$AJ$42*LN('Intermediate calculations'!BJ60))+Data!$AK$42)</f>
        <v>3992255.377355203</v>
      </c>
      <c r="BK61" s="22">
        <f>((Data!$AJ$42*LN('Intermediate calculations'!BK60))+Data!$AK$42)</f>
        <v>4011819.7462136354</v>
      </c>
    </row>
    <row r="62" spans="1:63" s="52" customFormat="1" x14ac:dyDescent="0.25">
      <c r="A62" s="42" t="s">
        <v>875</v>
      </c>
    </row>
    <row r="63" spans="1:63" x14ac:dyDescent="0.25">
      <c r="A63" t="s">
        <v>848</v>
      </c>
      <c r="B63" t="s">
        <v>327</v>
      </c>
      <c r="Y63" s="22">
        <f>'Levers &amp; variables'!G6</f>
        <v>0.7</v>
      </c>
      <c r="Z63" s="22">
        <f t="shared" ref="Z63:AF63" si="50">Y63+(($AG63-$Y63)/8)</f>
        <v>0.70499999999999996</v>
      </c>
      <c r="AA63" s="22">
        <f t="shared" si="50"/>
        <v>0.71</v>
      </c>
      <c r="AB63" s="22">
        <f t="shared" si="50"/>
        <v>0.71499999999999997</v>
      </c>
      <c r="AC63" s="22">
        <f t="shared" si="50"/>
        <v>0.72</v>
      </c>
      <c r="AD63" s="22">
        <f t="shared" si="50"/>
        <v>0.72499999999999998</v>
      </c>
      <c r="AE63" s="22">
        <f t="shared" si="50"/>
        <v>0.73</v>
      </c>
      <c r="AF63" s="22">
        <f t="shared" si="50"/>
        <v>0.73499999999999999</v>
      </c>
      <c r="AG63" s="22">
        <f>'Levers &amp; variables'!H6</f>
        <v>0.74</v>
      </c>
      <c r="AH63" s="22">
        <f t="shared" ref="AH63:AP63" si="51">AG63+(($AQ63-$AG63)/10)</f>
        <v>0.74199999999999999</v>
      </c>
      <c r="AI63" s="22">
        <f t="shared" si="51"/>
        <v>0.74399999999999999</v>
      </c>
      <c r="AJ63" s="22">
        <f t="shared" si="51"/>
        <v>0.746</v>
      </c>
      <c r="AK63" s="22">
        <f t="shared" si="51"/>
        <v>0.748</v>
      </c>
      <c r="AL63" s="22">
        <f t="shared" si="51"/>
        <v>0.75</v>
      </c>
      <c r="AM63" s="22">
        <f t="shared" si="51"/>
        <v>0.752</v>
      </c>
      <c r="AN63" s="22">
        <f t="shared" si="51"/>
        <v>0.754</v>
      </c>
      <c r="AO63" s="22">
        <f t="shared" si="51"/>
        <v>0.75600000000000001</v>
      </c>
      <c r="AP63" s="22">
        <f t="shared" si="51"/>
        <v>0.75800000000000001</v>
      </c>
      <c r="AQ63" s="22">
        <f>'Levers &amp; variables'!I6</f>
        <v>0.76</v>
      </c>
      <c r="AR63" s="22">
        <f t="shared" ref="AR63:AZ63" si="52">AQ63+(($BA63-$AQ63)/10)</f>
        <v>0.76400000000000001</v>
      </c>
      <c r="AS63" s="22">
        <f t="shared" si="52"/>
        <v>0.76800000000000002</v>
      </c>
      <c r="AT63" s="22">
        <f t="shared" si="52"/>
        <v>0.77200000000000002</v>
      </c>
      <c r="AU63" s="22">
        <f t="shared" si="52"/>
        <v>0.77600000000000002</v>
      </c>
      <c r="AV63" s="22">
        <f t="shared" si="52"/>
        <v>0.78</v>
      </c>
      <c r="AW63" s="22">
        <f t="shared" si="52"/>
        <v>0.78400000000000003</v>
      </c>
      <c r="AX63" s="22">
        <f t="shared" si="52"/>
        <v>0.78800000000000003</v>
      </c>
      <c r="AY63" s="22">
        <f t="shared" si="52"/>
        <v>0.79200000000000004</v>
      </c>
      <c r="AZ63" s="22">
        <f t="shared" si="52"/>
        <v>0.79600000000000004</v>
      </c>
      <c r="BA63" s="22">
        <f>'Levers &amp; variables'!J6</f>
        <v>0.8</v>
      </c>
      <c r="BB63" s="22">
        <f t="shared" ref="BB63:BJ63" si="53">BA63+(($BK63-$BA63)/10)</f>
        <v>0.80300000000000005</v>
      </c>
      <c r="BC63" s="22">
        <f t="shared" si="53"/>
        <v>0.80600000000000005</v>
      </c>
      <c r="BD63" s="22">
        <f t="shared" si="53"/>
        <v>0.80900000000000005</v>
      </c>
      <c r="BE63" s="22">
        <f t="shared" si="53"/>
        <v>0.81200000000000006</v>
      </c>
      <c r="BF63" s="22">
        <f t="shared" si="53"/>
        <v>0.81500000000000006</v>
      </c>
      <c r="BG63" s="22">
        <f t="shared" si="53"/>
        <v>0.81800000000000006</v>
      </c>
      <c r="BH63" s="22">
        <f t="shared" si="53"/>
        <v>0.82100000000000006</v>
      </c>
      <c r="BI63" s="22">
        <f t="shared" si="53"/>
        <v>0.82400000000000007</v>
      </c>
      <c r="BJ63" s="22">
        <f t="shared" si="53"/>
        <v>0.82700000000000007</v>
      </c>
      <c r="BK63" s="22">
        <f>'Levers &amp; variables'!K6</f>
        <v>0.83</v>
      </c>
    </row>
    <row r="64" spans="1:63" x14ac:dyDescent="0.25">
      <c r="A64" t="s">
        <v>849</v>
      </c>
      <c r="B64" t="s">
        <v>815</v>
      </c>
      <c r="Y64" s="22">
        <f>'Levers &amp; variables'!G7</f>
        <v>0.57999999999999996</v>
      </c>
      <c r="Z64" s="22">
        <f t="shared" ref="Z64:AF64" si="54">Y64+(($AG64-$Y64)/8)</f>
        <v>0.57999999999999996</v>
      </c>
      <c r="AA64" s="22">
        <f t="shared" si="54"/>
        <v>0.57999999999999996</v>
      </c>
      <c r="AB64" s="22">
        <f t="shared" si="54"/>
        <v>0.57999999999999996</v>
      </c>
      <c r="AC64" s="22">
        <f t="shared" si="54"/>
        <v>0.57999999999999996</v>
      </c>
      <c r="AD64" s="22">
        <f t="shared" si="54"/>
        <v>0.57999999999999996</v>
      </c>
      <c r="AE64" s="22">
        <f t="shared" si="54"/>
        <v>0.57999999999999996</v>
      </c>
      <c r="AF64" s="22">
        <f t="shared" si="54"/>
        <v>0.57999999999999996</v>
      </c>
      <c r="AG64" s="22">
        <f>'Levers &amp; variables'!H7</f>
        <v>0.57999999999999996</v>
      </c>
      <c r="AH64" s="22">
        <f t="shared" ref="AH64:AP64" si="55">AG64+(($AQ64-$AG64)/10)</f>
        <v>0.57999999999999996</v>
      </c>
      <c r="AI64" s="22">
        <f t="shared" si="55"/>
        <v>0.57999999999999996</v>
      </c>
      <c r="AJ64" s="22">
        <f t="shared" si="55"/>
        <v>0.57999999999999996</v>
      </c>
      <c r="AK64" s="22">
        <f t="shared" si="55"/>
        <v>0.57999999999999996</v>
      </c>
      <c r="AL64" s="22">
        <f t="shared" si="55"/>
        <v>0.57999999999999996</v>
      </c>
      <c r="AM64" s="22">
        <f t="shared" si="55"/>
        <v>0.57999999999999996</v>
      </c>
      <c r="AN64" s="22">
        <f t="shared" si="55"/>
        <v>0.57999999999999996</v>
      </c>
      <c r="AO64" s="22">
        <f t="shared" si="55"/>
        <v>0.57999999999999996</v>
      </c>
      <c r="AP64" s="22">
        <f t="shared" si="55"/>
        <v>0.57999999999999996</v>
      </c>
      <c r="AQ64" s="22">
        <f>'Levers &amp; variables'!I7</f>
        <v>0.57999999999999996</v>
      </c>
      <c r="AR64" s="22">
        <f t="shared" ref="AR64:AZ64" si="56">AQ64+(($BA64-$AQ64)/10)</f>
        <v>0.57999999999999996</v>
      </c>
      <c r="AS64" s="22">
        <f t="shared" si="56"/>
        <v>0.57999999999999996</v>
      </c>
      <c r="AT64" s="22">
        <f t="shared" si="56"/>
        <v>0.57999999999999996</v>
      </c>
      <c r="AU64" s="22">
        <f t="shared" si="56"/>
        <v>0.57999999999999996</v>
      </c>
      <c r="AV64" s="22">
        <f t="shared" si="56"/>
        <v>0.57999999999999996</v>
      </c>
      <c r="AW64" s="22">
        <f t="shared" si="56"/>
        <v>0.57999999999999996</v>
      </c>
      <c r="AX64" s="22">
        <f t="shared" si="56"/>
        <v>0.57999999999999996</v>
      </c>
      <c r="AY64" s="22">
        <f t="shared" si="56"/>
        <v>0.57999999999999996</v>
      </c>
      <c r="AZ64" s="22">
        <f t="shared" si="56"/>
        <v>0.57999999999999996</v>
      </c>
      <c r="BA64" s="22">
        <f>'Levers &amp; variables'!J7</f>
        <v>0.57999999999999996</v>
      </c>
      <c r="BB64" s="22">
        <f t="shared" ref="BB64:BJ64" si="57">BA64+(($BK64-$BA64)/10)</f>
        <v>0.57999999999999996</v>
      </c>
      <c r="BC64" s="22">
        <f t="shared" si="57"/>
        <v>0.57999999999999996</v>
      </c>
      <c r="BD64" s="22">
        <f t="shared" si="57"/>
        <v>0.57999999999999996</v>
      </c>
      <c r="BE64" s="22">
        <f t="shared" si="57"/>
        <v>0.57999999999999996</v>
      </c>
      <c r="BF64" s="22">
        <f t="shared" si="57"/>
        <v>0.57999999999999996</v>
      </c>
      <c r="BG64" s="22">
        <f t="shared" si="57"/>
        <v>0.57999999999999996</v>
      </c>
      <c r="BH64" s="22">
        <f t="shared" si="57"/>
        <v>0.57999999999999996</v>
      </c>
      <c r="BI64" s="22">
        <f t="shared" si="57"/>
        <v>0.57999999999999996</v>
      </c>
      <c r="BJ64" s="22">
        <f t="shared" si="57"/>
        <v>0.57999999999999996</v>
      </c>
      <c r="BK64" s="22">
        <f>'Levers &amp; variables'!K7</f>
        <v>0.57999999999999996</v>
      </c>
    </row>
    <row r="65" spans="1:63" x14ac:dyDescent="0.25">
      <c r="A65" t="s">
        <v>850</v>
      </c>
      <c r="B65" t="s">
        <v>851</v>
      </c>
      <c r="Y65" s="22">
        <f>'Levers &amp; variables'!G8</f>
        <v>120</v>
      </c>
      <c r="Z65" s="22">
        <f t="shared" ref="Z65:AF65" si="58">Y65+(($AG65-$Y65)/8)</f>
        <v>120</v>
      </c>
      <c r="AA65" s="22">
        <f t="shared" si="58"/>
        <v>120</v>
      </c>
      <c r="AB65" s="22">
        <f t="shared" si="58"/>
        <v>120</v>
      </c>
      <c r="AC65" s="22">
        <f t="shared" si="58"/>
        <v>120</v>
      </c>
      <c r="AD65" s="22">
        <f t="shared" si="58"/>
        <v>120</v>
      </c>
      <c r="AE65" s="22">
        <f t="shared" si="58"/>
        <v>120</v>
      </c>
      <c r="AF65" s="22">
        <f t="shared" si="58"/>
        <v>120</v>
      </c>
      <c r="AG65" s="22">
        <f>'Levers &amp; variables'!H8</f>
        <v>120</v>
      </c>
      <c r="AH65" s="22">
        <f t="shared" ref="AH65:AP65" si="59">AG65+(($AQ65-$AG65)/10)</f>
        <v>120</v>
      </c>
      <c r="AI65" s="22">
        <f t="shared" si="59"/>
        <v>120</v>
      </c>
      <c r="AJ65" s="22">
        <f t="shared" si="59"/>
        <v>120</v>
      </c>
      <c r="AK65" s="22">
        <f t="shared" si="59"/>
        <v>120</v>
      </c>
      <c r="AL65" s="22">
        <f t="shared" si="59"/>
        <v>120</v>
      </c>
      <c r="AM65" s="22">
        <f t="shared" si="59"/>
        <v>120</v>
      </c>
      <c r="AN65" s="22">
        <f t="shared" si="59"/>
        <v>120</v>
      </c>
      <c r="AO65" s="22">
        <f t="shared" si="59"/>
        <v>120</v>
      </c>
      <c r="AP65" s="22">
        <f t="shared" si="59"/>
        <v>120</v>
      </c>
      <c r="AQ65" s="22">
        <f>'Levers &amp; variables'!I8</f>
        <v>120</v>
      </c>
      <c r="AR65" s="22">
        <f t="shared" ref="AR65:AZ65" si="60">AQ65+(($BA65-$AQ65)/10)</f>
        <v>120</v>
      </c>
      <c r="AS65" s="22">
        <f t="shared" si="60"/>
        <v>120</v>
      </c>
      <c r="AT65" s="22">
        <f t="shared" si="60"/>
        <v>120</v>
      </c>
      <c r="AU65" s="22">
        <f t="shared" si="60"/>
        <v>120</v>
      </c>
      <c r="AV65" s="22">
        <f t="shared" si="60"/>
        <v>120</v>
      </c>
      <c r="AW65" s="22">
        <f t="shared" si="60"/>
        <v>120</v>
      </c>
      <c r="AX65" s="22">
        <f t="shared" si="60"/>
        <v>120</v>
      </c>
      <c r="AY65" s="22">
        <f t="shared" si="60"/>
        <v>120</v>
      </c>
      <c r="AZ65" s="22">
        <f t="shared" si="60"/>
        <v>120</v>
      </c>
      <c r="BA65" s="22">
        <f>'Levers &amp; variables'!J8</f>
        <v>120</v>
      </c>
      <c r="BB65" s="22">
        <f t="shared" ref="BB65:BJ65" si="61">BA65+(($BK65-$BA65)/10)</f>
        <v>120</v>
      </c>
      <c r="BC65" s="22">
        <f t="shared" si="61"/>
        <v>120</v>
      </c>
      <c r="BD65" s="22">
        <f t="shared" si="61"/>
        <v>120</v>
      </c>
      <c r="BE65" s="22">
        <f t="shared" si="61"/>
        <v>120</v>
      </c>
      <c r="BF65" s="22">
        <f t="shared" si="61"/>
        <v>120</v>
      </c>
      <c r="BG65" s="22">
        <f t="shared" si="61"/>
        <v>120</v>
      </c>
      <c r="BH65" s="22">
        <f t="shared" si="61"/>
        <v>120</v>
      </c>
      <c r="BI65" s="22">
        <f t="shared" si="61"/>
        <v>120</v>
      </c>
      <c r="BJ65" s="22">
        <f t="shared" si="61"/>
        <v>120</v>
      </c>
      <c r="BK65" s="22">
        <f>'Levers &amp; variables'!K8</f>
        <v>120</v>
      </c>
    </row>
  </sheetData>
  <pageMargins left="0.7" right="0.7" top="0.75" bottom="0.75" header="0.3" footer="0.3"/>
  <pageSetup paperSize="9" orientation="portrait" r:id="rId1"/>
  <extLst>
    <ext xmlns:x14="http://schemas.microsoft.com/office/spreadsheetml/2009/9/main" uri="{05C60535-1F16-4fd2-B633-F4F36F0B64E0}">
      <x14:sparklineGroups xmlns:xm="http://schemas.microsoft.com/office/excel/2006/main">
        <x14:sparklineGroup displayEmptyCellsAs="gap" xr2:uid="{00000000-0003-0000-0900-000001000000}">
          <x14:colorSeries rgb="FF376092"/>
          <x14:colorNegative rgb="FFD00000"/>
          <x14:colorAxis rgb="FF000000"/>
          <x14:colorMarkers rgb="FFD00000"/>
          <x14:colorFirst rgb="FFD00000"/>
          <x14:colorLast rgb="FFD00000"/>
          <x14:colorHigh rgb="FFD00000"/>
          <x14:colorLow rgb="FFD00000"/>
          <x14:sparklines>
            <x14:sparkline>
              <xm:f>'Intermediate calculations'!C5:BK5</xm:f>
              <xm:sqref>BM5</xm:sqref>
            </x14:sparkline>
            <x14:sparkline>
              <xm:f>'Intermediate calculations'!C6:BK6</xm:f>
              <xm:sqref>BM6</xm:sqref>
            </x14:sparkline>
            <x14:sparkline>
              <xm:f>'Intermediate calculations'!C7:BK7</xm:f>
              <xm:sqref>BM7</xm:sqref>
            </x14:sparkline>
            <x14:sparkline>
              <xm:f>'Intermediate calculations'!C8:BK8</xm:f>
              <xm:sqref>BM8</xm:sqref>
            </x14:sparkline>
            <x14:sparkline>
              <xm:f>'Intermediate calculations'!C9:BK9</xm:f>
              <xm:sqref>BM9</xm:sqref>
            </x14:sparkline>
            <x14:sparkline>
              <xm:f>'Intermediate calculations'!C10:BK10</xm:f>
              <xm:sqref>BM10</xm:sqref>
            </x14:sparkline>
            <x14:sparkline>
              <xm:f>'Intermediate calculations'!C11:BK11</xm:f>
              <xm:sqref>BM11</xm:sqref>
            </x14:sparkline>
          </x14:sparklines>
        </x14:sparklineGroup>
      </x14:sparklineGroup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499984740745262"/>
  </sheetPr>
  <dimension ref="A1:AK70"/>
  <sheetViews>
    <sheetView workbookViewId="0">
      <pane xSplit="2" ySplit="3" topLeftCell="R29" activePane="bottomRight" state="frozen"/>
      <selection pane="topRight" activeCell="C1" sqref="C1"/>
      <selection pane="bottomLeft" activeCell="A4" sqref="A4"/>
      <selection pane="bottomRight" activeCell="C54" sqref="C54:AD54"/>
    </sheetView>
  </sheetViews>
  <sheetFormatPr defaultRowHeight="15" outlineLevelCol="1" x14ac:dyDescent="0.25"/>
  <cols>
    <col min="1" max="1" width="29.5703125" customWidth="1"/>
    <col min="2" max="2" width="12.85546875" customWidth="1"/>
    <col min="3" max="22" width="12.7109375" customWidth="1" outlineLevel="1"/>
    <col min="23" max="29" width="12.7109375" customWidth="1"/>
    <col min="30" max="34" width="13.85546875" customWidth="1"/>
    <col min="36" max="36" width="12.7109375" bestFit="1" customWidth="1"/>
    <col min="37" max="37" width="11.7109375" bestFit="1" customWidth="1"/>
  </cols>
  <sheetData>
    <row r="1" spans="1:37" ht="18.75" x14ac:dyDescent="0.3">
      <c r="A1" s="1" t="s">
        <v>806</v>
      </c>
    </row>
    <row r="2" spans="1:37" x14ac:dyDescent="0.25">
      <c r="K2">
        <v>1</v>
      </c>
      <c r="L2">
        <v>2</v>
      </c>
      <c r="M2">
        <v>3</v>
      </c>
      <c r="N2">
        <v>4</v>
      </c>
      <c r="O2">
        <v>5</v>
      </c>
      <c r="P2">
        <v>6</v>
      </c>
      <c r="Q2">
        <v>7</v>
      </c>
      <c r="R2">
        <v>8</v>
      </c>
      <c r="S2">
        <v>9</v>
      </c>
      <c r="T2">
        <v>10</v>
      </c>
      <c r="U2">
        <v>11</v>
      </c>
      <c r="V2">
        <v>12</v>
      </c>
      <c r="W2">
        <v>13</v>
      </c>
      <c r="X2">
        <v>14</v>
      </c>
      <c r="Y2">
        <v>15</v>
      </c>
      <c r="Z2">
        <v>16</v>
      </c>
      <c r="AA2">
        <v>17</v>
      </c>
      <c r="AB2">
        <v>18</v>
      </c>
      <c r="AC2">
        <v>19</v>
      </c>
      <c r="AD2">
        <v>20</v>
      </c>
    </row>
    <row r="3" spans="1:37" s="19" customFormat="1" ht="29.25" customHeight="1" x14ac:dyDescent="0.25">
      <c r="A3" s="17" t="s">
        <v>325</v>
      </c>
      <c r="B3" s="17" t="s">
        <v>0</v>
      </c>
      <c r="C3" s="17">
        <v>1990</v>
      </c>
      <c r="D3" s="17">
        <v>1991</v>
      </c>
      <c r="E3" s="17">
        <v>1992</v>
      </c>
      <c r="F3" s="17">
        <v>1993</v>
      </c>
      <c r="G3" s="17">
        <v>1994</v>
      </c>
      <c r="H3" s="17">
        <v>1995</v>
      </c>
      <c r="I3" s="17">
        <v>1996</v>
      </c>
      <c r="J3" s="17">
        <v>1997</v>
      </c>
      <c r="K3" s="17">
        <v>1998</v>
      </c>
      <c r="L3" s="17">
        <v>1999</v>
      </c>
      <c r="M3" s="17">
        <v>2000</v>
      </c>
      <c r="N3" s="17">
        <v>2001</v>
      </c>
      <c r="O3" s="17">
        <v>2002</v>
      </c>
      <c r="P3" s="17">
        <v>2003</v>
      </c>
      <c r="Q3" s="17">
        <v>2004</v>
      </c>
      <c r="R3" s="17">
        <v>2005</v>
      </c>
      <c r="S3" s="17">
        <v>2006</v>
      </c>
      <c r="T3" s="17">
        <v>2007</v>
      </c>
      <c r="U3" s="17">
        <v>2008</v>
      </c>
      <c r="V3" s="17">
        <v>2009</v>
      </c>
      <c r="W3" s="17">
        <v>2010</v>
      </c>
      <c r="X3" s="17">
        <v>2011</v>
      </c>
      <c r="Y3" s="17">
        <v>2012</v>
      </c>
      <c r="Z3" s="17">
        <v>2013</v>
      </c>
      <c r="AA3" s="17">
        <v>2014</v>
      </c>
      <c r="AB3" s="17">
        <v>2015</v>
      </c>
      <c r="AC3" s="17">
        <v>2016</v>
      </c>
      <c r="AD3" s="17">
        <v>2017</v>
      </c>
      <c r="AE3" s="17">
        <v>2020</v>
      </c>
      <c r="AF3" s="17">
        <v>2030</v>
      </c>
      <c r="AG3" s="17">
        <v>2040</v>
      </c>
      <c r="AH3" s="17">
        <v>2050</v>
      </c>
      <c r="AJ3" s="19" t="s">
        <v>447</v>
      </c>
      <c r="AK3" s="19" t="s">
        <v>448</v>
      </c>
    </row>
    <row r="4" spans="1:37" x14ac:dyDescent="0.25">
      <c r="A4" s="23" t="str">
        <f>'Intermediate calculations'!A4</f>
        <v>Wealth (GDP)</v>
      </c>
      <c r="B4" t="str">
        <f>'Intermediate calculations'!B4</f>
        <v>GDP/capita</v>
      </c>
      <c r="C4">
        <f>'Intermediate calculations'!C4</f>
        <v>37.860001946084395</v>
      </c>
      <c r="D4">
        <f>'Intermediate calculations'!D4</f>
        <v>38.046270180575107</v>
      </c>
      <c r="E4">
        <f>'Intermediate calculations'!E4</f>
        <v>38.221300247651563</v>
      </c>
      <c r="F4">
        <f>'Intermediate calculations'!F4</f>
        <v>38.413242330378139</v>
      </c>
      <c r="G4">
        <f>'Intermediate calculations'!G4</f>
        <v>38.658228667598905</v>
      </c>
      <c r="H4">
        <f>'Intermediate calculations'!H4</f>
        <v>38.980310401542859</v>
      </c>
      <c r="I4">
        <f>'Intermediate calculations'!I4</f>
        <v>39.843180228874438</v>
      </c>
      <c r="J4">
        <f>'Intermediate calculations'!J4</f>
        <v>40.169263215970403</v>
      </c>
      <c r="K4">
        <f>'Intermediate calculations'!K4</f>
        <v>39.807053443355009</v>
      </c>
      <c r="L4">
        <f>'Intermediate calculations'!L4</f>
        <v>40.276725690374732</v>
      </c>
      <c r="M4">
        <f>'Intermediate calculations'!M4</f>
        <v>41.460575055647659</v>
      </c>
      <c r="N4">
        <f>'Intermediate calculations'!N4</f>
        <v>42.097885096656867</v>
      </c>
      <c r="O4">
        <f>'Intermediate calculations'!O4</f>
        <v>43.14895311609127</v>
      </c>
      <c r="P4">
        <f>'Intermediate calculations'!P4</f>
        <v>43.894922366906613</v>
      </c>
      <c r="Q4">
        <f>'Intermediate calculations'!Q4</f>
        <v>45.313977429919198</v>
      </c>
      <c r="R4">
        <f>'Intermediate calculations'!R4</f>
        <v>47.134219703689652</v>
      </c>
      <c r="S4">
        <f>'Intermediate calculations'!S4</f>
        <v>49.114391395955856</v>
      </c>
      <c r="T4">
        <f>'Intermediate calculations'!T4</f>
        <v>51.192334626133288</v>
      </c>
      <c r="U4">
        <f>'Intermediate calculations'!U4</f>
        <v>52.414183192109149</v>
      </c>
      <c r="V4">
        <f>'Intermediate calculations'!V4</f>
        <v>50.996059718481895</v>
      </c>
      <c r="W4">
        <f>'Intermediate calculations'!W4</f>
        <v>51.807136604333046</v>
      </c>
      <c r="X4">
        <f>'Intermediate calculations'!X4</f>
        <v>52.773755281587846</v>
      </c>
      <c r="Y4">
        <f>'Intermediate calculations'!Y4</f>
        <v>53.728853330625171</v>
      </c>
      <c r="Z4">
        <f>'Intermediate calculations'!Z4</f>
        <v>54.321092720924852</v>
      </c>
      <c r="AA4">
        <f>'Intermediate calculations'!AA4</f>
        <v>54.480101646002176</v>
      </c>
      <c r="AB4">
        <f>'Intermediate calculations'!AB4</f>
        <v>54.289353458429851</v>
      </c>
      <c r="AC4">
        <f>'Intermediate calculations'!AC4</f>
        <v>53.870420594253417</v>
      </c>
      <c r="AD4">
        <f>'Intermediate calculations'!AD4</f>
        <v>53.579230022094251</v>
      </c>
      <c r="AE4">
        <f>'Intermediate calculations'!AG4</f>
        <v>48.354585043839705</v>
      </c>
      <c r="AF4">
        <f>'Intermediate calculations'!AQ4</f>
        <v>55.34418007042251</v>
      </c>
      <c r="AG4">
        <f>'Intermediate calculations'!BA4</f>
        <v>66.664767294172634</v>
      </c>
      <c r="AH4">
        <f>'Intermediate calculations'!BK4</f>
        <v>83.144015516005183</v>
      </c>
    </row>
    <row r="5" spans="1:37" x14ac:dyDescent="0.25">
      <c r="A5" s="23" t="str">
        <f>'Intermediate calculations'!A6</f>
        <v>Beef consumption</v>
      </c>
      <c r="B5" t="str">
        <f>'Intermediate calculations'!B6</f>
        <v>t/capita</v>
      </c>
      <c r="C5">
        <f>C13/Drivers!D4</f>
        <v>1.8151922844328049E-2</v>
      </c>
      <c r="D5">
        <f>D13/Drivers!E4</f>
        <v>1.8929477093079208E-2</v>
      </c>
      <c r="E5">
        <f>E13/Drivers!F4</f>
        <v>1.9160849435363898E-2</v>
      </c>
      <c r="F5">
        <f>F13/Drivers!G4</f>
        <v>1.8115873466426971E-2</v>
      </c>
      <c r="G5">
        <f>G13/Drivers!H4</f>
        <v>1.6344518185421236E-2</v>
      </c>
      <c r="H5">
        <f>H13/Drivers!I4</f>
        <v>1.4166508067741876E-2</v>
      </c>
      <c r="I5">
        <f>I13/Drivers!J4</f>
        <v>1.3991142399503649E-2</v>
      </c>
      <c r="J5">
        <f>J13/Drivers!K4</f>
        <v>1.3329468330311484E-2</v>
      </c>
      <c r="K5">
        <f>K13/Drivers!L4</f>
        <v>1.2819849522437712E-2</v>
      </c>
      <c r="L5">
        <f>L13/Drivers!M4</f>
        <v>1.2607541028129859E-2</v>
      </c>
      <c r="M5">
        <f>M13/Drivers!N4</f>
        <v>1.4921819008431562E-2</v>
      </c>
      <c r="N5">
        <f>N13/Drivers!O4</f>
        <v>1.21567810458843E-2</v>
      </c>
      <c r="O5">
        <f>O13/Drivers!P4</f>
        <v>1.3044162311588505E-2</v>
      </c>
      <c r="P5">
        <f>P13/Drivers!Q4</f>
        <v>1.3763079313265579E-2</v>
      </c>
      <c r="Q5">
        <f>Q13/Drivers!R4</f>
        <v>1.4273144855926876E-2</v>
      </c>
      <c r="R5">
        <f>R13/Drivers!S4</f>
        <v>1.5100061087370227E-2</v>
      </c>
      <c r="S5">
        <f>S13/Drivers!T4</f>
        <v>1.701400710616301E-2</v>
      </c>
      <c r="T5">
        <f>T13/Drivers!U4</f>
        <v>1.7610021254379524E-2</v>
      </c>
      <c r="U5">
        <f>U13/Drivers!V4</f>
        <v>1.5407958031534726E-2</v>
      </c>
      <c r="V5">
        <f>V13/Drivers!W4</f>
        <v>1.553182299165852E-2</v>
      </c>
      <c r="W5">
        <f>W13/Drivers!X4</f>
        <v>1.7181807184041598E-2</v>
      </c>
      <c r="X5">
        <f>X13/Drivers!Y4</f>
        <v>1.6902490054067201E-2</v>
      </c>
      <c r="Y5">
        <f>Y13/Drivers!Z4</f>
        <v>1.6531158030732743E-2</v>
      </c>
      <c r="Z5">
        <f>Z13/Drivers!AA4</f>
        <v>1.7136060892304256E-2</v>
      </c>
      <c r="AA5">
        <f>AA13/Drivers!AB4</f>
        <v>1.8196196501834357E-2</v>
      </c>
      <c r="AB5">
        <f>AB13/Drivers!AC4</f>
        <v>1.8684763785133233E-2</v>
      </c>
      <c r="AC5">
        <f>AC13/Drivers!AD4</f>
        <v>1.9273663203246076E-2</v>
      </c>
      <c r="AD5">
        <f>AD13/Drivers!AE4</f>
        <v>1.8134548357121919E-2</v>
      </c>
      <c r="AJ5" s="23">
        <f>SLOPE(M5:AD5,$M$4:$AD$4)</f>
        <v>3.732565208667424E-4</v>
      </c>
      <c r="AK5" s="23">
        <f>INTERCEPT(M5:AD5,$M$4:$AD$4)</f>
        <v>-2.4128614815494553E-3</v>
      </c>
    </row>
    <row r="6" spans="1:37" x14ac:dyDescent="0.25">
      <c r="A6" s="23" t="str">
        <f>'Intermediate calculations'!A14</f>
        <v>Milk consumption</v>
      </c>
      <c r="B6" t="str">
        <f>'Intermediate calculations'!B14</f>
        <v>t/capita</v>
      </c>
      <c r="C6">
        <f>C16/Drivers!D4</f>
        <v>3.1711517903189872E-2</v>
      </c>
      <c r="D6">
        <f>D16/Drivers!E4</f>
        <v>3.0568189199328188E-2</v>
      </c>
      <c r="E6">
        <f>E16/Drivers!F4</f>
        <v>3.035740517829584E-2</v>
      </c>
      <c r="F6">
        <f>F16/Drivers!G4</f>
        <v>2.7552275522755229E-2</v>
      </c>
      <c r="G6">
        <f>G16/Drivers!H4</f>
        <v>2.6821773432486134E-2</v>
      </c>
      <c r="H6">
        <f>H16/Drivers!I4</f>
        <v>3.3714841176550943E-2</v>
      </c>
      <c r="I6">
        <f>I16/Drivers!J4</f>
        <v>3.5202755918886504E-2</v>
      </c>
      <c r="J6">
        <f>J16/Drivers!K4</f>
        <v>3.654554057053986E-2</v>
      </c>
      <c r="K6">
        <f>K16/Drivers!L4</f>
        <v>3.6811282200142577E-2</v>
      </c>
      <c r="L6">
        <f>L16/Drivers!M4</f>
        <v>3.6221307497632478E-2</v>
      </c>
      <c r="M6">
        <f>M16/Drivers!N4</f>
        <v>2.855382355711792E-2</v>
      </c>
      <c r="N6">
        <f>N16/Drivers!O4</f>
        <v>3.4561245753190924E-2</v>
      </c>
      <c r="O6">
        <f>O16/Drivers!P4</f>
        <v>3.4907218411908775E-2</v>
      </c>
      <c r="P6">
        <f>P16/Drivers!Q4</f>
        <v>3.2706042287200317E-2</v>
      </c>
      <c r="Q6">
        <f>Q16/Drivers!R4</f>
        <v>3.4382420052943855E-2</v>
      </c>
      <c r="R6">
        <f>R16/Drivers!S4</f>
        <v>3.8324498057156799E-2</v>
      </c>
      <c r="S6">
        <f>S16/Drivers!T4</f>
        <v>3.4997297041404404E-2</v>
      </c>
      <c r="T6">
        <f>T16/Drivers!U4</f>
        <v>3.6624772527894527E-2</v>
      </c>
      <c r="U6">
        <f>U16/Drivers!V4</f>
        <v>3.6541167743626687E-2</v>
      </c>
      <c r="V6">
        <f>V16/Drivers!W4</f>
        <v>3.5422065700364075E-2</v>
      </c>
      <c r="W6">
        <f>W16/Drivers!X4</f>
        <v>3.6472290704306486E-2</v>
      </c>
      <c r="X6">
        <f>X16/Drivers!Y4</f>
        <v>3.5612527394917472E-2</v>
      </c>
      <c r="Y6">
        <f>Y16/Drivers!Z4</f>
        <v>3.6616992817206866E-2</v>
      </c>
      <c r="Z6">
        <f>Z16/Drivers!AA4</f>
        <v>3.6362344596746726E-2</v>
      </c>
      <c r="AA6">
        <f>AA16/Drivers!AB4</f>
        <v>3.6652073687690814E-2</v>
      </c>
      <c r="AB6">
        <f>AB16/Drivers!AC4</f>
        <v>3.8739378287651602E-2</v>
      </c>
      <c r="AC6">
        <f>AC16/Drivers!AD4</f>
        <v>3.8223701464646598E-2</v>
      </c>
      <c r="AD6">
        <f>AD16/Drivers!AE4</f>
        <v>3.9046778755285928E-2</v>
      </c>
      <c r="AJ6" s="23">
        <f>SLOPE(M6:AD6,$M$4:$AD$4)</f>
        <v>3.8876159526679386E-4</v>
      </c>
      <c r="AK6" s="23">
        <f>INTERCEPT(M6:AD6,$M$4:$AD$4)</f>
        <v>1.6475831779688779E-2</v>
      </c>
    </row>
    <row r="7" spans="1:37" x14ac:dyDescent="0.25">
      <c r="A7" s="23" t="str">
        <f>'Intermediate calculations'!A20</f>
        <v>Lamb consumption</v>
      </c>
      <c r="B7" t="str">
        <f>'Intermediate calculations'!B20</f>
        <v>t/capita</v>
      </c>
      <c r="C7">
        <f>C22/Drivers!D4</f>
        <v>4.6999349927469751E-3</v>
      </c>
      <c r="D7">
        <f>D22/Drivers!E4</f>
        <v>5.1337590256356549E-3</v>
      </c>
      <c r="E7">
        <f>E22/Drivers!F4</f>
        <v>4.8370155133322145E-3</v>
      </c>
      <c r="F7">
        <f>F22/Drivers!G4</f>
        <v>4.4825432869713315E-3</v>
      </c>
      <c r="G7">
        <f>G22/Drivers!H4</f>
        <v>3.615022845716697E-3</v>
      </c>
      <c r="H7">
        <f>H22/Drivers!I4</f>
        <v>2.6769149486779026E-3</v>
      </c>
      <c r="I7">
        <f>I22/Drivers!J4</f>
        <v>3.1822155014234865E-3</v>
      </c>
      <c r="J7">
        <f>J22/Drivers!K4</f>
        <v>3.1050915056369576E-3</v>
      </c>
      <c r="K7">
        <f>K22/Drivers!L4</f>
        <v>3.1202598034076076E-3</v>
      </c>
      <c r="L7">
        <f>L22/Drivers!M4</f>
        <v>3.2648794977318042E-3</v>
      </c>
      <c r="M7">
        <f>M22/Drivers!N4</f>
        <v>3.4073339917613768E-3</v>
      </c>
      <c r="N7">
        <f>N22/Drivers!O4</f>
        <v>3.2796976446170891E-3</v>
      </c>
      <c r="O7">
        <f>O22/Drivers!P4</f>
        <v>2.9737223183428679E-3</v>
      </c>
      <c r="P7">
        <f>P22/Drivers!Q4</f>
        <v>2.9375505520257668E-3</v>
      </c>
      <c r="Q7">
        <f>Q22/Drivers!R4</f>
        <v>3.0411313973028199E-3</v>
      </c>
      <c r="R7">
        <f>R22/Drivers!S4</f>
        <v>3.2982042142704099E-3</v>
      </c>
      <c r="S7">
        <f>S22/Drivers!T4</f>
        <v>3.4118755583558893E-3</v>
      </c>
      <c r="T7">
        <f>T22/Drivers!U4</f>
        <v>3.8847910471221979E-3</v>
      </c>
      <c r="U7">
        <f>U22/Drivers!V4</f>
        <v>3.5689411002378874E-3</v>
      </c>
      <c r="V7">
        <f>V22/Drivers!W4</f>
        <v>3.3520209823834457E-3</v>
      </c>
      <c r="W7">
        <f>W22/Drivers!X4</f>
        <v>3.1934731625248227E-3</v>
      </c>
      <c r="X7">
        <f>X22/Drivers!Y4</f>
        <v>2.8016982945137554E-3</v>
      </c>
      <c r="Y7">
        <f>Y22/Drivers!Z4</f>
        <v>2.8204257828618939E-3</v>
      </c>
      <c r="Z7">
        <f>Z22/Drivers!AA4</f>
        <v>3.0268686020098749E-3</v>
      </c>
      <c r="AA7">
        <f>AA22/Drivers!AB4</f>
        <v>3.2779121771704055E-3</v>
      </c>
      <c r="AB7">
        <f>AB22/Drivers!AC4</f>
        <v>3.313577561973481E-3</v>
      </c>
      <c r="AC7">
        <f>AC22/Drivers!AD4</f>
        <v>3.2279790032750002E-3</v>
      </c>
      <c r="AD7">
        <f>AD22/Drivers!AE4</f>
        <v>3.0933116436675087E-3</v>
      </c>
      <c r="AJ7" s="23">
        <f>SLOPE(M7:AD7,$M$4:$AD$4)</f>
        <v>6.6504546484868408E-7</v>
      </c>
      <c r="AK7" s="23">
        <f>INTERCEPT(M7:AD7,$M$4:$AD$4)</f>
        <v>3.1841604841189195E-3</v>
      </c>
    </row>
    <row r="8" spans="1:37" x14ac:dyDescent="0.25">
      <c r="A8" s="23" t="str">
        <f>'Intermediate calculations'!A23</f>
        <v>Chevon consumption</v>
      </c>
      <c r="B8" t="str">
        <f>'Intermediate calculations'!B23</f>
        <v>t/capita</v>
      </c>
      <c r="C8">
        <f>C20/Drivers!D4</f>
        <v>2.9999585060087078E-4</v>
      </c>
      <c r="D8">
        <f>D20/Drivers!E4</f>
        <v>3.2768674631716946E-4</v>
      </c>
      <c r="E8">
        <f>E20/Drivers!F4</f>
        <v>3.0874567106375841E-4</v>
      </c>
      <c r="F8">
        <f>F20/Drivers!G4</f>
        <v>2.8611978427476583E-4</v>
      </c>
      <c r="G8">
        <f>G20/Drivers!H4</f>
        <v>2.3074613908829981E-4</v>
      </c>
      <c r="H8">
        <f>H20/Drivers!I4</f>
        <v>1.7086691161773848E-4</v>
      </c>
      <c r="I8">
        <f>I20/Drivers!J4</f>
        <v>2.0312013838873316E-4</v>
      </c>
      <c r="J8">
        <f>J20/Drivers!K4</f>
        <v>1.9819733014703986E-4</v>
      </c>
      <c r="K8">
        <f>K20/Drivers!L4</f>
        <v>1.9916551936644304E-4</v>
      </c>
      <c r="L8">
        <f>L20/Drivers!M4</f>
        <v>2.0839656368500879E-4</v>
      </c>
      <c r="M8">
        <f>M20/Drivers!N4</f>
        <v>2.1748940372944957E-4</v>
      </c>
      <c r="N8">
        <f>N20/Drivers!O4</f>
        <v>2.093424028478993E-4</v>
      </c>
      <c r="O8">
        <f>O20/Drivers!P4</f>
        <v>1.8981206287294901E-4</v>
      </c>
      <c r="P8">
        <f>P20/Drivers!Q4</f>
        <v>1.8750322672504894E-4</v>
      </c>
      <c r="Q8">
        <f>Q20/Drivers!R4</f>
        <v>1.941147700406055E-4</v>
      </c>
      <c r="R8">
        <f>R20/Drivers!S4</f>
        <v>2.1052367325130275E-4</v>
      </c>
      <c r="S8">
        <f>S20/Drivers!T4</f>
        <v>2.1777929095888654E-4</v>
      </c>
      <c r="T8">
        <f>T20/Drivers!U4</f>
        <v>2.4796538598652329E-4</v>
      </c>
      <c r="U8">
        <f>U20/Drivers!V4</f>
        <v>2.2780475107901408E-4</v>
      </c>
      <c r="V8">
        <f>V20/Drivers!W4</f>
        <v>2.1395878610958166E-4</v>
      </c>
      <c r="W8">
        <f>W20/Drivers!X4</f>
        <v>2.0383871250158445E-4</v>
      </c>
      <c r="X8">
        <f>X20/Drivers!Y4</f>
        <v>1.788318060327929E-4</v>
      </c>
      <c r="Y8">
        <f>Y20/Drivers!Z4</f>
        <v>1.800271776294826E-4</v>
      </c>
      <c r="Z8">
        <f>Z20/Drivers!AA4</f>
        <v>1.9320437885169415E-4</v>
      </c>
      <c r="AA8">
        <f>AA20/Drivers!AB4</f>
        <v>2.0922843684066417E-4</v>
      </c>
      <c r="AB8">
        <f>AB20/Drivers!AC4</f>
        <v>2.1150495076426473E-4</v>
      </c>
      <c r="AC8">
        <f>AC20/Drivers!AD4</f>
        <v>2.0604121297500001E-4</v>
      </c>
      <c r="AD8">
        <f>AD20/Drivers!AE4</f>
        <v>1.9744542406388354E-4</v>
      </c>
      <c r="AJ8" s="23">
        <f>SLOPE(M8:AD8,$M$4:$AD$4)</f>
        <v>4.2449710522257248E-8</v>
      </c>
      <c r="AK8" s="23">
        <f>INTERCEPT(M8:AD8,$M$4:$AD$4)</f>
        <v>2.0324428622035657E-4</v>
      </c>
    </row>
    <row r="9" spans="1:37" x14ac:dyDescent="0.25">
      <c r="A9" s="23" t="str">
        <f>'Intermediate calculations'!A31</f>
        <v>Pork consumption</v>
      </c>
      <c r="B9" t="str">
        <f>'Intermediate calculations'!B31</f>
        <v>t/capita</v>
      </c>
      <c r="C9">
        <f>C25/Drivers!D4</f>
        <v>3.3966921490134823E-3</v>
      </c>
      <c r="D9">
        <f>D25/Drivers!E4</f>
        <v>3.446543448319744E-3</v>
      </c>
      <c r="E9">
        <f>E25/Drivers!F4</f>
        <v>2.8961067972479849E-3</v>
      </c>
      <c r="F9">
        <f>F25/Drivers!G4</f>
        <v>3.2548017787870187E-3</v>
      </c>
      <c r="G9">
        <f>G25/Drivers!H4</f>
        <v>3.0075885650398052E-3</v>
      </c>
      <c r="H9">
        <f>H25/Drivers!I4</f>
        <v>2.9925843277683012E-3</v>
      </c>
      <c r="I9">
        <f>I25/Drivers!J4</f>
        <v>3.1012515301776277E-3</v>
      </c>
      <c r="J9">
        <f>J25/Drivers!K4</f>
        <v>3.0939254588681106E-3</v>
      </c>
      <c r="K9">
        <f>K25/Drivers!L4</f>
        <v>2.9760364962801832E-3</v>
      </c>
      <c r="L9">
        <f>L25/Drivers!M4</f>
        <v>2.8417713229773925E-3</v>
      </c>
      <c r="M9">
        <f>M25/Drivers!N4</f>
        <v>2.9132016245969217E-3</v>
      </c>
      <c r="N9">
        <f>N25/Drivers!O4</f>
        <v>2.5235195311853692E-3</v>
      </c>
      <c r="O9">
        <f>O25/Drivers!P4</f>
        <v>2.665169375955791E-3</v>
      </c>
      <c r="P9">
        <f>P25/Drivers!Q4</f>
        <v>3.125053778750816E-3</v>
      </c>
      <c r="Q9">
        <f>Q25/Drivers!R4</f>
        <v>3.6792995628611501E-3</v>
      </c>
      <c r="R9">
        <f>R25/Drivers!S4</f>
        <v>3.801121878148522E-3</v>
      </c>
      <c r="S9">
        <f>S25/Drivers!T4</f>
        <v>3.9802465108963164E-3</v>
      </c>
      <c r="T9">
        <f>T25/Drivers!U4</f>
        <v>4.1938316513320025E-3</v>
      </c>
      <c r="U9">
        <f>U25/Drivers!V4</f>
        <v>3.9775432728081823E-3</v>
      </c>
      <c r="V9">
        <f>V25/Drivers!W4</f>
        <v>3.9423887440561802E-3</v>
      </c>
      <c r="W9">
        <f>W25/Drivers!X4</f>
        <v>4.1978278915556179E-3</v>
      </c>
      <c r="X9">
        <f>X25/Drivers!Y4</f>
        <v>4.4419513111371139E-3</v>
      </c>
      <c r="Y9">
        <f>Y25/Drivers!Z4</f>
        <v>4.5293461887672372E-3</v>
      </c>
      <c r="Z9">
        <f>Z25/Drivers!AA4</f>
        <v>4.6135548556203764E-3</v>
      </c>
      <c r="AA9">
        <f>AA25/Drivers!AB4</f>
        <v>4.3774743878011299E-3</v>
      </c>
      <c r="AB9">
        <f>AB25/Drivers!AC4</f>
        <v>4.6392277628776553E-3</v>
      </c>
      <c r="AC9">
        <f>AC25/Drivers!AD4</f>
        <v>4.7285199836321996E-3</v>
      </c>
      <c r="AD9">
        <f>AD25/Drivers!AE4</f>
        <v>4.4938295441063099E-3</v>
      </c>
      <c r="AJ9" s="23">
        <f>SLOPE(R9:AD9,$R$4:$AD$4)</f>
        <v>1.1806425230084615E-4</v>
      </c>
      <c r="AK9" s="23">
        <f>INTERCEPT(R9:AD9,$R$4:$AD$4)</f>
        <v>-1.8716570761280046E-3</v>
      </c>
    </row>
    <row r="10" spans="1:37" x14ac:dyDescent="0.25">
      <c r="A10" s="23" t="str">
        <f>'Intermediate calculations'!A36</f>
        <v>Egg consumption</v>
      </c>
      <c r="B10" t="str">
        <f>'Intermediate calculations'!B36</f>
        <v>t/capita</v>
      </c>
      <c r="C10">
        <f>C28/Drivers!D4</f>
        <v>5.6792692731505428E-3</v>
      </c>
      <c r="D10">
        <f>D28/Drivers!E4</f>
        <v>5.6735407533878863E-3</v>
      </c>
      <c r="E10">
        <f>E28/Drivers!F4</f>
        <v>5.7663554980919695E-3</v>
      </c>
      <c r="F10">
        <f>F28/Drivers!G4</f>
        <v>5.5003626959346519E-3</v>
      </c>
      <c r="G10">
        <f>G28/Drivers!H4</f>
        <v>5.7440011119202841E-3</v>
      </c>
      <c r="H10">
        <f>H28/Drivers!I4</f>
        <v>6.5643785254272408E-3</v>
      </c>
      <c r="I10">
        <f>I28/Drivers!J4</f>
        <v>6.2261767361581379E-3</v>
      </c>
      <c r="J10">
        <f>J28/Drivers!K4</f>
        <v>6.8159410484838825E-3</v>
      </c>
      <c r="K10">
        <f>K28/Drivers!L4</f>
        <v>6.9135617067431947E-3</v>
      </c>
      <c r="L10">
        <f>L28/Drivers!M4</f>
        <v>6.7435684569066689E-3</v>
      </c>
      <c r="M10">
        <f>M28/Drivers!N4</f>
        <v>6.8938359055347002E-3</v>
      </c>
      <c r="N10">
        <f>N28/Drivers!O4</f>
        <v>6.7586436139573363E-3</v>
      </c>
      <c r="O10">
        <f>O28/Drivers!P4</f>
        <v>6.7820976802777447E-3</v>
      </c>
      <c r="P10">
        <f>P28/Drivers!Q4</f>
        <v>6.5283657706780738E-3</v>
      </c>
      <c r="Q10">
        <f>Q28/Drivers!R4</f>
        <v>6.9568365297776923E-3</v>
      </c>
      <c r="R10">
        <f>R28/Drivers!S4</f>
        <v>7.456046760983639E-3</v>
      </c>
      <c r="S10">
        <f>S28/Drivers!T4</f>
        <v>8.0842312552920001E-3</v>
      </c>
      <c r="T10">
        <f>T28/Drivers!U4</f>
        <v>8.4690969269617146E-3</v>
      </c>
      <c r="U10">
        <f>U28/Drivers!V4</f>
        <v>8.1157953647197252E-3</v>
      </c>
      <c r="V10">
        <f>V28/Drivers!W4</f>
        <v>7.5083685125492076E-3</v>
      </c>
      <c r="W10">
        <f>W28/Drivers!X4</f>
        <v>7.5365654239091563E-3</v>
      </c>
      <c r="X10">
        <f>X28/Drivers!Y4</f>
        <v>8.191650469889223E-3</v>
      </c>
      <c r="Y10">
        <f>Y28/Drivers!Z4</f>
        <v>8.5426909129913721E-3</v>
      </c>
      <c r="Z10">
        <f>Z28/Drivers!AA4</f>
        <v>8.1537520509535628E-3</v>
      </c>
      <c r="AA10">
        <f>AA28/Drivers!AB4</f>
        <v>7.7533232800884424E-3</v>
      </c>
      <c r="AB10">
        <f>AB28/Drivers!AC4</f>
        <v>7.9999281895291839E-3</v>
      </c>
      <c r="AC10">
        <f>AC28/Drivers!AD4</f>
        <v>7.9288110752159698E-3</v>
      </c>
      <c r="AD10">
        <f>AD28/Drivers!AE4</f>
        <v>7.2892038274480304E-3</v>
      </c>
      <c r="AJ10" s="23">
        <f>SLOPE(M10:AD10,$M$4:$AD$4)</f>
        <v>1.0896758840906957E-4</v>
      </c>
      <c r="AK10" s="23">
        <f>INTERCEPT(M10:AD10,$M$4:$AD$4)</f>
        <v>2.1864427996001745E-3</v>
      </c>
    </row>
    <row r="11" spans="1:37" x14ac:dyDescent="0.25">
      <c r="A11" s="23" t="str">
        <f>'Intermediate calculations'!A41</f>
        <v>Chicken consumption</v>
      </c>
      <c r="B11" t="str">
        <f>'Intermediate calculations'!B41</f>
        <v>t/capita</v>
      </c>
      <c r="C11">
        <f>C31/Drivers!D4</f>
        <v>1.3043297852211772E-2</v>
      </c>
      <c r="D11">
        <f>D31/Drivers!E4</f>
        <v>1.2274997050554164E-2</v>
      </c>
      <c r="E11">
        <f>E31/Drivers!F4</f>
        <v>1.1868866249435938E-2</v>
      </c>
      <c r="F11">
        <f>F31/Drivers!G4</f>
        <v>1.1379190714984073E-2</v>
      </c>
      <c r="G11">
        <f>G31/Drivers!H4</f>
        <v>1.200570189487201E-2</v>
      </c>
      <c r="H11">
        <f>H31/Drivers!I4</f>
        <v>1.2983954583381823E-2</v>
      </c>
      <c r="I11">
        <f>I31/Drivers!J4</f>
        <v>1.436992121234977E-2</v>
      </c>
      <c r="J11">
        <f>J31/Drivers!K4</f>
        <v>1.6120980022523313E-2</v>
      </c>
      <c r="K11">
        <f>K31/Drivers!L4</f>
        <v>1.657423402543733E-2</v>
      </c>
      <c r="L11">
        <f>L31/Drivers!M4</f>
        <v>1.6870198012595948E-2</v>
      </c>
      <c r="M11">
        <f>M31/Drivers!N4</f>
        <v>1.7701591550985878E-2</v>
      </c>
      <c r="N11">
        <f>N31/Drivers!O4</f>
        <v>1.8059622384048336E-2</v>
      </c>
      <c r="O11">
        <f>O31/Drivers!P4</f>
        <v>1.8244492801258342E-2</v>
      </c>
      <c r="P11">
        <f>P31/Drivers!Q4</f>
        <v>1.896436745187139E-2</v>
      </c>
      <c r="Q11">
        <f>Q31/Drivers!R4</f>
        <v>2.1610598581862619E-2</v>
      </c>
      <c r="R11">
        <f>R31/Drivers!S4</f>
        <v>2.6586967861994881E-2</v>
      </c>
      <c r="S11">
        <f>S31/Drivers!T4</f>
        <v>3.0336490246261564E-2</v>
      </c>
      <c r="T11">
        <f>T31/Drivers!U4</f>
        <v>3.1779471882180853E-2</v>
      </c>
      <c r="U11">
        <f>U31/Drivers!V4</f>
        <v>3.2443092856490982E-2</v>
      </c>
      <c r="V11">
        <f>V31/Drivers!W4</f>
        <v>3.2529659888141951E-2</v>
      </c>
      <c r="W11">
        <f>W31/Drivers!X4</f>
        <v>3.2645433649679041E-2</v>
      </c>
      <c r="X11">
        <f>X31/Drivers!Y4</f>
        <v>3.3766521655224126E-2</v>
      </c>
      <c r="Y11">
        <f>Y31/Drivers!Z4</f>
        <v>3.4610320455094795E-2</v>
      </c>
      <c r="Z11">
        <f>Z31/Drivers!AA4</f>
        <v>3.4196798440026953E-2</v>
      </c>
      <c r="AA11">
        <f>AA31/Drivers!AB4</f>
        <v>3.2997995491094112E-2</v>
      </c>
      <c r="AB11">
        <f>AB31/Drivers!AC4</f>
        <v>3.3278240094342867E-2</v>
      </c>
      <c r="AC11">
        <f>AC31/Drivers!AD4</f>
        <v>3.4825639575268325E-2</v>
      </c>
      <c r="AD11">
        <f>AD31/Drivers!AE4</f>
        <v>3.36329526115988E-2</v>
      </c>
      <c r="AJ11" s="23">
        <f>SLOPE(M11:AD11,$M$4:$AD$4)</f>
        <v>1.3905904835154856E-3</v>
      </c>
      <c r="AK11" s="23">
        <f>INTERCEPT(M11:AD11,$M$4:$AD$4)</f>
        <v>-4.0401491050578955E-2</v>
      </c>
    </row>
    <row r="12" spans="1:37" x14ac:dyDescent="0.25">
      <c r="A12" s="23" t="str">
        <f>'Intermediate calculations'!A48</f>
        <v>Sorghum consumption (human)</v>
      </c>
      <c r="B12" t="str">
        <f>'Intermediate calculations'!B48</f>
        <v>t/capita</v>
      </c>
      <c r="C12">
        <f>C43/Drivers!D4</f>
        <v>5.2716662152689246E-3</v>
      </c>
      <c r="D12">
        <f>D43/Drivers!E4</f>
        <v>5.169815172479616E-3</v>
      </c>
      <c r="E12">
        <f>E43/Drivers!F4</f>
        <v>5.1457611843959729E-3</v>
      </c>
      <c r="F12">
        <f>F43/Drivers!G4</f>
        <v>5.0462043081969284E-3</v>
      </c>
      <c r="G12">
        <f>G43/Drivers!H4</f>
        <v>4.5360352128469197E-3</v>
      </c>
      <c r="H12">
        <f>H43/Drivers!I4</f>
        <v>4.4164752579161221E-3</v>
      </c>
      <c r="I12">
        <f>I43/Drivers!J4</f>
        <v>4.2849353203217606E-3</v>
      </c>
      <c r="J12">
        <f>J43/Drivers!K4</f>
        <v>4.164004940882645E-3</v>
      </c>
      <c r="K12">
        <f>K43/Drivers!L4</f>
        <v>4.0519881526276339E-3</v>
      </c>
      <c r="L12">
        <f>L43/Drivers!M4</f>
        <v>3.9581814855756533E-3</v>
      </c>
      <c r="M12">
        <f>M43/Drivers!N4</f>
        <v>3.8694433792356062E-3</v>
      </c>
      <c r="N12">
        <f>N43/Drivers!O4</f>
        <v>4.0815185460911186E-3</v>
      </c>
      <c r="O12">
        <f>O43/Drivers!P4</f>
        <v>4.1169283043219537E-3</v>
      </c>
      <c r="P12">
        <f>P43/Drivers!Q4</f>
        <v>3.7243791609769998E-3</v>
      </c>
      <c r="Q12">
        <f>Q43/Drivers!R4</f>
        <v>3.5735725639283586E-3</v>
      </c>
      <c r="R12">
        <f>R43/Drivers!S4</f>
        <v>3.7384660230142057E-3</v>
      </c>
      <c r="S12">
        <f>S43/Drivers!T4</f>
        <v>3.9390004330631945E-3</v>
      </c>
      <c r="T12">
        <f>T43/Drivers!U4</f>
        <v>3.7052299055457499E-3</v>
      </c>
      <c r="U12">
        <f>U43/Drivers!V4</f>
        <v>3.7163914417652206E-3</v>
      </c>
      <c r="V12">
        <f>V43/Drivers!W4</f>
        <v>3.5065467723514772E-3</v>
      </c>
      <c r="W12">
        <f>W43/Drivers!X4</f>
        <v>3.5925596839359707E-3</v>
      </c>
      <c r="X12">
        <f>X43/Drivers!Y4</f>
        <v>3.499719214835302E-3</v>
      </c>
      <c r="Y12">
        <f>Y43/Drivers!Z4</f>
        <v>3.4973432596810314E-3</v>
      </c>
      <c r="Z12">
        <f>Z43/Drivers!AA4</f>
        <v>2.9941029471168973E-3</v>
      </c>
      <c r="AA12">
        <f>AA43/Drivers!AB4</f>
        <v>3.0605223474033326E-3</v>
      </c>
      <c r="AB12">
        <f>AB43/Drivers!AC4</f>
        <v>2.794495463465674E-3</v>
      </c>
      <c r="AC12">
        <f>AC43/Drivers!AD4</f>
        <v>2.6788953519437174E-3</v>
      </c>
      <c r="AD12">
        <f>AD43/Drivers!AE4</f>
        <v>2.8484510102406136E-3</v>
      </c>
      <c r="AJ12" s="23">
        <f>SLOPE(R12:AB12,$R$4:$AB$4)</f>
        <v>-1.1803511683817305E-4</v>
      </c>
      <c r="AK12" s="23">
        <f>INTERCEPT(R12:AB12,$R$4:$AB$4)</f>
        <v>9.5991043629900588E-3</v>
      </c>
    </row>
    <row r="13" spans="1:37" x14ac:dyDescent="0.25">
      <c r="A13" s="23" t="str">
        <f>'Intermediate calculations'!A5</f>
        <v>Beef consumption</v>
      </c>
      <c r="B13" t="str">
        <f>'Intermediate calculations'!B5</f>
        <v>t</v>
      </c>
      <c r="C13">
        <v>668000</v>
      </c>
      <c r="D13">
        <v>714000</v>
      </c>
      <c r="E13">
        <v>741000</v>
      </c>
      <c r="F13">
        <v>718000</v>
      </c>
      <c r="G13">
        <v>663000</v>
      </c>
      <c r="H13">
        <v>587000</v>
      </c>
      <c r="I13">
        <v>591000</v>
      </c>
      <c r="J13">
        <v>573000</v>
      </c>
      <c r="K13">
        <v>560000</v>
      </c>
      <c r="L13">
        <v>559000</v>
      </c>
      <c r="M13">
        <v>671000</v>
      </c>
      <c r="N13">
        <v>554000</v>
      </c>
      <c r="O13">
        <v>602000</v>
      </c>
      <c r="P13">
        <v>643000</v>
      </c>
      <c r="Q13">
        <v>675000</v>
      </c>
      <c r="R13">
        <v>723000</v>
      </c>
      <c r="S13">
        <v>825000</v>
      </c>
      <c r="T13">
        <v>865000</v>
      </c>
      <c r="U13">
        <v>767000</v>
      </c>
      <c r="V13">
        <v>784000</v>
      </c>
      <c r="W13">
        <v>880000</v>
      </c>
      <c r="X13">
        <v>879000</v>
      </c>
      <c r="Y13">
        <v>865000</v>
      </c>
      <c r="Z13">
        <v>910000</v>
      </c>
      <c r="AA13">
        <v>981000</v>
      </c>
      <c r="AB13">
        <v>1023000</v>
      </c>
      <c r="AC13">
        <v>1072000</v>
      </c>
      <c r="AD13">
        <v>1025000</v>
      </c>
      <c r="AF13" s="87"/>
      <c r="AG13" s="87"/>
      <c r="AH13" s="87"/>
      <c r="AJ13" s="23"/>
      <c r="AK13" s="23"/>
    </row>
    <row r="14" spans="1:37" x14ac:dyDescent="0.25">
      <c r="A14" s="23" t="str">
        <f>'Intermediate calculations'!A8</f>
        <v>Beef production</v>
      </c>
      <c r="C14">
        <v>610300</v>
      </c>
      <c r="D14">
        <v>664900</v>
      </c>
      <c r="E14">
        <v>703500</v>
      </c>
      <c r="F14">
        <v>694000</v>
      </c>
      <c r="G14">
        <v>611200</v>
      </c>
      <c r="H14">
        <v>507500</v>
      </c>
      <c r="I14">
        <v>507000</v>
      </c>
      <c r="J14">
        <v>502400</v>
      </c>
      <c r="K14">
        <v>496300</v>
      </c>
      <c r="L14">
        <v>511700</v>
      </c>
      <c r="M14">
        <v>624600</v>
      </c>
      <c r="N14">
        <v>524300</v>
      </c>
      <c r="O14">
        <v>573400</v>
      </c>
      <c r="P14">
        <v>609700</v>
      </c>
      <c r="Q14">
        <v>631700</v>
      </c>
      <c r="R14">
        <v>672300</v>
      </c>
      <c r="S14">
        <v>808100</v>
      </c>
      <c r="T14">
        <v>861400</v>
      </c>
      <c r="U14">
        <v>770200</v>
      </c>
      <c r="V14">
        <v>796700</v>
      </c>
      <c r="W14">
        <v>885800</v>
      </c>
      <c r="X14">
        <v>869500</v>
      </c>
      <c r="Y14">
        <v>852100</v>
      </c>
      <c r="Z14">
        <v>904500</v>
      </c>
      <c r="AA14">
        <v>982600</v>
      </c>
      <c r="AB14">
        <v>1037900</v>
      </c>
      <c r="AC14">
        <v>1090900</v>
      </c>
      <c r="AD14">
        <v>1046300</v>
      </c>
      <c r="AJ14" s="23">
        <f>SLOPE(W14:AD14,W13:AD13)</f>
        <v>1.1425667845690142</v>
      </c>
      <c r="AK14" s="23">
        <f>INTERCEPT(W14:AD14,W13:AD13)</f>
        <v>-131737.17502305284</v>
      </c>
    </row>
    <row r="15" spans="1:37" x14ac:dyDescent="0.25">
      <c r="A15" s="23" t="s">
        <v>847</v>
      </c>
      <c r="B15" t="s">
        <v>815</v>
      </c>
      <c r="C15">
        <f>SUM(C54:C55)/'Intermediate calculations'!C10</f>
        <v>53.402776152243625</v>
      </c>
      <c r="D15">
        <f>SUM(D54:D55)/'Intermediate calculations'!D10</f>
        <v>48.956276991169453</v>
      </c>
      <c r="E15">
        <f>SUM(E54:E55)/'Intermediate calculations'!E10</f>
        <v>47.194598436389484</v>
      </c>
      <c r="F15">
        <f>SUM(F54:F55)/'Intermediate calculations'!F10</f>
        <v>45.863112391930834</v>
      </c>
      <c r="G15">
        <f>SUM(G54:G55)/'Intermediate calculations'!G10</f>
        <v>49.897391548242332</v>
      </c>
      <c r="H15">
        <f>SUM(H54:H55)/'Intermediate calculations'!H10</f>
        <v>60.053089373680507</v>
      </c>
      <c r="I15">
        <f>SUM(I54:I55)/'Intermediate calculations'!I10</f>
        <v>62.291011552550017</v>
      </c>
      <c r="J15">
        <f>SUM(J54:J55)/'Intermediate calculations'!J10</f>
        <v>65.440741583257505</v>
      </c>
      <c r="K15">
        <f>SUM(K54:K55)/'Intermediate calculations'!K10</f>
        <v>68.203390806251974</v>
      </c>
      <c r="L15">
        <f>SUM(L54:L55)/'Intermediate calculations'!L10</f>
        <v>66.6343560680086</v>
      </c>
      <c r="M15">
        <f>SUM(M54:M55)/'Intermediate calculations'!M10</f>
        <v>51.89867801106994</v>
      </c>
      <c r="N15">
        <f>SUM(N54:N55)/'Intermediate calculations'!N10</f>
        <v>61.355058445273968</v>
      </c>
      <c r="O15">
        <f>SUM(O54:O55)/'Intermediate calculations'!O10</f>
        <v>57.102047934625539</v>
      </c>
      <c r="P15">
        <f>SUM(P54:P55)/'Intermediate calculations'!P10</f>
        <v>55.049415403359966</v>
      </c>
      <c r="Q15">
        <f>SUM(Q54:Q55)/'Intermediate calculations'!Q10</f>
        <v>52.98274497388001</v>
      </c>
      <c r="R15">
        <f>SUM(R54:R55)/'Intermediate calculations'!R10</f>
        <v>49.327893584921696</v>
      </c>
      <c r="S15">
        <f>SUM(S54:S55)/'Intermediate calculations'!S10</f>
        <v>41.133098803189135</v>
      </c>
      <c r="T15">
        <f>SUM(T54:T55)/'Intermediate calculations'!T10</f>
        <v>39.914690371156588</v>
      </c>
      <c r="U15">
        <f>SUM(U54:U55)/'Intermediate calculations'!U10</f>
        <v>43.655274140297507</v>
      </c>
      <c r="V15">
        <f>SUM(V54:V55)/'Intermediate calculations'!V10</f>
        <v>41.61781844154757</v>
      </c>
      <c r="W15">
        <f>SUM(W54:W55)/'Intermediate calculations'!W10</f>
        <v>37.11227193067338</v>
      </c>
      <c r="X15">
        <f>SUM(X54:X55)/'Intermediate calculations'!X10</f>
        <v>37.868331005777812</v>
      </c>
      <c r="Y15">
        <f>SUM(Y54:Y55)/'Intermediate calculations'!Y10</f>
        <v>42.454292096903913</v>
      </c>
      <c r="Z15">
        <f>SUM(Z54:Z55)/'Intermediate calculations'!Z10</f>
        <v>41.216142831593366</v>
      </c>
      <c r="AA15">
        <f>SUM(AA54:AA55)/'Intermediate calculations'!AA10</f>
        <v>41.467709766047342</v>
      </c>
      <c r="AB15">
        <f>SUM(AB54:AB55)/'Intermediate calculations'!AB10</f>
        <v>40.872839642842926</v>
      </c>
      <c r="AC15">
        <f>SUM(AC54:AC55)/'Intermediate calculations'!AC10</f>
        <v>39.900688123941343</v>
      </c>
      <c r="AD15">
        <f>SUM(AD54:AD55)/'Intermediate calculations'!AD10</f>
        <v>38.105030898268154</v>
      </c>
      <c r="AJ15" s="23">
        <f>SLOPE(K15:AD15,LN(K2:AD2))</f>
        <v>-11.15168506606857</v>
      </c>
      <c r="AK15" s="23">
        <f>INTERCEPT(K15:AD15,LN(K2:AD2))</f>
        <v>70.999261756391107</v>
      </c>
    </row>
    <row r="16" spans="1:37" x14ac:dyDescent="0.25">
      <c r="A16" s="23" t="str">
        <f>'Intermediate calculations'!A12</f>
        <v>Milk consumption</v>
      </c>
      <c r="B16" t="str">
        <f>'Intermediate calculations'!B12</f>
        <v>t</v>
      </c>
      <c r="C16">
        <v>1167000</v>
      </c>
      <c r="D16">
        <v>1153000</v>
      </c>
      <c r="E16">
        <v>1174000</v>
      </c>
      <c r="F16">
        <v>1092000</v>
      </c>
      <c r="G16">
        <v>1088000</v>
      </c>
      <c r="H16">
        <v>1397000</v>
      </c>
      <c r="I16">
        <v>1487000</v>
      </c>
      <c r="J16">
        <v>1571000</v>
      </c>
      <c r="K16">
        <v>1608000</v>
      </c>
      <c r="L16">
        <v>1606000</v>
      </c>
      <c r="M16">
        <v>1284000</v>
      </c>
      <c r="N16">
        <v>1575000</v>
      </c>
      <c r="O16">
        <v>1611000</v>
      </c>
      <c r="P16">
        <v>1528000</v>
      </c>
      <c r="Q16">
        <v>1626000</v>
      </c>
      <c r="R16">
        <v>1835000</v>
      </c>
      <c r="S16">
        <v>1697000</v>
      </c>
      <c r="T16">
        <v>1799000</v>
      </c>
      <c r="U16">
        <v>1819000</v>
      </c>
      <c r="V16">
        <v>1788000</v>
      </c>
      <c r="W16">
        <v>1868000</v>
      </c>
      <c r="X16">
        <v>1852000</v>
      </c>
      <c r="Y16">
        <v>1916000</v>
      </c>
      <c r="Z16">
        <v>1931000</v>
      </c>
      <c r="AA16">
        <v>1976000</v>
      </c>
      <c r="AB16">
        <v>2121000</v>
      </c>
      <c r="AC16">
        <v>2126000</v>
      </c>
      <c r="AD16">
        <v>2207000</v>
      </c>
      <c r="AJ16" s="23"/>
      <c r="AK16" s="23"/>
    </row>
    <row r="17" spans="1:37" x14ac:dyDescent="0.25">
      <c r="A17" s="23" t="str">
        <f>'Intermediate calculations'!A15</f>
        <v>Milk production</v>
      </c>
      <c r="B17" t="str">
        <f>'Intermediate calculations'!B15</f>
        <v>t</v>
      </c>
      <c r="C17">
        <v>2119000</v>
      </c>
      <c r="D17">
        <v>2163000</v>
      </c>
      <c r="E17">
        <v>2107000</v>
      </c>
      <c r="F17">
        <v>2002000</v>
      </c>
      <c r="G17">
        <v>2006000</v>
      </c>
      <c r="H17">
        <v>2297000</v>
      </c>
      <c r="I17">
        <v>2450000</v>
      </c>
      <c r="J17">
        <v>2437000</v>
      </c>
      <c r="K17">
        <v>2501000</v>
      </c>
      <c r="L17">
        <v>2543000</v>
      </c>
      <c r="M17">
        <v>2370000</v>
      </c>
      <c r="N17">
        <v>2358000</v>
      </c>
      <c r="O17">
        <v>2457000</v>
      </c>
      <c r="P17">
        <v>2354000</v>
      </c>
      <c r="Q17">
        <v>2505000</v>
      </c>
      <c r="R17">
        <v>2657000</v>
      </c>
      <c r="S17">
        <v>2513000</v>
      </c>
      <c r="T17">
        <v>2559000</v>
      </c>
      <c r="U17">
        <v>2625000</v>
      </c>
      <c r="V17">
        <v>2587000</v>
      </c>
      <c r="W17">
        <v>2711000</v>
      </c>
      <c r="X17">
        <v>2720000</v>
      </c>
      <c r="Y17">
        <v>2843000</v>
      </c>
      <c r="Z17">
        <v>2906000</v>
      </c>
      <c r="AA17">
        <v>2983000</v>
      </c>
      <c r="AB17">
        <v>3173000</v>
      </c>
      <c r="AC17">
        <v>3158000</v>
      </c>
      <c r="AD17">
        <v>3097986.6</v>
      </c>
      <c r="AJ17" s="23">
        <f>SLOPE(M17:AD17,M16:AD16)</f>
        <v>1.0941524521183956</v>
      </c>
      <c r="AK17" s="23">
        <f>INTERCEPT(M17:AD17,M16:AD16)</f>
        <v>719582.0506376198</v>
      </c>
    </row>
    <row r="18" spans="1:37" x14ac:dyDescent="0.25">
      <c r="A18" s="23" t="s">
        <v>840</v>
      </c>
      <c r="B18" t="s">
        <v>815</v>
      </c>
      <c r="C18">
        <f t="shared" ref="C18:AD18" si="0">SUM(C51:C53)/C17</f>
        <v>0.69526800377536568</v>
      </c>
      <c r="D18">
        <f t="shared" si="0"/>
        <v>0.78019747572815545</v>
      </c>
      <c r="E18">
        <f t="shared" si="0"/>
        <v>0.69287114855244414</v>
      </c>
      <c r="F18">
        <f t="shared" si="0"/>
        <v>0.76935057442557442</v>
      </c>
      <c r="G18">
        <f t="shared" si="0"/>
        <v>0.70104982552342976</v>
      </c>
      <c r="H18">
        <f t="shared" si="0"/>
        <v>0.65888248585111009</v>
      </c>
      <c r="I18">
        <f t="shared" si="0"/>
        <v>0.62320263673469389</v>
      </c>
      <c r="J18">
        <f t="shared" si="0"/>
        <v>0.60454366023799755</v>
      </c>
      <c r="K18">
        <f t="shared" si="0"/>
        <v>0.57300788884446219</v>
      </c>
      <c r="L18">
        <f t="shared" si="0"/>
        <v>0.56881090051120731</v>
      </c>
      <c r="M18">
        <f t="shared" si="0"/>
        <v>0.77421705907173</v>
      </c>
      <c r="N18">
        <f t="shared" si="0"/>
        <v>0.77247711620016968</v>
      </c>
      <c r="O18">
        <f t="shared" si="0"/>
        <v>0.65958493691493691</v>
      </c>
      <c r="P18">
        <f t="shared" si="0"/>
        <v>0.60879045454545455</v>
      </c>
      <c r="Q18">
        <f t="shared" si="0"/>
        <v>0.5453595928143713</v>
      </c>
      <c r="R18">
        <f t="shared" si="0"/>
        <v>0.55448735415882566</v>
      </c>
      <c r="S18">
        <f t="shared" si="0"/>
        <v>0.57560132113012341</v>
      </c>
      <c r="T18">
        <f t="shared" si="0"/>
        <v>0.56525444314185236</v>
      </c>
      <c r="U18">
        <f t="shared" si="0"/>
        <v>0.66329169523809528</v>
      </c>
      <c r="V18">
        <f t="shared" si="0"/>
        <v>0.69374343254735216</v>
      </c>
      <c r="W18">
        <f t="shared" si="0"/>
        <v>0.66201189966801921</v>
      </c>
      <c r="X18">
        <f t="shared" si="0"/>
        <v>0.63027717647058834</v>
      </c>
      <c r="Y18">
        <f t="shared" si="0"/>
        <v>0.58416474147027786</v>
      </c>
      <c r="Z18">
        <f t="shared" si="0"/>
        <v>0.62680696490020649</v>
      </c>
      <c r="AA18">
        <f t="shared" si="0"/>
        <v>0.56572817298022127</v>
      </c>
      <c r="AB18">
        <f t="shared" si="0"/>
        <v>0.53185223447841168</v>
      </c>
      <c r="AC18">
        <f t="shared" si="0"/>
        <v>0.55134284357188101</v>
      </c>
      <c r="AD18">
        <f t="shared" si="0"/>
        <v>0.60957913439651412</v>
      </c>
      <c r="AJ18" s="23">
        <f>SLOPE(M18:AD18,LN(M2:AD2))</f>
        <v>-7.7168579193124878E-2</v>
      </c>
      <c r="AK18" s="23">
        <f>INTERCEPT(M18:AD18,LN(M2:AD2))</f>
        <v>0.79933670900805098</v>
      </c>
    </row>
    <row r="19" spans="1:37" x14ac:dyDescent="0.25">
      <c r="A19" s="23" t="str">
        <f>'Intermediate calculations'!A17</f>
        <v>Lamb and chevon consumption</v>
      </c>
      <c r="B19" t="str">
        <f>'Intermediate calculations'!B17</f>
        <v>t</v>
      </c>
      <c r="C19">
        <v>184000</v>
      </c>
      <c r="D19">
        <v>206000</v>
      </c>
      <c r="E19">
        <v>199000</v>
      </c>
      <c r="F19">
        <v>189000</v>
      </c>
      <c r="G19">
        <v>156000</v>
      </c>
      <c r="H19">
        <v>118000</v>
      </c>
      <c r="I19">
        <v>143000</v>
      </c>
      <c r="J19">
        <v>142000</v>
      </c>
      <c r="K19">
        <v>145000</v>
      </c>
      <c r="L19">
        <v>154000</v>
      </c>
      <c r="M19">
        <v>163000</v>
      </c>
      <c r="N19">
        <v>159000</v>
      </c>
      <c r="O19">
        <v>146000</v>
      </c>
      <c r="P19">
        <v>146000</v>
      </c>
      <c r="Q19">
        <v>153000</v>
      </c>
      <c r="R19">
        <v>168000</v>
      </c>
      <c r="S19">
        <v>176000</v>
      </c>
      <c r="T19">
        <v>203000</v>
      </c>
      <c r="U19">
        <v>189000</v>
      </c>
      <c r="V19">
        <v>180000</v>
      </c>
      <c r="W19">
        <v>174000</v>
      </c>
      <c r="X19">
        <v>155000</v>
      </c>
      <c r="Y19">
        <v>157000</v>
      </c>
      <c r="Z19">
        <v>171000</v>
      </c>
      <c r="AA19">
        <v>188000</v>
      </c>
      <c r="AB19">
        <v>193000</v>
      </c>
      <c r="AC19">
        <v>191000</v>
      </c>
      <c r="AD19">
        <v>186000</v>
      </c>
      <c r="AJ19" s="23"/>
      <c r="AK19" s="23"/>
    </row>
    <row r="20" spans="1:37" x14ac:dyDescent="0.25">
      <c r="A20" s="23" t="str">
        <f>'Intermediate calculations'!A22</f>
        <v>Chevon consumption</v>
      </c>
      <c r="B20" t="str">
        <f>'Intermediate calculations'!B22</f>
        <v>t</v>
      </c>
      <c r="C20">
        <f>C19*Constants!$H$27</f>
        <v>11040</v>
      </c>
      <c r="D20">
        <f>D19*Constants!$H$27</f>
        <v>12360</v>
      </c>
      <c r="E20">
        <f>E19*Constants!$H$27</f>
        <v>11940</v>
      </c>
      <c r="F20">
        <f>F19*Constants!$H$27</f>
        <v>11340</v>
      </c>
      <c r="G20">
        <f>G19*Constants!$H$27</f>
        <v>9360</v>
      </c>
      <c r="H20">
        <f>H19*Constants!$H$27</f>
        <v>7080</v>
      </c>
      <c r="I20">
        <f>I19*Constants!$H$27</f>
        <v>8580</v>
      </c>
      <c r="J20">
        <f>J19*Constants!$H$27</f>
        <v>8520</v>
      </c>
      <c r="K20">
        <f>K19*Constants!$H$27</f>
        <v>8700</v>
      </c>
      <c r="L20">
        <f>L19*Constants!$H$27</f>
        <v>9240</v>
      </c>
      <c r="M20">
        <f>M19*Constants!$H$27</f>
        <v>9780</v>
      </c>
      <c r="N20">
        <f>N19*Constants!$H$27</f>
        <v>9540</v>
      </c>
      <c r="O20">
        <f>O19*Constants!$H$27</f>
        <v>8760</v>
      </c>
      <c r="P20">
        <f>P19*Constants!$H$27</f>
        <v>8760</v>
      </c>
      <c r="Q20">
        <f>Q19*Constants!$H$27</f>
        <v>9180</v>
      </c>
      <c r="R20">
        <f>R19*Constants!$H$27</f>
        <v>10080</v>
      </c>
      <c r="S20">
        <f>S19*Constants!$H$27</f>
        <v>10560</v>
      </c>
      <c r="T20">
        <f>T19*Constants!$H$27</f>
        <v>12180</v>
      </c>
      <c r="U20">
        <f>U19*Constants!$H$27</f>
        <v>11340</v>
      </c>
      <c r="V20">
        <f>V19*Constants!$H$27</f>
        <v>10800</v>
      </c>
      <c r="W20">
        <f>W19*Constants!$H$27</f>
        <v>10440</v>
      </c>
      <c r="X20">
        <f>X19*Constants!$H$27</f>
        <v>9300</v>
      </c>
      <c r="Y20">
        <f>Y19*Constants!$H$27</f>
        <v>9420</v>
      </c>
      <c r="Z20">
        <f>Z19*Constants!$H$27</f>
        <v>10260</v>
      </c>
      <c r="AA20">
        <f>AA19*Constants!$H$27</f>
        <v>11280</v>
      </c>
      <c r="AB20">
        <f>AB19*Constants!$H$27</f>
        <v>11580</v>
      </c>
      <c r="AC20">
        <f>AC19*Constants!$H$27</f>
        <v>11460</v>
      </c>
      <c r="AD20">
        <f>AD19*Constants!$H$27</f>
        <v>11160</v>
      </c>
      <c r="AJ20" s="23"/>
      <c r="AK20" s="23"/>
    </row>
    <row r="21" spans="1:37" x14ac:dyDescent="0.25">
      <c r="A21" s="23" t="s">
        <v>843</v>
      </c>
      <c r="B21" t="s">
        <v>815</v>
      </c>
      <c r="C21">
        <f t="shared" ref="C21:AD21" si="1">SUM(C59:C60)/C20</f>
        <v>747.58015507693869</v>
      </c>
      <c r="D21">
        <f t="shared" si="1"/>
        <v>590.47220402049277</v>
      </c>
      <c r="E21">
        <f t="shared" si="1"/>
        <v>569.38006615729716</v>
      </c>
      <c r="F21">
        <f t="shared" si="1"/>
        <v>566.44789692123072</v>
      </c>
      <c r="G21">
        <f t="shared" si="1"/>
        <v>742.85362090363867</v>
      </c>
      <c r="H21">
        <f t="shared" si="1"/>
        <v>995.52503048103245</v>
      </c>
      <c r="I21">
        <f t="shared" si="1"/>
        <v>834.31243407359318</v>
      </c>
      <c r="J21">
        <f t="shared" si="1"/>
        <v>835.99741053944376</v>
      </c>
      <c r="K21">
        <f t="shared" si="1"/>
        <v>807.07358113668761</v>
      </c>
      <c r="L21">
        <f t="shared" si="1"/>
        <v>748.63713691587566</v>
      </c>
      <c r="M21">
        <f t="shared" si="1"/>
        <v>716.42781303590107</v>
      </c>
      <c r="N21">
        <f t="shared" si="1"/>
        <v>756.90571182634426</v>
      </c>
      <c r="O21">
        <f t="shared" si="1"/>
        <v>752.63780790236967</v>
      </c>
      <c r="P21">
        <f t="shared" si="1"/>
        <v>733.6180799048368</v>
      </c>
      <c r="Q21">
        <f t="shared" si="1"/>
        <v>701.35025005281352</v>
      </c>
      <c r="R21">
        <f t="shared" si="1"/>
        <v>630.46516734678903</v>
      </c>
      <c r="S21">
        <f t="shared" si="1"/>
        <v>614.48619189756312</v>
      </c>
      <c r="T21">
        <f t="shared" si="1"/>
        <v>516.87884312506992</v>
      </c>
      <c r="U21">
        <f t="shared" si="1"/>
        <v>554.64143311323846</v>
      </c>
      <c r="V21">
        <f t="shared" si="1"/>
        <v>572.18059101466702</v>
      </c>
      <c r="W21">
        <f t="shared" si="1"/>
        <v>584.78636599310846</v>
      </c>
      <c r="X21">
        <f t="shared" si="1"/>
        <v>650.3914314253102</v>
      </c>
      <c r="Y21">
        <f t="shared" si="1"/>
        <v>640.52698172582961</v>
      </c>
      <c r="Z21">
        <f t="shared" si="1"/>
        <v>581.41655980762096</v>
      </c>
      <c r="AA21">
        <f t="shared" si="1"/>
        <v>524.09395246393069</v>
      </c>
      <c r="AB21">
        <f t="shared" si="1"/>
        <v>503.57932677405518</v>
      </c>
      <c r="AC21">
        <f t="shared" si="1"/>
        <v>493.53491275273376</v>
      </c>
      <c r="AD21">
        <f t="shared" si="1"/>
        <v>491.33932124809263</v>
      </c>
      <c r="AJ21" s="23">
        <f>SLOPE(K21:AD21,LN(K2:AD2))</f>
        <v>-106.85734016342576</v>
      </c>
      <c r="AK21" s="23">
        <f>INTERCEPT(K21:AD21,LN(K2:AD2))</f>
        <v>854.94214143189515</v>
      </c>
    </row>
    <row r="22" spans="1:37" x14ac:dyDescent="0.25">
      <c r="A22" s="23" t="str">
        <f>'Intermediate calculations'!A19</f>
        <v>Lamb consumption</v>
      </c>
      <c r="B22" t="str">
        <f>'Intermediate calculations'!B19</f>
        <v>t</v>
      </c>
      <c r="C22">
        <f t="shared" ref="C22:AD22" si="2">C19-C20</f>
        <v>172960</v>
      </c>
      <c r="D22">
        <f t="shared" si="2"/>
        <v>193640</v>
      </c>
      <c r="E22">
        <f t="shared" si="2"/>
        <v>187060</v>
      </c>
      <c r="F22">
        <f t="shared" si="2"/>
        <v>177660</v>
      </c>
      <c r="G22">
        <f t="shared" si="2"/>
        <v>146640</v>
      </c>
      <c r="H22">
        <f t="shared" si="2"/>
        <v>110920</v>
      </c>
      <c r="I22">
        <f t="shared" si="2"/>
        <v>134420</v>
      </c>
      <c r="J22">
        <f t="shared" si="2"/>
        <v>133480</v>
      </c>
      <c r="K22">
        <f t="shared" si="2"/>
        <v>136300</v>
      </c>
      <c r="L22">
        <f t="shared" si="2"/>
        <v>144760</v>
      </c>
      <c r="M22">
        <f t="shared" si="2"/>
        <v>153220</v>
      </c>
      <c r="N22">
        <f t="shared" si="2"/>
        <v>149460</v>
      </c>
      <c r="O22">
        <f t="shared" si="2"/>
        <v>137240</v>
      </c>
      <c r="P22">
        <f t="shared" si="2"/>
        <v>137240</v>
      </c>
      <c r="Q22">
        <f t="shared" si="2"/>
        <v>143820</v>
      </c>
      <c r="R22">
        <f t="shared" si="2"/>
        <v>157920</v>
      </c>
      <c r="S22">
        <f t="shared" si="2"/>
        <v>165440</v>
      </c>
      <c r="T22">
        <f t="shared" si="2"/>
        <v>190820</v>
      </c>
      <c r="U22">
        <f t="shared" si="2"/>
        <v>177660</v>
      </c>
      <c r="V22">
        <f t="shared" si="2"/>
        <v>169200</v>
      </c>
      <c r="W22">
        <f t="shared" si="2"/>
        <v>163560</v>
      </c>
      <c r="X22">
        <f t="shared" si="2"/>
        <v>145700</v>
      </c>
      <c r="Y22">
        <f t="shared" si="2"/>
        <v>147580</v>
      </c>
      <c r="Z22">
        <f t="shared" si="2"/>
        <v>160740</v>
      </c>
      <c r="AA22">
        <f t="shared" si="2"/>
        <v>176720</v>
      </c>
      <c r="AB22">
        <f t="shared" si="2"/>
        <v>181420</v>
      </c>
      <c r="AC22">
        <f t="shared" si="2"/>
        <v>179540</v>
      </c>
      <c r="AD22">
        <f t="shared" si="2"/>
        <v>174840</v>
      </c>
      <c r="AJ22" s="23"/>
      <c r="AK22" s="23"/>
    </row>
    <row r="23" spans="1:37" x14ac:dyDescent="0.25">
      <c r="A23" s="23" t="str">
        <f>'Intermediate calculations'!A27</f>
        <v>Lamb production</v>
      </c>
      <c r="B23" t="str">
        <f>'Intermediate calculations'!B27</f>
        <v>t</v>
      </c>
      <c r="C23">
        <v>157160</v>
      </c>
      <c r="D23">
        <v>178840</v>
      </c>
      <c r="E23">
        <v>164160</v>
      </c>
      <c r="F23">
        <v>156060</v>
      </c>
      <c r="G23">
        <v>125940</v>
      </c>
      <c r="H23">
        <v>87720</v>
      </c>
      <c r="I23">
        <v>97720</v>
      </c>
      <c r="J23">
        <v>94080</v>
      </c>
      <c r="K23">
        <v>88200</v>
      </c>
      <c r="L23">
        <v>95660</v>
      </c>
      <c r="M23">
        <v>98520</v>
      </c>
      <c r="N23">
        <v>95860</v>
      </c>
      <c r="O23">
        <v>96340</v>
      </c>
      <c r="P23">
        <v>105640</v>
      </c>
      <c r="Q23">
        <v>111120</v>
      </c>
      <c r="R23">
        <v>124520</v>
      </c>
      <c r="S23">
        <v>124740</v>
      </c>
      <c r="T23">
        <v>148520</v>
      </c>
      <c r="U23">
        <v>149260</v>
      </c>
      <c r="V23">
        <v>151300</v>
      </c>
      <c r="W23">
        <v>153460</v>
      </c>
      <c r="X23">
        <v>139500</v>
      </c>
      <c r="Y23">
        <v>139480</v>
      </c>
      <c r="Z23">
        <v>156040</v>
      </c>
      <c r="AA23">
        <v>171520</v>
      </c>
      <c r="AB23">
        <v>173020</v>
      </c>
      <c r="AC23">
        <v>166240</v>
      </c>
      <c r="AD23">
        <v>166124.152</v>
      </c>
      <c r="AJ23" s="23">
        <f>SLOPE(S23:AD23,S22:AD22)</f>
        <v>0.57079621418517279</v>
      </c>
      <c r="AK23" s="23">
        <f>INTERCEPT(S23:AD23,S22:AD22)</f>
        <v>56554.156116201921</v>
      </c>
    </row>
    <row r="24" spans="1:37" x14ac:dyDescent="0.25">
      <c r="A24" s="23" t="s">
        <v>816</v>
      </c>
      <c r="B24" t="s">
        <v>815</v>
      </c>
      <c r="C24">
        <f t="shared" ref="C24:AD24" si="3">SUM(C57:C58)/C23</f>
        <v>217.37632200135343</v>
      </c>
      <c r="D24">
        <f t="shared" si="3"/>
        <v>182.43533983922441</v>
      </c>
      <c r="E24">
        <f t="shared" si="3"/>
        <v>190.5375058012163</v>
      </c>
      <c r="F24">
        <f t="shared" si="3"/>
        <v>187.44392961876648</v>
      </c>
      <c r="G24">
        <f t="shared" si="3"/>
        <v>233.91106858199078</v>
      </c>
      <c r="H24">
        <f t="shared" si="3"/>
        <v>331.02055240676185</v>
      </c>
      <c r="I24">
        <f t="shared" si="3"/>
        <v>298.13738680684139</v>
      </c>
      <c r="J24">
        <f t="shared" si="3"/>
        <v>302.93782099105391</v>
      </c>
      <c r="K24">
        <f t="shared" si="3"/>
        <v>324.02516807184935</v>
      </c>
      <c r="L24">
        <f t="shared" si="3"/>
        <v>291.41805349120352</v>
      </c>
      <c r="M24">
        <f t="shared" si="3"/>
        <v>272.814221136475</v>
      </c>
      <c r="N24">
        <f t="shared" si="3"/>
        <v>273.39449106353061</v>
      </c>
      <c r="O24">
        <f t="shared" si="3"/>
        <v>267.49019053642013</v>
      </c>
      <c r="P24">
        <f t="shared" si="3"/>
        <v>244.7939244530279</v>
      </c>
      <c r="Q24">
        <f t="shared" si="3"/>
        <v>228.57854595451533</v>
      </c>
      <c r="R24">
        <f t="shared" si="3"/>
        <v>203.49543332726975</v>
      </c>
      <c r="S24">
        <f t="shared" si="3"/>
        <v>200.47811015517084</v>
      </c>
      <c r="T24">
        <f t="shared" si="3"/>
        <v>168.21780706498231</v>
      </c>
      <c r="U24">
        <f t="shared" si="3"/>
        <v>167.92588402758949</v>
      </c>
      <c r="V24">
        <f t="shared" si="3"/>
        <v>165.07423520689287</v>
      </c>
      <c r="W24">
        <f t="shared" si="3"/>
        <v>159.60223145034516</v>
      </c>
      <c r="X24">
        <f t="shared" si="3"/>
        <v>174.20152254230294</v>
      </c>
      <c r="Y24">
        <f t="shared" si="3"/>
        <v>175.05984723704714</v>
      </c>
      <c r="Z24">
        <f t="shared" si="3"/>
        <v>157.66442051805819</v>
      </c>
      <c r="AA24">
        <f t="shared" si="3"/>
        <v>140.86372750241577</v>
      </c>
      <c r="AB24">
        <f t="shared" si="3"/>
        <v>138.52942398399955</v>
      </c>
      <c r="AC24">
        <f t="shared" si="3"/>
        <v>140.10059471972963</v>
      </c>
      <c r="AD24">
        <f t="shared" si="3"/>
        <v>136.7958899397365</v>
      </c>
      <c r="AJ24" s="23">
        <f>SLOPE(AA24:AD24,LN(AA2:AD2))</f>
        <v>-19.53151686828388</v>
      </c>
      <c r="AK24" s="23">
        <f>INTERCEPT(AA24:AD24,LN(AA2:AD2))</f>
        <v>196.0251225336817</v>
      </c>
    </row>
    <row r="25" spans="1:37" x14ac:dyDescent="0.25">
      <c r="A25" s="23" t="str">
        <f>'Intermediate calculations'!A29</f>
        <v>Pork consumption</v>
      </c>
      <c r="B25" t="str">
        <f>'Intermediate calculations'!B29</f>
        <v>t</v>
      </c>
      <c r="C25">
        <v>125000</v>
      </c>
      <c r="D25">
        <v>130000</v>
      </c>
      <c r="E25">
        <v>112000</v>
      </c>
      <c r="F25">
        <v>129000</v>
      </c>
      <c r="G25">
        <v>122000</v>
      </c>
      <c r="H25">
        <v>124000</v>
      </c>
      <c r="I25">
        <v>131000</v>
      </c>
      <c r="J25">
        <v>133000</v>
      </c>
      <c r="K25">
        <v>130000</v>
      </c>
      <c r="L25">
        <v>126000</v>
      </c>
      <c r="M25">
        <v>131000</v>
      </c>
      <c r="N25">
        <v>115000</v>
      </c>
      <c r="O25">
        <v>123000</v>
      </c>
      <c r="P25">
        <v>146000</v>
      </c>
      <c r="Q25">
        <v>174000</v>
      </c>
      <c r="R25">
        <v>182000</v>
      </c>
      <c r="S25">
        <v>193000</v>
      </c>
      <c r="T25">
        <v>206000</v>
      </c>
      <c r="U25">
        <v>198000</v>
      </c>
      <c r="V25">
        <v>199000</v>
      </c>
      <c r="W25">
        <v>215000</v>
      </c>
      <c r="X25">
        <v>231000</v>
      </c>
      <c r="Y25">
        <v>237000</v>
      </c>
      <c r="Z25">
        <v>245000</v>
      </c>
      <c r="AA25">
        <v>236000</v>
      </c>
      <c r="AB25">
        <v>254000</v>
      </c>
      <c r="AC25">
        <v>263000</v>
      </c>
      <c r="AD25">
        <v>254000</v>
      </c>
      <c r="AJ25" s="23"/>
      <c r="AK25" s="23"/>
    </row>
    <row r="26" spans="1:37" x14ac:dyDescent="0.25">
      <c r="A26" s="23" t="str">
        <f>'Intermediate calculations'!A32</f>
        <v>Pork production</v>
      </c>
      <c r="B26" t="str">
        <f>'Intermediate calculations'!B32</f>
        <v>t</v>
      </c>
      <c r="C26">
        <v>126200</v>
      </c>
      <c r="D26">
        <v>130800</v>
      </c>
      <c r="E26">
        <v>112700</v>
      </c>
      <c r="F26">
        <v>129600</v>
      </c>
      <c r="G26">
        <v>119600</v>
      </c>
      <c r="H26">
        <v>119000</v>
      </c>
      <c r="I26">
        <v>126500</v>
      </c>
      <c r="J26">
        <v>127900</v>
      </c>
      <c r="K26">
        <v>125000</v>
      </c>
      <c r="L26">
        <v>119200</v>
      </c>
      <c r="M26">
        <v>123000</v>
      </c>
      <c r="N26">
        <v>106900</v>
      </c>
      <c r="O26">
        <v>116600</v>
      </c>
      <c r="P26">
        <v>135000</v>
      </c>
      <c r="Q26">
        <v>156800</v>
      </c>
      <c r="R26">
        <v>159700</v>
      </c>
      <c r="S26">
        <v>171400</v>
      </c>
      <c r="T26">
        <v>187100</v>
      </c>
      <c r="U26">
        <v>181700</v>
      </c>
      <c r="V26">
        <v>180700</v>
      </c>
      <c r="W26">
        <v>191900</v>
      </c>
      <c r="X26">
        <v>205100</v>
      </c>
      <c r="Y26">
        <v>206000</v>
      </c>
      <c r="Z26">
        <v>213500</v>
      </c>
      <c r="AA26">
        <v>224200</v>
      </c>
      <c r="AB26">
        <v>233000</v>
      </c>
      <c r="AC26">
        <v>243100</v>
      </c>
      <c r="AD26">
        <v>231800</v>
      </c>
      <c r="AJ26" s="23">
        <f>SLOPE(F26:AD26,F25:AD25)</f>
        <v>0.84800908184156654</v>
      </c>
      <c r="AK26" s="23">
        <f>INTERCEPT(F26:AD26,F25:AD25)</f>
        <v>12832.12635833901</v>
      </c>
    </row>
    <row r="27" spans="1:37" x14ac:dyDescent="0.25">
      <c r="A27" s="23" t="s">
        <v>818</v>
      </c>
      <c r="B27" t="s">
        <v>815</v>
      </c>
      <c r="C27">
        <f t="shared" ref="C27:AD27" si="4">SUM(C63:C64)/C26</f>
        <v>13.653011027487219</v>
      </c>
      <c r="D27">
        <f t="shared" si="4"/>
        <v>14.391608053652755</v>
      </c>
      <c r="E27">
        <f t="shared" si="4"/>
        <v>16.592599020349589</v>
      </c>
      <c r="F27">
        <f t="shared" si="4"/>
        <v>14.420179981553732</v>
      </c>
      <c r="G27">
        <f t="shared" si="4"/>
        <v>14.841278051291667</v>
      </c>
      <c r="H27">
        <f t="shared" si="4"/>
        <v>15.058618610882386</v>
      </c>
      <c r="I27">
        <f t="shared" si="4"/>
        <v>15.256180717369467</v>
      </c>
      <c r="J27">
        <f t="shared" si="4"/>
        <v>15.018469029514932</v>
      </c>
      <c r="K27">
        <f t="shared" si="4"/>
        <v>15.701550370273951</v>
      </c>
      <c r="L27">
        <f t="shared" si="4"/>
        <v>16.882881640786671</v>
      </c>
      <c r="M27">
        <f t="shared" si="4"/>
        <v>15.138795298415898</v>
      </c>
      <c r="N27">
        <f t="shared" si="4"/>
        <v>17.746678439758945</v>
      </c>
      <c r="O27">
        <f t="shared" si="4"/>
        <v>16.58060559776451</v>
      </c>
      <c r="P27">
        <f t="shared" si="4"/>
        <v>13.927119744071932</v>
      </c>
      <c r="Q27">
        <f t="shared" si="4"/>
        <v>11.990823759245604</v>
      </c>
      <c r="R27">
        <f t="shared" si="4"/>
        <v>11.688128726620503</v>
      </c>
      <c r="S27">
        <f t="shared" si="4"/>
        <v>10.698991960935169</v>
      </c>
      <c r="T27">
        <f t="shared" si="4"/>
        <v>9.9764519382217767</v>
      </c>
      <c r="U27">
        <f t="shared" si="4"/>
        <v>10.048944051821932</v>
      </c>
      <c r="V27">
        <f t="shared" si="4"/>
        <v>10.092041871875903</v>
      </c>
      <c r="W27">
        <f t="shared" si="4"/>
        <v>9.3910936453950828</v>
      </c>
      <c r="X27">
        <f t="shared" si="4"/>
        <v>8.7315701156068712</v>
      </c>
      <c r="Y27">
        <f t="shared" si="4"/>
        <v>8.6659811203436679</v>
      </c>
      <c r="Z27">
        <f t="shared" si="4"/>
        <v>8.3350781773799625</v>
      </c>
      <c r="AA27">
        <f t="shared" si="4"/>
        <v>7.876771556923309</v>
      </c>
      <c r="AB27">
        <f t="shared" si="4"/>
        <v>7.3900403763298383</v>
      </c>
      <c r="AC27">
        <f t="shared" si="4"/>
        <v>7.0318510236958893</v>
      </c>
      <c r="AD27">
        <f t="shared" si="4"/>
        <v>7.2234464208602027</v>
      </c>
      <c r="AJ27" s="23">
        <f>SLOPE(K27:AD27,LN(K2:AD2))</f>
        <v>-3.8989982573491209</v>
      </c>
      <c r="AK27" s="23">
        <f>INTERCEPT(K27:AD27,LN(K2:AD2))</f>
        <v>19.509267032030309</v>
      </c>
    </row>
    <row r="28" spans="1:37" x14ac:dyDescent="0.25">
      <c r="A28" s="23" t="str">
        <f>'Intermediate calculations'!A34</f>
        <v>Egg consumption</v>
      </c>
      <c r="B28" t="str">
        <f>'Intermediate calculations'!B34</f>
        <v>t</v>
      </c>
      <c r="C28">
        <v>209000</v>
      </c>
      <c r="D28">
        <v>214000</v>
      </c>
      <c r="E28">
        <v>223000</v>
      </c>
      <c r="F28">
        <v>218000</v>
      </c>
      <c r="G28">
        <v>233000</v>
      </c>
      <c r="H28">
        <v>272000</v>
      </c>
      <c r="I28">
        <v>263000</v>
      </c>
      <c r="J28">
        <v>293000</v>
      </c>
      <c r="K28">
        <v>302000</v>
      </c>
      <c r="L28">
        <v>299000</v>
      </c>
      <c r="M28">
        <v>310000</v>
      </c>
      <c r="N28">
        <v>308000</v>
      </c>
      <c r="O28">
        <v>313000</v>
      </c>
      <c r="P28">
        <v>305000</v>
      </c>
      <c r="Q28">
        <v>329000</v>
      </c>
      <c r="R28">
        <v>357000</v>
      </c>
      <c r="S28">
        <v>392000</v>
      </c>
      <c r="T28">
        <v>416000</v>
      </c>
      <c r="U28">
        <v>404000</v>
      </c>
      <c r="V28">
        <v>379000</v>
      </c>
      <c r="W28">
        <v>386000</v>
      </c>
      <c r="X28">
        <v>426000</v>
      </c>
      <c r="Y28">
        <v>447000</v>
      </c>
      <c r="Z28">
        <v>433000</v>
      </c>
      <c r="AA28">
        <v>418000</v>
      </c>
      <c r="AB28">
        <v>438000</v>
      </c>
      <c r="AC28">
        <v>441000</v>
      </c>
      <c r="AD28">
        <v>412000</v>
      </c>
      <c r="AJ28" s="23"/>
      <c r="AK28" s="23"/>
    </row>
    <row r="29" spans="1:37" x14ac:dyDescent="0.25">
      <c r="A29" s="23" t="str">
        <f>'Intermediate calculations'!A37</f>
        <v>Egg production</v>
      </c>
      <c r="B29" t="str">
        <f>'Intermediate calculations'!B37</f>
        <v>t</v>
      </c>
      <c r="C29">
        <v>224000</v>
      </c>
      <c r="D29">
        <v>232000</v>
      </c>
      <c r="E29">
        <v>238000</v>
      </c>
      <c r="F29">
        <v>235000</v>
      </c>
      <c r="G29">
        <v>251000</v>
      </c>
      <c r="H29">
        <v>290000</v>
      </c>
      <c r="I29">
        <v>282000</v>
      </c>
      <c r="J29">
        <v>314000</v>
      </c>
      <c r="K29">
        <v>323000</v>
      </c>
      <c r="L29">
        <v>318000</v>
      </c>
      <c r="M29">
        <v>329000</v>
      </c>
      <c r="N29">
        <v>330000</v>
      </c>
      <c r="O29">
        <v>340000</v>
      </c>
      <c r="P29">
        <v>328000</v>
      </c>
      <c r="Q29">
        <v>348000</v>
      </c>
      <c r="R29">
        <v>375000</v>
      </c>
      <c r="S29">
        <v>412000</v>
      </c>
      <c r="T29">
        <v>438000</v>
      </c>
      <c r="U29">
        <v>426000</v>
      </c>
      <c r="V29">
        <v>404000</v>
      </c>
      <c r="W29">
        <v>413000</v>
      </c>
      <c r="X29">
        <v>452000</v>
      </c>
      <c r="Y29">
        <v>477000</v>
      </c>
      <c r="Z29">
        <v>468000</v>
      </c>
      <c r="AA29">
        <v>453000</v>
      </c>
      <c r="AB29">
        <v>477000</v>
      </c>
      <c r="AC29">
        <v>478000</v>
      </c>
      <c r="AD29">
        <v>445000</v>
      </c>
      <c r="AJ29" s="23">
        <f>SLOPE(M29:AD29,M28:AD28)</f>
        <v>1.0877031438417331</v>
      </c>
      <c r="AK29" s="23">
        <f>INTERCEPT(M29:AD29,M28:AD28)</f>
        <v>-7076.6409178745816</v>
      </c>
    </row>
    <row r="30" spans="1:37" x14ac:dyDescent="0.25">
      <c r="A30" s="23" t="s">
        <v>836</v>
      </c>
      <c r="B30" t="s">
        <v>815</v>
      </c>
      <c r="C30">
        <f t="shared" ref="C30:AD30" si="5">SUM(C65,C67)/C29</f>
        <v>68.119237849915791</v>
      </c>
      <c r="D30">
        <f t="shared" si="5"/>
        <v>63.894859769163475</v>
      </c>
      <c r="E30">
        <f t="shared" si="5"/>
        <v>59.072103114550025</v>
      </c>
      <c r="F30">
        <f t="shared" si="5"/>
        <v>58.885553141022513</v>
      </c>
      <c r="G30">
        <f t="shared" si="5"/>
        <v>52.733853566608673</v>
      </c>
      <c r="H30">
        <f t="shared" si="5"/>
        <v>49.801167659087803</v>
      </c>
      <c r="I30">
        <f t="shared" si="5"/>
        <v>54.097578895179353</v>
      </c>
      <c r="J30">
        <f t="shared" si="5"/>
        <v>48.744213441440387</v>
      </c>
      <c r="K30">
        <f t="shared" si="5"/>
        <v>53.352655002236958</v>
      </c>
      <c r="L30">
        <f t="shared" si="5"/>
        <v>58.098761689825743</v>
      </c>
      <c r="M30">
        <f t="shared" si="5"/>
        <v>54.966389071324642</v>
      </c>
      <c r="N30">
        <f t="shared" si="5"/>
        <v>56.261688084642699</v>
      </c>
      <c r="O30">
        <f t="shared" si="5"/>
        <v>54.178346501154266</v>
      </c>
      <c r="P30">
        <f t="shared" si="5"/>
        <v>53.918414227536552</v>
      </c>
      <c r="Q30">
        <f t="shared" si="5"/>
        <v>52.662428155033204</v>
      </c>
      <c r="R30">
        <f t="shared" si="5"/>
        <v>51.817664184004158</v>
      </c>
      <c r="S30">
        <f t="shared" si="5"/>
        <v>52.051167139869889</v>
      </c>
      <c r="T30">
        <f t="shared" si="5"/>
        <v>54.184194262204088</v>
      </c>
      <c r="U30">
        <f t="shared" si="5"/>
        <v>56.444210182137155</v>
      </c>
      <c r="V30">
        <f t="shared" si="5"/>
        <v>57.323692110809887</v>
      </c>
      <c r="W30">
        <f t="shared" si="5"/>
        <v>58.258803357595554</v>
      </c>
      <c r="X30">
        <f t="shared" si="5"/>
        <v>55.689096813946371</v>
      </c>
      <c r="Y30">
        <f t="shared" si="5"/>
        <v>54.692702222346824</v>
      </c>
      <c r="Z30">
        <f t="shared" si="5"/>
        <v>54.659527423183164</v>
      </c>
      <c r="AA30">
        <f t="shared" si="5"/>
        <v>55.988522813895251</v>
      </c>
      <c r="AB30">
        <f t="shared" si="5"/>
        <v>54.287021951504038</v>
      </c>
      <c r="AC30">
        <f t="shared" si="5"/>
        <v>54.061924686192469</v>
      </c>
      <c r="AD30">
        <f t="shared" si="5"/>
        <v>54.23083146067416</v>
      </c>
      <c r="AJ30" s="23">
        <f>SLOPE(K30:AD30,LN(K2:AD2))</f>
        <v>3.721208914924904E-2</v>
      </c>
      <c r="AK30" s="23">
        <f>INTERCEPT(K30:AD30,LN(K2:AD2))</f>
        <v>54.777632230309557</v>
      </c>
    </row>
    <row r="31" spans="1:37" x14ac:dyDescent="0.25">
      <c r="A31" s="23" t="str">
        <f>'Intermediate calculations'!A39</f>
        <v>Chicken consumption</v>
      </c>
      <c r="B31" t="str">
        <f>'Intermediate calculations'!B39</f>
        <v>t</v>
      </c>
      <c r="C31">
        <f>C32-C25</f>
        <v>480000</v>
      </c>
      <c r="D31">
        <f t="shared" ref="D31:AD31" si="6">D32-D25</f>
        <v>463000</v>
      </c>
      <c r="E31">
        <f t="shared" si="6"/>
        <v>459000</v>
      </c>
      <c r="F31">
        <f t="shared" si="6"/>
        <v>451000</v>
      </c>
      <c r="G31">
        <f t="shared" si="6"/>
        <v>487000</v>
      </c>
      <c r="H31">
        <f t="shared" si="6"/>
        <v>538000</v>
      </c>
      <c r="I31">
        <f t="shared" si="6"/>
        <v>607000</v>
      </c>
      <c r="J31">
        <f t="shared" si="6"/>
        <v>693000</v>
      </c>
      <c r="K31">
        <f t="shared" si="6"/>
        <v>724000</v>
      </c>
      <c r="L31">
        <f t="shared" si="6"/>
        <v>748000</v>
      </c>
      <c r="M31">
        <f t="shared" si="6"/>
        <v>796000</v>
      </c>
      <c r="N31">
        <f t="shared" si="6"/>
        <v>823000</v>
      </c>
      <c r="O31">
        <f t="shared" si="6"/>
        <v>842000</v>
      </c>
      <c r="P31">
        <f t="shared" si="6"/>
        <v>886000</v>
      </c>
      <c r="Q31">
        <f t="shared" si="6"/>
        <v>1022000</v>
      </c>
      <c r="R31">
        <f t="shared" si="6"/>
        <v>1273000</v>
      </c>
      <c r="S31">
        <f t="shared" si="6"/>
        <v>1471000</v>
      </c>
      <c r="T31">
        <f t="shared" si="6"/>
        <v>1561000</v>
      </c>
      <c r="U31">
        <f t="shared" si="6"/>
        <v>1615000</v>
      </c>
      <c r="V31">
        <f t="shared" si="6"/>
        <v>1642000</v>
      </c>
      <c r="W31">
        <f t="shared" si="6"/>
        <v>1672000</v>
      </c>
      <c r="X31">
        <f t="shared" si="6"/>
        <v>1756000</v>
      </c>
      <c r="Y31">
        <f t="shared" si="6"/>
        <v>1811000</v>
      </c>
      <c r="Z31">
        <f t="shared" si="6"/>
        <v>1816000</v>
      </c>
      <c r="AA31">
        <f t="shared" si="6"/>
        <v>1779000</v>
      </c>
      <c r="AB31">
        <f t="shared" si="6"/>
        <v>1822000</v>
      </c>
      <c r="AC31">
        <f t="shared" si="6"/>
        <v>1937000</v>
      </c>
      <c r="AD31">
        <f t="shared" si="6"/>
        <v>1901000</v>
      </c>
      <c r="AJ31" s="23"/>
      <c r="AK31" s="23"/>
    </row>
    <row r="32" spans="1:37" x14ac:dyDescent="0.25">
      <c r="A32" s="23" t="s">
        <v>934</v>
      </c>
      <c r="B32" t="s">
        <v>321</v>
      </c>
      <c r="C32">
        <v>605000</v>
      </c>
      <c r="D32">
        <v>593000</v>
      </c>
      <c r="E32">
        <v>571000</v>
      </c>
      <c r="F32">
        <v>580000</v>
      </c>
      <c r="G32">
        <v>609000</v>
      </c>
      <c r="H32">
        <v>662000</v>
      </c>
      <c r="I32">
        <v>738000</v>
      </c>
      <c r="J32">
        <v>826000</v>
      </c>
      <c r="K32">
        <v>854000</v>
      </c>
      <c r="L32">
        <v>874000</v>
      </c>
      <c r="M32">
        <v>927000</v>
      </c>
      <c r="N32">
        <v>938000</v>
      </c>
      <c r="O32">
        <v>965000</v>
      </c>
      <c r="P32">
        <v>1032000</v>
      </c>
      <c r="Q32">
        <v>1196000</v>
      </c>
      <c r="R32">
        <v>1455000</v>
      </c>
      <c r="S32">
        <v>1664000</v>
      </c>
      <c r="T32">
        <v>1767000</v>
      </c>
      <c r="U32">
        <v>1813000</v>
      </c>
      <c r="V32">
        <v>1841000</v>
      </c>
      <c r="W32">
        <v>1887000</v>
      </c>
      <c r="X32">
        <v>1987000</v>
      </c>
      <c r="Y32">
        <v>2048000</v>
      </c>
      <c r="Z32">
        <v>2061000</v>
      </c>
      <c r="AA32">
        <v>2015000</v>
      </c>
      <c r="AB32">
        <v>2076000</v>
      </c>
      <c r="AC32">
        <v>2200000</v>
      </c>
      <c r="AD32">
        <v>2155000</v>
      </c>
      <c r="AJ32" s="23"/>
      <c r="AK32" s="23"/>
    </row>
    <row r="33" spans="1:37" x14ac:dyDescent="0.25">
      <c r="A33" s="23" t="str">
        <f>'Intermediate calculations'!A42</f>
        <v>Chicken production</v>
      </c>
      <c r="B33" t="str">
        <f>'Intermediate calculations'!B42</f>
        <v>t</v>
      </c>
      <c r="C33">
        <f>C34-C26</f>
        <v>482800</v>
      </c>
      <c r="D33">
        <f t="shared" ref="D33:AD33" si="7">D34-D26</f>
        <v>462200</v>
      </c>
      <c r="E33">
        <f t="shared" si="7"/>
        <v>451300</v>
      </c>
      <c r="F33">
        <f t="shared" si="7"/>
        <v>447400</v>
      </c>
      <c r="G33">
        <f t="shared" si="7"/>
        <v>487400</v>
      </c>
      <c r="H33">
        <f t="shared" si="7"/>
        <v>528000</v>
      </c>
      <c r="I33">
        <f t="shared" si="7"/>
        <v>572500</v>
      </c>
      <c r="J33">
        <f t="shared" si="7"/>
        <v>625100</v>
      </c>
      <c r="K33">
        <f t="shared" si="7"/>
        <v>652000</v>
      </c>
      <c r="L33">
        <f t="shared" si="7"/>
        <v>683800</v>
      </c>
      <c r="M33">
        <f t="shared" si="7"/>
        <v>727000</v>
      </c>
      <c r="N33">
        <f t="shared" si="7"/>
        <v>762100</v>
      </c>
      <c r="O33">
        <f t="shared" si="7"/>
        <v>779400</v>
      </c>
      <c r="P33">
        <f t="shared" si="7"/>
        <v>790000</v>
      </c>
      <c r="Q33">
        <f t="shared" si="7"/>
        <v>886200</v>
      </c>
      <c r="R33">
        <f t="shared" si="7"/>
        <v>1113300</v>
      </c>
      <c r="S33">
        <f t="shared" si="7"/>
        <v>1255600</v>
      </c>
      <c r="T33">
        <f t="shared" si="7"/>
        <v>1311900</v>
      </c>
      <c r="U33">
        <f t="shared" si="7"/>
        <v>1402300</v>
      </c>
      <c r="V33">
        <f t="shared" si="7"/>
        <v>1463300</v>
      </c>
      <c r="W33">
        <f t="shared" si="7"/>
        <v>1489100</v>
      </c>
      <c r="X33">
        <f t="shared" si="7"/>
        <v>1515900</v>
      </c>
      <c r="Y33">
        <f t="shared" si="7"/>
        <v>1475000</v>
      </c>
      <c r="Z33">
        <f t="shared" si="7"/>
        <v>1477500</v>
      </c>
      <c r="AA33">
        <f t="shared" si="7"/>
        <v>1443800</v>
      </c>
      <c r="AB33">
        <f t="shared" si="7"/>
        <v>1476000</v>
      </c>
      <c r="AC33">
        <f t="shared" si="7"/>
        <v>1460900</v>
      </c>
      <c r="AD33">
        <f t="shared" si="7"/>
        <v>1431200</v>
      </c>
      <c r="AJ33" s="23">
        <f>SLOPE(M33:AD33,M31:AD31)</f>
        <v>0.72079650032034193</v>
      </c>
      <c r="AK33" s="23">
        <f>INTERCEPT(M33:AD33,M31:AD31)</f>
        <v>178525.13772416487</v>
      </c>
    </row>
    <row r="34" spans="1:37" x14ac:dyDescent="0.25">
      <c r="A34" s="23" t="s">
        <v>935</v>
      </c>
      <c r="B34" t="s">
        <v>321</v>
      </c>
      <c r="C34">
        <v>609000</v>
      </c>
      <c r="D34">
        <v>593000</v>
      </c>
      <c r="E34">
        <v>564000</v>
      </c>
      <c r="F34">
        <v>577000</v>
      </c>
      <c r="G34">
        <v>607000</v>
      </c>
      <c r="H34">
        <v>647000</v>
      </c>
      <c r="I34">
        <v>699000</v>
      </c>
      <c r="J34">
        <v>753000</v>
      </c>
      <c r="K34">
        <v>777000</v>
      </c>
      <c r="L34">
        <v>803000</v>
      </c>
      <c r="M34">
        <v>850000</v>
      </c>
      <c r="N34">
        <v>869000</v>
      </c>
      <c r="O34">
        <v>896000</v>
      </c>
      <c r="P34">
        <v>925000</v>
      </c>
      <c r="Q34">
        <v>1043000</v>
      </c>
      <c r="R34">
        <v>1273000</v>
      </c>
      <c r="S34">
        <v>1427000</v>
      </c>
      <c r="T34">
        <v>1499000</v>
      </c>
      <c r="U34">
        <v>1584000</v>
      </c>
      <c r="V34">
        <v>1644000</v>
      </c>
      <c r="W34">
        <v>1681000</v>
      </c>
      <c r="X34">
        <v>1721000</v>
      </c>
      <c r="Y34">
        <v>1681000</v>
      </c>
      <c r="Z34">
        <v>1691000</v>
      </c>
      <c r="AA34">
        <v>1668000</v>
      </c>
      <c r="AB34">
        <v>1709000</v>
      </c>
      <c r="AC34">
        <v>1704000</v>
      </c>
      <c r="AD34">
        <v>1663000</v>
      </c>
      <c r="AJ34" s="23"/>
      <c r="AK34" s="23"/>
    </row>
    <row r="35" spans="1:37" x14ac:dyDescent="0.25">
      <c r="A35" s="23" t="s">
        <v>838</v>
      </c>
      <c r="B35" t="s">
        <v>815</v>
      </c>
      <c r="C35">
        <f t="shared" ref="C35:AB35" si="8">SUM(C66,C68)/C33</f>
        <v>86.98690270724579</v>
      </c>
      <c r="D35">
        <f t="shared" si="8"/>
        <v>85.412029598416751</v>
      </c>
      <c r="E35">
        <f t="shared" si="8"/>
        <v>82.670075098233795</v>
      </c>
      <c r="F35">
        <f t="shared" si="8"/>
        <v>93.784908087692543</v>
      </c>
      <c r="G35">
        <f t="shared" si="8"/>
        <v>85.280758961852342</v>
      </c>
      <c r="H35">
        <f t="shared" si="8"/>
        <v>90.110194006957386</v>
      </c>
      <c r="I35">
        <f t="shared" si="8"/>
        <v>96.630851643558501</v>
      </c>
      <c r="J35">
        <f t="shared" si="8"/>
        <v>90.082578577450462</v>
      </c>
      <c r="K35">
        <f t="shared" si="8"/>
        <v>94.634047967599372</v>
      </c>
      <c r="L35">
        <f t="shared" si="8"/>
        <v>94.202352622715566</v>
      </c>
      <c r="M35">
        <f t="shared" si="8"/>
        <v>95.33205671803546</v>
      </c>
      <c r="N35">
        <f t="shared" si="8"/>
        <v>87.813432210520816</v>
      </c>
      <c r="O35">
        <f t="shared" si="8"/>
        <v>95.16546905639143</v>
      </c>
      <c r="P35">
        <f t="shared" si="8"/>
        <v>89.302199213409068</v>
      </c>
      <c r="Q35">
        <f t="shared" si="8"/>
        <v>81.529954234122201</v>
      </c>
      <c r="R35">
        <f t="shared" si="8"/>
        <v>71.80889155599867</v>
      </c>
      <c r="S35">
        <f t="shared" si="8"/>
        <v>68.101686202690857</v>
      </c>
      <c r="T35">
        <f t="shared" si="8"/>
        <v>68.19521740619362</v>
      </c>
      <c r="U35">
        <f t="shared" si="8"/>
        <v>67.928587433949829</v>
      </c>
      <c r="V35">
        <f t="shared" si="8"/>
        <v>61.42602874071288</v>
      </c>
      <c r="W35">
        <f t="shared" si="8"/>
        <v>61.879913995624968</v>
      </c>
      <c r="X35">
        <f t="shared" si="8"/>
        <v>62.868580144994802</v>
      </c>
      <c r="Y35">
        <f t="shared" si="8"/>
        <v>66.051244173620844</v>
      </c>
      <c r="Z35">
        <f t="shared" si="8"/>
        <v>64.213565829178464</v>
      </c>
      <c r="AA35">
        <f t="shared" si="8"/>
        <v>68.701063341906504</v>
      </c>
      <c r="AB35">
        <f t="shared" si="8"/>
        <v>69.913648944780405</v>
      </c>
      <c r="AC35">
        <f t="shared" ref="AC35:AD35" si="9">SUM(AC66,AC68)/AC33</f>
        <v>65.686786999794649</v>
      </c>
      <c r="AD35">
        <f t="shared" si="9"/>
        <v>66.964110342370034</v>
      </c>
      <c r="AJ35" s="23">
        <f>SLOPE(K35:AD35,LN(K2:AD2))</f>
        <v>-13.661011546309085</v>
      </c>
      <c r="AK35" s="23">
        <f>INTERCEPT(K35:AD35,LN(K2:AD2))</f>
        <v>104.00330912125385</v>
      </c>
    </row>
    <row r="36" spans="1:37" x14ac:dyDescent="0.25">
      <c r="A36" t="str">
        <f>'Intermediate calculations'!A49</f>
        <v>Sorghum consumption (total)</v>
      </c>
      <c r="B36" t="str">
        <f>'Intermediate calculations'!B49</f>
        <v>t</v>
      </c>
      <c r="C36">
        <v>316000</v>
      </c>
      <c r="D36">
        <v>245000</v>
      </c>
      <c r="E36">
        <v>243000</v>
      </c>
      <c r="F36">
        <v>287000</v>
      </c>
      <c r="G36">
        <v>410000</v>
      </c>
      <c r="H36">
        <v>303000</v>
      </c>
      <c r="I36">
        <v>331000</v>
      </c>
      <c r="J36">
        <v>243000</v>
      </c>
      <c r="K36">
        <v>235000</v>
      </c>
      <c r="L36">
        <v>0</v>
      </c>
      <c r="M36">
        <v>210000</v>
      </c>
      <c r="N36">
        <v>209000</v>
      </c>
      <c r="O36">
        <v>206000</v>
      </c>
      <c r="P36">
        <v>196000</v>
      </c>
      <c r="Q36">
        <v>179000</v>
      </c>
      <c r="R36">
        <v>189000</v>
      </c>
      <c r="S36">
        <v>203000</v>
      </c>
      <c r="T36">
        <v>190000</v>
      </c>
      <c r="U36">
        <v>196000</v>
      </c>
      <c r="V36">
        <v>187000</v>
      </c>
      <c r="W36">
        <v>192000</v>
      </c>
      <c r="X36">
        <v>191000</v>
      </c>
      <c r="Y36">
        <v>190000</v>
      </c>
      <c r="Z36">
        <v>165000</v>
      </c>
      <c r="AA36">
        <v>170000</v>
      </c>
      <c r="AB36">
        <v>160000</v>
      </c>
      <c r="AC36">
        <v>159000</v>
      </c>
      <c r="AD36">
        <v>171000</v>
      </c>
      <c r="AJ36" s="23"/>
      <c r="AK36" s="23"/>
    </row>
    <row r="37" spans="1:37" x14ac:dyDescent="0.25">
      <c r="A37" t="s">
        <v>871</v>
      </c>
      <c r="B37" t="s">
        <v>321</v>
      </c>
      <c r="C37">
        <f t="shared" ref="C37:AD37" si="10">C40-C39</f>
        <v>4072000</v>
      </c>
      <c r="D37">
        <f t="shared" si="10"/>
        <v>4235000</v>
      </c>
      <c r="E37">
        <f t="shared" si="10"/>
        <v>4455000</v>
      </c>
      <c r="F37">
        <f t="shared" si="10"/>
        <v>4085000</v>
      </c>
      <c r="G37">
        <f t="shared" si="10"/>
        <v>3855000</v>
      </c>
      <c r="H37">
        <f t="shared" si="10"/>
        <v>3877000</v>
      </c>
      <c r="I37">
        <f t="shared" si="10"/>
        <v>4035000</v>
      </c>
      <c r="J37">
        <f t="shared" si="10"/>
        <v>3826000</v>
      </c>
      <c r="K37">
        <f t="shared" si="10"/>
        <v>3001000</v>
      </c>
      <c r="L37">
        <f t="shared" si="10"/>
        <v>2960000</v>
      </c>
      <c r="M37">
        <f t="shared" si="10"/>
        <v>2936000</v>
      </c>
      <c r="N37">
        <f t="shared" si="10"/>
        <v>3263000</v>
      </c>
      <c r="O37">
        <f t="shared" si="10"/>
        <v>3274000</v>
      </c>
      <c r="P37">
        <f t="shared" si="10"/>
        <v>3275000</v>
      </c>
      <c r="Q37">
        <f t="shared" si="10"/>
        <v>3531000</v>
      </c>
      <c r="R37">
        <f t="shared" si="10"/>
        <v>3543000</v>
      </c>
      <c r="S37">
        <f t="shared" si="10"/>
        <v>3637000</v>
      </c>
      <c r="T37">
        <f t="shared" si="10"/>
        <v>3844000</v>
      </c>
      <c r="U37">
        <f t="shared" si="10"/>
        <v>4220000</v>
      </c>
      <c r="V37">
        <f t="shared" si="10"/>
        <v>4089000</v>
      </c>
      <c r="W37">
        <f t="shared" si="10"/>
        <v>4187000</v>
      </c>
      <c r="X37">
        <f t="shared" si="10"/>
        <v>4344000</v>
      </c>
      <c r="Y37">
        <f t="shared" si="10"/>
        <v>4429000</v>
      </c>
      <c r="Z37">
        <f t="shared" si="10"/>
        <v>4436000</v>
      </c>
      <c r="AA37">
        <f t="shared" si="10"/>
        <v>4767000</v>
      </c>
      <c r="AB37">
        <f t="shared" si="10"/>
        <v>5087000</v>
      </c>
      <c r="AC37">
        <f t="shared" si="10"/>
        <v>5551000</v>
      </c>
      <c r="AD37">
        <f t="shared" si="10"/>
        <v>5004000</v>
      </c>
      <c r="AJ37" s="23">
        <f>SLOPE(K39:AD39,K37:AD37)</f>
        <v>0.61361155339122397</v>
      </c>
      <c r="AK37" s="23">
        <f>INTERCEPT(K39:AD39,K37:AD37)</f>
        <v>1650287.1057455712</v>
      </c>
    </row>
    <row r="38" spans="1:37" x14ac:dyDescent="0.25">
      <c r="A38" t="s">
        <v>877</v>
      </c>
      <c r="B38" t="s">
        <v>321</v>
      </c>
      <c r="C38">
        <f>C44-C43</f>
        <v>122000</v>
      </c>
      <c r="D38">
        <f t="shared" ref="D38:AD38" si="11">D44-D43</f>
        <v>50000</v>
      </c>
      <c r="E38">
        <f t="shared" si="11"/>
        <v>44000</v>
      </c>
      <c r="F38">
        <f t="shared" si="11"/>
        <v>87000</v>
      </c>
      <c r="G38">
        <f t="shared" si="11"/>
        <v>226000</v>
      </c>
      <c r="H38">
        <f t="shared" si="11"/>
        <v>120000</v>
      </c>
      <c r="I38">
        <f t="shared" si="11"/>
        <v>150000</v>
      </c>
      <c r="J38">
        <f t="shared" si="11"/>
        <v>64000</v>
      </c>
      <c r="K38">
        <f t="shared" si="11"/>
        <v>58000</v>
      </c>
      <c r="L38">
        <f t="shared" si="11"/>
        <v>-175500</v>
      </c>
      <c r="M38">
        <f t="shared" si="11"/>
        <v>36000</v>
      </c>
      <c r="N38">
        <f t="shared" si="11"/>
        <v>23000</v>
      </c>
      <c r="O38">
        <f t="shared" si="11"/>
        <v>16000</v>
      </c>
      <c r="P38">
        <f t="shared" si="11"/>
        <v>22000</v>
      </c>
      <c r="Q38">
        <f t="shared" si="11"/>
        <v>10000</v>
      </c>
      <c r="R38">
        <f t="shared" si="11"/>
        <v>10000</v>
      </c>
      <c r="S38">
        <f t="shared" si="11"/>
        <v>12000</v>
      </c>
      <c r="T38">
        <f t="shared" si="11"/>
        <v>8000</v>
      </c>
      <c r="U38">
        <f t="shared" si="11"/>
        <v>11000</v>
      </c>
      <c r="V38">
        <f t="shared" si="11"/>
        <v>10000</v>
      </c>
      <c r="W38">
        <f t="shared" si="11"/>
        <v>8000</v>
      </c>
      <c r="X38">
        <f t="shared" si="11"/>
        <v>9000</v>
      </c>
      <c r="Y38">
        <f t="shared" si="11"/>
        <v>7000</v>
      </c>
      <c r="Z38">
        <f t="shared" si="11"/>
        <v>6000</v>
      </c>
      <c r="AA38">
        <f t="shared" si="11"/>
        <v>5000</v>
      </c>
      <c r="AB38">
        <f t="shared" si="11"/>
        <v>7000</v>
      </c>
      <c r="AC38">
        <f t="shared" si="11"/>
        <v>10000</v>
      </c>
      <c r="AD38">
        <f t="shared" si="11"/>
        <v>10000</v>
      </c>
      <c r="AJ38" s="23"/>
      <c r="AK38" s="23"/>
    </row>
    <row r="39" spans="1:37" x14ac:dyDescent="0.25">
      <c r="A39" t="str">
        <f>'Intermediate calculations'!A45</f>
        <v>Maize consumption (human)</v>
      </c>
      <c r="B39" t="str">
        <f>'Intermediate calculations'!B45</f>
        <v>t</v>
      </c>
      <c r="C39">
        <v>2353000</v>
      </c>
      <c r="D39">
        <v>2534000</v>
      </c>
      <c r="E39">
        <v>2567000</v>
      </c>
      <c r="F39">
        <v>2743000</v>
      </c>
      <c r="G39">
        <v>2918000</v>
      </c>
      <c r="H39">
        <v>2540000</v>
      </c>
      <c r="I39">
        <v>2807000</v>
      </c>
      <c r="J39">
        <v>2912000</v>
      </c>
      <c r="K39">
        <v>3382000</v>
      </c>
      <c r="L39">
        <v>3381000</v>
      </c>
      <c r="M39">
        <v>3426000</v>
      </c>
      <c r="N39">
        <v>3589000</v>
      </c>
      <c r="O39">
        <v>3877000</v>
      </c>
      <c r="P39">
        <v>3708000</v>
      </c>
      <c r="Q39">
        <v>3712000</v>
      </c>
      <c r="R39">
        <v>3740000</v>
      </c>
      <c r="S39">
        <v>3825000</v>
      </c>
      <c r="T39">
        <v>3816000</v>
      </c>
      <c r="U39">
        <v>3809000</v>
      </c>
      <c r="V39">
        <v>4524000</v>
      </c>
      <c r="W39">
        <v>4471000</v>
      </c>
      <c r="X39">
        <v>4513000</v>
      </c>
      <c r="Y39">
        <v>4512000</v>
      </c>
      <c r="Z39">
        <v>4499000</v>
      </c>
      <c r="AA39">
        <v>4582000</v>
      </c>
      <c r="AB39">
        <v>4840000</v>
      </c>
      <c r="AC39">
        <v>4698000</v>
      </c>
      <c r="AD39">
        <v>4809000</v>
      </c>
      <c r="AJ39">
        <f>SLOPE(M39:AD39,Drivers!N4:AE4)</f>
        <v>0.12497708592423579</v>
      </c>
      <c r="AK39">
        <f>INTERCEPT(M39:AD39,Drivers!N4:AE4)</f>
        <v>-2125948.8862176687</v>
      </c>
    </row>
    <row r="40" spans="1:37" x14ac:dyDescent="0.25">
      <c r="A40" t="str">
        <f>'Intermediate calculations'!A44</f>
        <v>Maize consumption (total)</v>
      </c>
      <c r="B40" t="str">
        <f>'Intermediate calculations'!B44</f>
        <v>t</v>
      </c>
      <c r="C40">
        <v>6425000</v>
      </c>
      <c r="D40">
        <v>6769000</v>
      </c>
      <c r="E40">
        <v>7022000</v>
      </c>
      <c r="F40">
        <v>6828000</v>
      </c>
      <c r="G40">
        <v>6773000</v>
      </c>
      <c r="H40">
        <v>6417000</v>
      </c>
      <c r="I40">
        <v>6842000</v>
      </c>
      <c r="J40">
        <v>6738000</v>
      </c>
      <c r="K40">
        <v>6383000</v>
      </c>
      <c r="L40">
        <v>6341000</v>
      </c>
      <c r="M40">
        <v>6362000</v>
      </c>
      <c r="N40">
        <v>6852000</v>
      </c>
      <c r="O40">
        <v>7151000</v>
      </c>
      <c r="P40">
        <v>6983000</v>
      </c>
      <c r="Q40">
        <v>7243000</v>
      </c>
      <c r="R40">
        <v>7283000</v>
      </c>
      <c r="S40">
        <v>7462000</v>
      </c>
      <c r="T40">
        <v>7660000</v>
      </c>
      <c r="U40">
        <v>8029000</v>
      </c>
      <c r="V40">
        <v>8613000</v>
      </c>
      <c r="W40">
        <v>8658000</v>
      </c>
      <c r="X40">
        <v>8857000</v>
      </c>
      <c r="Y40">
        <v>8941000</v>
      </c>
      <c r="Z40">
        <v>8935000</v>
      </c>
      <c r="AA40">
        <v>9349000</v>
      </c>
      <c r="AB40">
        <v>9927000</v>
      </c>
      <c r="AC40">
        <v>10249000</v>
      </c>
      <c r="AD40">
        <v>9813000</v>
      </c>
      <c r="AJ40">
        <f>SLOPE(M40:AD40,M39:AD39)</f>
        <v>2.3833210982866073</v>
      </c>
      <c r="AK40">
        <f>INTERCEPT(M40:AD40,M39:AD39)</f>
        <v>-1681273.1286989572</v>
      </c>
    </row>
    <row r="41" spans="1:37" x14ac:dyDescent="0.25">
      <c r="A41" t="str">
        <f>'Intermediate calculations'!A46</f>
        <v>Maize production</v>
      </c>
      <c r="B41" t="str">
        <f>'Intermediate calculations'!B46</f>
        <v>t</v>
      </c>
      <c r="C41">
        <v>9180000</v>
      </c>
      <c r="D41">
        <v>8614000</v>
      </c>
      <c r="E41">
        <v>3277000</v>
      </c>
      <c r="F41">
        <v>9997000</v>
      </c>
      <c r="G41">
        <v>13275000</v>
      </c>
      <c r="H41">
        <v>4866000</v>
      </c>
      <c r="I41">
        <v>10171000</v>
      </c>
      <c r="J41">
        <v>10136000</v>
      </c>
      <c r="K41">
        <v>7693000</v>
      </c>
      <c r="L41">
        <v>7946000</v>
      </c>
      <c r="M41">
        <v>11455000</v>
      </c>
      <c r="N41">
        <v>7772000</v>
      </c>
      <c r="O41">
        <v>10076000</v>
      </c>
      <c r="P41">
        <v>9705000</v>
      </c>
      <c r="Q41">
        <v>9737000</v>
      </c>
      <c r="R41">
        <v>11749000</v>
      </c>
      <c r="S41">
        <v>6618000</v>
      </c>
      <c r="T41">
        <v>7339000</v>
      </c>
      <c r="U41">
        <v>13164000</v>
      </c>
      <c r="V41">
        <v>12567000</v>
      </c>
      <c r="W41">
        <v>13421000</v>
      </c>
      <c r="X41">
        <v>10924000</v>
      </c>
      <c r="Y41">
        <v>12759000</v>
      </c>
      <c r="Z41">
        <v>12486000</v>
      </c>
      <c r="AA41">
        <v>14925000</v>
      </c>
      <c r="AB41">
        <v>10629000</v>
      </c>
      <c r="AC41">
        <v>7779000</v>
      </c>
      <c r="AD41">
        <v>16820000</v>
      </c>
      <c r="AJ41">
        <f>SLOPE(M41:AD41,M40:AD40)</f>
        <v>0.94561737822009173</v>
      </c>
      <c r="AK41">
        <f>INTERCEPT(M41:AD41,M40:AD40)</f>
        <v>3312588.1358677577</v>
      </c>
    </row>
    <row r="42" spans="1:37" x14ac:dyDescent="0.25">
      <c r="A42" t="s">
        <v>367</v>
      </c>
      <c r="B42" t="s">
        <v>361</v>
      </c>
      <c r="C42">
        <v>4163000</v>
      </c>
      <c r="D42">
        <v>3816000</v>
      </c>
      <c r="E42">
        <v>4173000</v>
      </c>
      <c r="F42">
        <v>4377000</v>
      </c>
      <c r="G42">
        <v>4661000</v>
      </c>
      <c r="H42">
        <v>3526000</v>
      </c>
      <c r="I42">
        <v>3761000</v>
      </c>
      <c r="J42">
        <v>4023000</v>
      </c>
      <c r="K42">
        <v>3560000</v>
      </c>
      <c r="L42">
        <v>3567000</v>
      </c>
      <c r="M42">
        <v>4013000</v>
      </c>
      <c r="N42">
        <v>3189000</v>
      </c>
      <c r="O42">
        <v>3533000</v>
      </c>
      <c r="P42">
        <v>3651000</v>
      </c>
      <c r="Q42">
        <v>3204000</v>
      </c>
      <c r="R42">
        <v>3223000</v>
      </c>
      <c r="S42">
        <v>2032000</v>
      </c>
      <c r="T42">
        <v>2897000</v>
      </c>
      <c r="U42">
        <v>3297000</v>
      </c>
      <c r="V42">
        <v>2896000</v>
      </c>
      <c r="W42">
        <v>3263000</v>
      </c>
      <c r="X42">
        <v>2859000</v>
      </c>
      <c r="Y42">
        <v>3141000</v>
      </c>
      <c r="Z42">
        <v>3238000</v>
      </c>
      <c r="AA42">
        <v>3096000</v>
      </c>
      <c r="AB42">
        <v>3048000</v>
      </c>
      <c r="AC42">
        <v>2213000</v>
      </c>
      <c r="AD42">
        <v>2997000</v>
      </c>
      <c r="AJ42">
        <f>SLOPE(M42:AD42,LN(M41:AD41))</f>
        <v>770524.49426802737</v>
      </c>
      <c r="AK42">
        <f>INTERCEPT(M42:AD42,LN(M41:AD41))</f>
        <v>-9377977.4579253141</v>
      </c>
    </row>
    <row r="43" spans="1:37" x14ac:dyDescent="0.25">
      <c r="A43" t="str">
        <f>'Intermediate calculations'!A47</f>
        <v>Sorghum consumption (human)</v>
      </c>
      <c r="B43" t="str">
        <f>'Intermediate calculations'!B47</f>
        <v>t</v>
      </c>
      <c r="C43">
        <v>194000</v>
      </c>
      <c r="D43">
        <v>195000</v>
      </c>
      <c r="E43">
        <v>199000</v>
      </c>
      <c r="F43">
        <v>200000</v>
      </c>
      <c r="G43">
        <v>184000</v>
      </c>
      <c r="H43">
        <v>183000</v>
      </c>
      <c r="I43">
        <v>181000</v>
      </c>
      <c r="J43">
        <v>179000</v>
      </c>
      <c r="K43">
        <v>177000</v>
      </c>
      <c r="L43">
        <v>175500</v>
      </c>
      <c r="M43">
        <v>174000</v>
      </c>
      <c r="N43">
        <v>186000</v>
      </c>
      <c r="O43">
        <v>190000</v>
      </c>
      <c r="P43">
        <v>174000</v>
      </c>
      <c r="Q43">
        <v>169000</v>
      </c>
      <c r="R43">
        <v>179000</v>
      </c>
      <c r="S43">
        <v>191000</v>
      </c>
      <c r="T43">
        <v>182000</v>
      </c>
      <c r="U43">
        <v>185000</v>
      </c>
      <c r="V43">
        <v>177000</v>
      </c>
      <c r="W43">
        <v>184000</v>
      </c>
      <c r="X43">
        <v>182000</v>
      </c>
      <c r="Y43">
        <v>183000</v>
      </c>
      <c r="Z43">
        <v>159000</v>
      </c>
      <c r="AA43">
        <v>165000</v>
      </c>
      <c r="AB43">
        <v>153000</v>
      </c>
      <c r="AC43">
        <v>149000</v>
      </c>
      <c r="AD43">
        <v>161000</v>
      </c>
    </row>
    <row r="44" spans="1:37" x14ac:dyDescent="0.25">
      <c r="A44" t="str">
        <f>'Intermediate calculations'!A49</f>
        <v>Sorghum consumption (total)</v>
      </c>
      <c r="B44" t="str">
        <f>'Intermediate calculations'!B49</f>
        <v>t</v>
      </c>
      <c r="C44">
        <v>316000</v>
      </c>
      <c r="D44">
        <v>245000</v>
      </c>
      <c r="E44">
        <v>243000</v>
      </c>
      <c r="F44">
        <v>287000</v>
      </c>
      <c r="G44">
        <v>410000</v>
      </c>
      <c r="H44">
        <v>303000</v>
      </c>
      <c r="I44">
        <v>331000</v>
      </c>
      <c r="J44">
        <v>243000</v>
      </c>
      <c r="K44">
        <v>235000</v>
      </c>
      <c r="L44">
        <v>0</v>
      </c>
      <c r="M44">
        <v>210000</v>
      </c>
      <c r="N44">
        <v>209000</v>
      </c>
      <c r="O44">
        <v>206000</v>
      </c>
      <c r="P44">
        <v>196000</v>
      </c>
      <c r="Q44">
        <v>179000</v>
      </c>
      <c r="R44">
        <v>189000</v>
      </c>
      <c r="S44">
        <v>203000</v>
      </c>
      <c r="T44">
        <v>190000</v>
      </c>
      <c r="U44">
        <v>196000</v>
      </c>
      <c r="V44">
        <v>187000</v>
      </c>
      <c r="W44">
        <v>192000</v>
      </c>
      <c r="X44">
        <v>191000</v>
      </c>
      <c r="Y44">
        <v>190000</v>
      </c>
      <c r="Z44">
        <v>165000</v>
      </c>
      <c r="AA44">
        <v>170000</v>
      </c>
      <c r="AB44">
        <v>160000</v>
      </c>
      <c r="AC44">
        <v>159000</v>
      </c>
      <c r="AD44">
        <v>171000</v>
      </c>
      <c r="AJ44">
        <f>SLOPE(W44:AD44,W43:AD43)</f>
        <v>0.99067431850789101</v>
      </c>
      <c r="AK44">
        <f>INTERCEPT(W44:AD44,W43:AD43)</f>
        <v>9307.3888091822155</v>
      </c>
    </row>
    <row r="45" spans="1:37" x14ac:dyDescent="0.25">
      <c r="A45" t="s">
        <v>812</v>
      </c>
      <c r="B45" t="s">
        <v>361</v>
      </c>
      <c r="C45">
        <v>341000</v>
      </c>
      <c r="D45">
        <v>302000</v>
      </c>
      <c r="E45">
        <v>118000</v>
      </c>
      <c r="F45">
        <v>515368</v>
      </c>
      <c r="G45">
        <v>520185</v>
      </c>
      <c r="H45">
        <v>290557</v>
      </c>
      <c r="I45">
        <v>535839</v>
      </c>
      <c r="J45">
        <v>433371</v>
      </c>
      <c r="K45">
        <v>358469</v>
      </c>
      <c r="L45">
        <v>223530</v>
      </c>
      <c r="M45">
        <v>142000</v>
      </c>
      <c r="N45">
        <v>88000</v>
      </c>
      <c r="O45">
        <v>75000</v>
      </c>
      <c r="P45">
        <v>95000</v>
      </c>
      <c r="Q45">
        <v>130000</v>
      </c>
      <c r="R45">
        <v>86000</v>
      </c>
      <c r="S45">
        <v>37000</v>
      </c>
      <c r="T45">
        <v>69000</v>
      </c>
      <c r="U45">
        <v>87000</v>
      </c>
      <c r="V45">
        <v>86000</v>
      </c>
      <c r="W45">
        <v>87000</v>
      </c>
      <c r="X45">
        <v>69000</v>
      </c>
      <c r="Y45">
        <v>49000</v>
      </c>
      <c r="Z45">
        <v>63000</v>
      </c>
      <c r="AA45">
        <v>78750</v>
      </c>
      <c r="AB45">
        <v>70000</v>
      </c>
      <c r="AC45">
        <v>48000</v>
      </c>
      <c r="AD45">
        <v>42000</v>
      </c>
      <c r="AJ45">
        <f>SLOPE(M45:AD45,M44:AD44)</f>
        <v>0.59564510705077911</v>
      </c>
      <c r="AK45">
        <f>INTERCEPT(M45:AD45,M44:AD44)</f>
        <v>-33411.36083398723</v>
      </c>
    </row>
    <row r="46" spans="1:37" x14ac:dyDescent="0.25">
      <c r="A46" t="s">
        <v>370</v>
      </c>
      <c r="B46" t="s">
        <v>361</v>
      </c>
      <c r="C46">
        <v>1563000</v>
      </c>
      <c r="D46">
        <v>1436000</v>
      </c>
      <c r="E46">
        <v>750000</v>
      </c>
      <c r="F46">
        <v>1075000</v>
      </c>
      <c r="G46">
        <v>1048000</v>
      </c>
      <c r="H46">
        <v>1363000</v>
      </c>
      <c r="I46">
        <v>1294000</v>
      </c>
      <c r="J46">
        <v>1382000</v>
      </c>
      <c r="K46">
        <v>745000</v>
      </c>
      <c r="L46">
        <v>718000</v>
      </c>
      <c r="M46">
        <v>934000</v>
      </c>
      <c r="N46">
        <v>974000</v>
      </c>
      <c r="O46">
        <v>941000</v>
      </c>
      <c r="P46">
        <v>748000</v>
      </c>
      <c r="Q46">
        <v>830000</v>
      </c>
      <c r="R46">
        <v>805000</v>
      </c>
      <c r="S46">
        <v>765000</v>
      </c>
      <c r="T46">
        <v>632000</v>
      </c>
      <c r="U46">
        <v>748000</v>
      </c>
      <c r="V46">
        <v>642000</v>
      </c>
      <c r="W46">
        <v>558000</v>
      </c>
      <c r="X46">
        <v>605000</v>
      </c>
      <c r="Y46">
        <v>511000</v>
      </c>
      <c r="Z46">
        <v>506000</v>
      </c>
      <c r="AA46">
        <v>477000</v>
      </c>
      <c r="AB46">
        <v>482000</v>
      </c>
      <c r="AC46">
        <v>508000</v>
      </c>
      <c r="AD46">
        <v>492000</v>
      </c>
    </row>
    <row r="47" spans="1:37" x14ac:dyDescent="0.25">
      <c r="A47" t="s">
        <v>383</v>
      </c>
      <c r="B47" t="s">
        <v>321</v>
      </c>
      <c r="C47">
        <v>780000</v>
      </c>
      <c r="D47">
        <v>825000</v>
      </c>
      <c r="E47">
        <v>570000</v>
      </c>
      <c r="F47">
        <v>900000</v>
      </c>
      <c r="G47">
        <v>1299451</v>
      </c>
      <c r="H47">
        <v>1032745</v>
      </c>
      <c r="I47">
        <v>1263570</v>
      </c>
      <c r="J47">
        <v>1193985</v>
      </c>
      <c r="K47">
        <v>1244321</v>
      </c>
      <c r="L47">
        <v>1237174</v>
      </c>
      <c r="M47">
        <v>825252</v>
      </c>
      <c r="N47">
        <v>1068357</v>
      </c>
      <c r="O47">
        <v>1467915</v>
      </c>
      <c r="P47">
        <v>1265742</v>
      </c>
      <c r="Q47">
        <v>1264888</v>
      </c>
      <c r="R47">
        <v>580444</v>
      </c>
      <c r="S47">
        <v>963118</v>
      </c>
      <c r="T47">
        <v>1137646</v>
      </c>
      <c r="U47">
        <v>1429803</v>
      </c>
      <c r="V47">
        <v>1517602.3688259386</v>
      </c>
      <c r="W47">
        <v>1425245.0325037544</v>
      </c>
      <c r="X47">
        <v>1576608.4448095565</v>
      </c>
      <c r="Y47">
        <v>1810067.2671795222</v>
      </c>
      <c r="Z47">
        <v>1635614.5207931739</v>
      </c>
      <c r="AA47">
        <v>1686924.1520832763</v>
      </c>
      <c r="AB47">
        <v>1702317.0414703069</v>
      </c>
      <c r="AC47">
        <v>2143579.8705651872</v>
      </c>
      <c r="AD47">
        <v>2657958.9242484635</v>
      </c>
      <c r="AJ47">
        <f>SLOPE(M47:AD47,M42:AD42)</f>
        <v>-0.28544189547795717</v>
      </c>
      <c r="AK47">
        <f>INTERCEPT(M47:AD47,M42:AD42)</f>
        <v>2337993.6650663563</v>
      </c>
    </row>
    <row r="48" spans="1:37" x14ac:dyDescent="0.25">
      <c r="A48" t="s">
        <v>114</v>
      </c>
      <c r="B48" t="s">
        <v>321</v>
      </c>
      <c r="C48">
        <v>124083.5011138469</v>
      </c>
      <c r="D48">
        <v>152218.50271143019</v>
      </c>
      <c r="E48">
        <v>180353.50430901349</v>
      </c>
      <c r="F48">
        <v>208488.50590658933</v>
      </c>
      <c r="G48">
        <v>236623.50750417262</v>
      </c>
      <c r="H48">
        <v>264758.50910175592</v>
      </c>
      <c r="I48">
        <v>292893.51069933921</v>
      </c>
      <c r="J48">
        <v>321028.5122969225</v>
      </c>
      <c r="K48">
        <v>349163.5138945058</v>
      </c>
      <c r="L48">
        <v>377298.51549208909</v>
      </c>
      <c r="M48">
        <v>405433.51708967239</v>
      </c>
      <c r="N48">
        <v>433568.51868725568</v>
      </c>
      <c r="O48">
        <v>461703.52028483152</v>
      </c>
      <c r="P48">
        <v>489838.52188241482</v>
      </c>
      <c r="Q48">
        <v>594407</v>
      </c>
      <c r="R48">
        <v>484209</v>
      </c>
      <c r="S48">
        <v>536026</v>
      </c>
      <c r="T48">
        <v>660755</v>
      </c>
      <c r="U48">
        <v>654808</v>
      </c>
      <c r="V48">
        <v>518924</v>
      </c>
      <c r="W48">
        <v>683837</v>
      </c>
      <c r="X48">
        <v>778897</v>
      </c>
      <c r="Y48">
        <v>800756</v>
      </c>
      <c r="Z48">
        <v>726904.59500000009</v>
      </c>
      <c r="AA48">
        <v>905143.08</v>
      </c>
      <c r="AB48">
        <v>662862.79909999995</v>
      </c>
      <c r="AC48">
        <v>877638</v>
      </c>
      <c r="AD48">
        <v>926747</v>
      </c>
      <c r="AJ48">
        <f>SLOPE(M48:AD48,M49:AD49)</f>
        <v>1.3595755992345242</v>
      </c>
      <c r="AK48">
        <f>INTERCEPT(M48:AD48,M49:AD49)</f>
        <v>69456.835151908104</v>
      </c>
    </row>
    <row r="49" spans="1:37" x14ac:dyDescent="0.25">
      <c r="A49" t="s">
        <v>813</v>
      </c>
      <c r="B49" t="s">
        <v>321</v>
      </c>
      <c r="C49">
        <v>343689</v>
      </c>
      <c r="D49">
        <v>365035</v>
      </c>
      <c r="E49">
        <v>347525</v>
      </c>
      <c r="F49">
        <v>408459</v>
      </c>
      <c r="G49">
        <v>375066</v>
      </c>
      <c r="H49">
        <v>371491</v>
      </c>
      <c r="I49">
        <v>415084</v>
      </c>
      <c r="J49">
        <v>406914</v>
      </c>
      <c r="K49">
        <v>415521</v>
      </c>
      <c r="L49">
        <v>413045</v>
      </c>
      <c r="M49">
        <v>415933</v>
      </c>
      <c r="N49">
        <v>395813</v>
      </c>
      <c r="O49">
        <v>477072</v>
      </c>
      <c r="P49">
        <v>420827</v>
      </c>
      <c r="Q49">
        <v>427571</v>
      </c>
      <c r="R49">
        <v>347260</v>
      </c>
      <c r="S49">
        <v>428719</v>
      </c>
      <c r="T49">
        <v>439480</v>
      </c>
      <c r="U49">
        <v>424123</v>
      </c>
      <c r="V49">
        <v>453777</v>
      </c>
      <c r="W49">
        <v>395000</v>
      </c>
      <c r="X49">
        <v>419000</v>
      </c>
      <c r="Y49">
        <v>430000</v>
      </c>
      <c r="Z49">
        <v>416500</v>
      </c>
      <c r="AA49">
        <v>447547</v>
      </c>
      <c r="AB49">
        <v>402792</v>
      </c>
      <c r="AC49">
        <v>430000</v>
      </c>
      <c r="AD49">
        <v>442900</v>
      </c>
      <c r="AJ49">
        <f>SLOPE(M49:AD49,M42:AD42)</f>
        <v>-6.3872671298887381E-3</v>
      </c>
      <c r="AK49">
        <f>INTERCEPT(M49:AD49,M42:AD42)</f>
        <v>442814.42406536068</v>
      </c>
    </row>
    <row r="50" spans="1:37" x14ac:dyDescent="0.25">
      <c r="A50" t="s">
        <v>928</v>
      </c>
      <c r="B50" t="s">
        <v>811</v>
      </c>
      <c r="C50">
        <v>1100000</v>
      </c>
      <c r="D50">
        <v>1260000</v>
      </c>
      <c r="E50">
        <v>1090000</v>
      </c>
      <c r="F50">
        <v>1150000</v>
      </c>
      <c r="G50">
        <v>1050000</v>
      </c>
      <c r="H50">
        <v>1130000</v>
      </c>
      <c r="I50">
        <v>1140000</v>
      </c>
      <c r="J50">
        <v>1100000</v>
      </c>
      <c r="K50">
        <v>1070000</v>
      </c>
      <c r="L50">
        <v>1080000</v>
      </c>
      <c r="M50">
        <v>1370000</v>
      </c>
      <c r="N50">
        <v>1360000</v>
      </c>
      <c r="O50">
        <v>1210000</v>
      </c>
      <c r="P50">
        <v>1070000</v>
      </c>
      <c r="Q50">
        <v>1020000</v>
      </c>
      <c r="R50">
        <v>1100000</v>
      </c>
      <c r="S50">
        <v>1080000</v>
      </c>
      <c r="T50">
        <v>1080000</v>
      </c>
      <c r="U50">
        <v>1300000</v>
      </c>
      <c r="V50">
        <v>1340000</v>
      </c>
      <c r="W50">
        <v>1340000</v>
      </c>
      <c r="X50">
        <v>1280000</v>
      </c>
      <c r="Y50">
        <v>1240000</v>
      </c>
      <c r="Z50">
        <v>1360000</v>
      </c>
      <c r="AA50">
        <v>1260000</v>
      </c>
      <c r="AB50">
        <v>1260000</v>
      </c>
      <c r="AC50">
        <v>1300000</v>
      </c>
      <c r="AD50">
        <v>1410000</v>
      </c>
    </row>
    <row r="51" spans="1:37" x14ac:dyDescent="0.25">
      <c r="A51" t="str">
        <f>'Activity data'!C5&amp;" - "&amp;'Activity data'!D5</f>
        <v>3A1ai Dairy cattle - TMR</v>
      </c>
      <c r="B51" t="s">
        <v>811</v>
      </c>
      <c r="C51">
        <v>487746.14676082286</v>
      </c>
      <c r="D51">
        <v>561522.50537304278</v>
      </c>
      <c r="E51">
        <v>485789.62235185754</v>
      </c>
      <c r="F51">
        <v>515225.4221676389</v>
      </c>
      <c r="G51">
        <v>477963.52471599629</v>
      </c>
      <c r="H51">
        <v>511312.37334970833</v>
      </c>
      <c r="I51">
        <v>513268.89775867364</v>
      </c>
      <c r="J51">
        <v>494824.80810561875</v>
      </c>
      <c r="K51">
        <v>488955.23487872281</v>
      </c>
      <c r="L51">
        <v>480293.76727049437</v>
      </c>
      <c r="M51">
        <v>618437.58059564023</v>
      </c>
      <c r="N51">
        <v>616481.05618667486</v>
      </c>
      <c r="O51">
        <v>537582.56063862459</v>
      </c>
      <c r="P51">
        <v>488955.23487872281</v>
      </c>
      <c r="Q51">
        <v>472093.95148910041</v>
      </c>
      <c r="R51">
        <v>505442.80012281239</v>
      </c>
      <c r="S51">
        <v>494451.08996008604</v>
      </c>
      <c r="T51">
        <v>490911.75928768812</v>
      </c>
      <c r="U51">
        <v>601202.57906048512</v>
      </c>
      <c r="V51">
        <v>616107.33804114221</v>
      </c>
      <c r="W51">
        <v>616107.33804114221</v>
      </c>
      <c r="X51">
        <v>593750.19957015652</v>
      </c>
      <c r="Y51">
        <v>571766.77924470371</v>
      </c>
      <c r="Z51">
        <v>616481.05618667486</v>
      </c>
      <c r="AA51">
        <v>582758.48940743017</v>
      </c>
      <c r="AB51">
        <v>589837.15075222601</v>
      </c>
      <c r="AC51">
        <v>611820.57107767893</v>
      </c>
      <c r="AD51">
        <v>658117.65428308269</v>
      </c>
    </row>
    <row r="52" spans="1:37" x14ac:dyDescent="0.25">
      <c r="A52" t="str">
        <f>'Activity data'!C6&amp;" - "&amp;'Activity data'!D6</f>
        <v>3A1ai Dairy cattle - Pasture</v>
      </c>
      <c r="B52" t="s">
        <v>811</v>
      </c>
      <c r="C52">
        <v>399733.85323917714</v>
      </c>
      <c r="D52">
        <v>460197.49462695734</v>
      </c>
      <c r="E52">
        <v>398130.37764814246</v>
      </c>
      <c r="F52">
        <v>422254.57783236104</v>
      </c>
      <c r="G52">
        <v>391716.47528400371</v>
      </c>
      <c r="H52">
        <v>419047.62665029167</v>
      </c>
      <c r="I52">
        <v>420651.10224132636</v>
      </c>
      <c r="J52">
        <v>405535.19189438137</v>
      </c>
      <c r="K52">
        <v>400724.76512127731</v>
      </c>
      <c r="L52">
        <v>393626.23272950563</v>
      </c>
      <c r="M52">
        <v>506842.41940435988</v>
      </c>
      <c r="N52">
        <v>505238.9438133252</v>
      </c>
      <c r="O52">
        <v>440577.43936137547</v>
      </c>
      <c r="P52">
        <v>400724.76512127731</v>
      </c>
      <c r="Q52">
        <v>386906.04851089959</v>
      </c>
      <c r="R52">
        <v>414237.19987718761</v>
      </c>
      <c r="S52">
        <v>405228.91003991402</v>
      </c>
      <c r="T52">
        <v>402328.24071231199</v>
      </c>
      <c r="U52">
        <v>492717.42093951488</v>
      </c>
      <c r="V52">
        <v>504932.66195885779</v>
      </c>
      <c r="W52">
        <v>504932.66195885779</v>
      </c>
      <c r="X52">
        <v>486609.80042984337</v>
      </c>
      <c r="Y52">
        <v>468593.22075529629</v>
      </c>
      <c r="Z52">
        <v>505238.9438133252</v>
      </c>
      <c r="AA52">
        <v>477601.51059256989</v>
      </c>
      <c r="AB52">
        <v>483402.84924777399</v>
      </c>
      <c r="AC52">
        <v>501419.42892232112</v>
      </c>
      <c r="AD52">
        <v>539362.34571691742</v>
      </c>
    </row>
    <row r="53" spans="1:37" x14ac:dyDescent="0.25">
      <c r="A53" t="str">
        <f>'Activity data'!C7&amp;" - "&amp;'Activity data'!D7</f>
        <v>3A1aii Other cattle - Non-lactating</v>
      </c>
      <c r="B53" t="s">
        <v>811</v>
      </c>
      <c r="C53">
        <v>585792.9</v>
      </c>
      <c r="D53">
        <v>665847.14000000013</v>
      </c>
      <c r="E53">
        <v>575959.50999999989</v>
      </c>
      <c r="F53">
        <v>602759.85000000009</v>
      </c>
      <c r="G53">
        <v>536625.95000000007</v>
      </c>
      <c r="H53">
        <v>583093.06999999995</v>
      </c>
      <c r="I53">
        <v>592926.46</v>
      </c>
      <c r="J53">
        <v>572912.89999999991</v>
      </c>
      <c r="K53">
        <v>543412.73</v>
      </c>
      <c r="L53">
        <v>572566.12</v>
      </c>
      <c r="M53">
        <v>709614.43</v>
      </c>
      <c r="N53">
        <v>699781.04</v>
      </c>
      <c r="O53">
        <v>642440.19000000006</v>
      </c>
      <c r="P53">
        <v>543412.73</v>
      </c>
      <c r="Q53">
        <v>507125.77999999997</v>
      </c>
      <c r="R53">
        <v>553592.9</v>
      </c>
      <c r="S53">
        <v>546806.12</v>
      </c>
      <c r="T53">
        <v>553246.12</v>
      </c>
      <c r="U53">
        <v>647220.70000000019</v>
      </c>
      <c r="V53">
        <v>673674.26</v>
      </c>
      <c r="W53">
        <v>673674.26</v>
      </c>
      <c r="X53">
        <v>633993.92000000016</v>
      </c>
      <c r="Y53">
        <v>620420.36</v>
      </c>
      <c r="Z53">
        <v>699781.04</v>
      </c>
      <c r="AA53">
        <v>627207.14</v>
      </c>
      <c r="AB53">
        <v>614327.14</v>
      </c>
      <c r="AC53">
        <v>627900.70000000007</v>
      </c>
      <c r="AD53">
        <v>690987.99</v>
      </c>
    </row>
    <row r="54" spans="1:37" x14ac:dyDescent="0.25">
      <c r="A54" t="str">
        <f>'Activity data'!C8&amp;" - "&amp;'Activity data'!D8</f>
        <v>3A1aii Other cattle - Commercial</v>
      </c>
      <c r="B54" t="s">
        <v>811</v>
      </c>
      <c r="C54">
        <v>6817100</v>
      </c>
      <c r="D54">
        <v>6522860</v>
      </c>
      <c r="E54">
        <v>6520490</v>
      </c>
      <c r="F54">
        <v>6100150</v>
      </c>
      <c r="G54">
        <v>6284050</v>
      </c>
      <c r="H54">
        <v>6426930</v>
      </c>
      <c r="I54">
        <v>6693540</v>
      </c>
      <c r="J54">
        <v>6947100</v>
      </c>
      <c r="K54">
        <v>7007270</v>
      </c>
      <c r="L54">
        <v>6893880</v>
      </c>
      <c r="M54">
        <v>6425570</v>
      </c>
      <c r="N54">
        <v>6458960</v>
      </c>
      <c r="O54">
        <v>6019810</v>
      </c>
      <c r="P54">
        <v>6177270</v>
      </c>
      <c r="Q54">
        <v>6234220</v>
      </c>
      <c r="R54">
        <v>6287100</v>
      </c>
      <c r="S54">
        <v>6143880</v>
      </c>
      <c r="T54">
        <v>6323880</v>
      </c>
      <c r="U54">
        <v>6148152.25</v>
      </c>
      <c r="V54">
        <v>6044920.583333333</v>
      </c>
      <c r="W54">
        <v>6025917.666666667</v>
      </c>
      <c r="X54">
        <v>6004279.833333333</v>
      </c>
      <c r="Y54">
        <v>7105366.333333334</v>
      </c>
      <c r="Z54">
        <v>5896311</v>
      </c>
      <c r="AA54">
        <v>6031835</v>
      </c>
      <c r="AB54">
        <v>5893460</v>
      </c>
      <c r="AC54">
        <v>5611164</v>
      </c>
      <c r="AD54">
        <v>5220425</v>
      </c>
      <c r="AJ54">
        <f>SLOPE(M54:AD54,LN(M14:AD14))</f>
        <v>-849795.56703256955</v>
      </c>
      <c r="AK54">
        <f>INTERCEPT(M54:AD54,LN(M14:AD14))</f>
        <v>17654028.051321879</v>
      </c>
    </row>
    <row r="55" spans="1:37" x14ac:dyDescent="0.25">
      <c r="A55" t="str">
        <f>'Activity data'!C9&amp;" - "&amp;'Activity data'!D9</f>
        <v>3A1aii Other cattle - Subsistence</v>
      </c>
      <c r="B55" t="s">
        <v>811</v>
      </c>
      <c r="C55">
        <v>4590000</v>
      </c>
      <c r="D55">
        <v>4870000</v>
      </c>
      <c r="E55">
        <v>5100000</v>
      </c>
      <c r="F55">
        <v>5040000</v>
      </c>
      <c r="G55">
        <v>4390000</v>
      </c>
      <c r="H55">
        <v>4240000</v>
      </c>
      <c r="I55">
        <v>4360000</v>
      </c>
      <c r="J55">
        <v>4560000</v>
      </c>
      <c r="K55">
        <v>4840000</v>
      </c>
      <c r="L55">
        <v>5040000</v>
      </c>
      <c r="M55">
        <v>4920000</v>
      </c>
      <c r="N55">
        <v>4800000</v>
      </c>
      <c r="O55">
        <v>5440000</v>
      </c>
      <c r="P55">
        <v>5570000</v>
      </c>
      <c r="Q55">
        <v>5480000</v>
      </c>
      <c r="R55">
        <v>5320000</v>
      </c>
      <c r="S55">
        <v>5490000</v>
      </c>
      <c r="T55">
        <v>5710000</v>
      </c>
      <c r="U55">
        <v>5620000</v>
      </c>
      <c r="V55">
        <v>5560000</v>
      </c>
      <c r="W55">
        <v>5480000</v>
      </c>
      <c r="X55">
        <v>5520000</v>
      </c>
      <c r="Y55">
        <v>4650000</v>
      </c>
      <c r="Z55">
        <v>5680000</v>
      </c>
      <c r="AA55">
        <v>5660000</v>
      </c>
      <c r="AB55">
        <v>5580000</v>
      </c>
      <c r="AC55">
        <v>5480000</v>
      </c>
      <c r="AD55">
        <v>5300000</v>
      </c>
      <c r="AJ55">
        <f>SLOPE(M55:AD55,Drivers!N4:AE4)</f>
        <v>2.333091554441653E-2</v>
      </c>
      <c r="AK55">
        <f>INTERCEPT(M55:AD55,Drivers!N4:AE4)</f>
        <v>4229136.6969350902</v>
      </c>
    </row>
    <row r="56" spans="1:37" x14ac:dyDescent="0.25">
      <c r="A56" t="str">
        <f>'Activity data'!C10&amp;" - "&amp;'Activity data'!D10</f>
        <v>3A1aii Other cattle - Feedlot</v>
      </c>
      <c r="B56" t="s">
        <v>811</v>
      </c>
      <c r="C56">
        <v>420000</v>
      </c>
      <c r="D56">
        <v>420000</v>
      </c>
      <c r="E56">
        <v>420000</v>
      </c>
      <c r="F56">
        <v>420000</v>
      </c>
      <c r="G56">
        <v>420000</v>
      </c>
      <c r="H56">
        <v>420000</v>
      </c>
      <c r="I56">
        <v>420000</v>
      </c>
      <c r="J56">
        <v>420000</v>
      </c>
      <c r="K56">
        <v>420000</v>
      </c>
      <c r="L56">
        <v>420000</v>
      </c>
      <c r="M56">
        <v>420000</v>
      </c>
      <c r="N56">
        <v>420000</v>
      </c>
      <c r="O56">
        <v>420000</v>
      </c>
      <c r="P56">
        <v>420000</v>
      </c>
      <c r="Q56">
        <v>420000</v>
      </c>
      <c r="R56">
        <v>420000</v>
      </c>
      <c r="S56">
        <v>420000</v>
      </c>
      <c r="T56">
        <v>420000</v>
      </c>
      <c r="U56">
        <v>391147.75</v>
      </c>
      <c r="V56">
        <v>400819.41666666669</v>
      </c>
      <c r="W56">
        <v>399822.33333333331</v>
      </c>
      <c r="X56">
        <v>461800.16666666669</v>
      </c>
      <c r="Y56">
        <v>484273.66666666669</v>
      </c>
      <c r="Z56">
        <v>502649</v>
      </c>
      <c r="AA56">
        <v>521025</v>
      </c>
      <c r="AB56">
        <v>539400</v>
      </c>
      <c r="AC56">
        <v>568136</v>
      </c>
      <c r="AD56">
        <v>591585</v>
      </c>
      <c r="AJ56">
        <f>SLOPE(U56:AD56,U13:AD13)</f>
        <v>0.637449100124306</v>
      </c>
      <c r="AK56">
        <f>INTERCEPT(U56:AD56,U13:AD13)</f>
        <v>-99494.910040854127</v>
      </c>
    </row>
    <row r="57" spans="1:37" x14ac:dyDescent="0.25">
      <c r="A57" t="str">
        <f>'Activity data'!C11&amp;" - "&amp;'Activity data'!D11</f>
        <v>3A1c Sheep - Commercial</v>
      </c>
      <c r="B57" t="s">
        <v>811</v>
      </c>
      <c r="C57">
        <v>29979000</v>
      </c>
      <c r="D57">
        <v>28631000</v>
      </c>
      <c r="E57">
        <v>27448000</v>
      </c>
      <c r="F57">
        <v>25670000</v>
      </c>
      <c r="G57">
        <v>25851000</v>
      </c>
      <c r="H57">
        <v>25481000</v>
      </c>
      <c r="I57">
        <v>25566000</v>
      </c>
      <c r="J57">
        <v>25010000</v>
      </c>
      <c r="K57">
        <v>25079000</v>
      </c>
      <c r="L57">
        <v>24463000</v>
      </c>
      <c r="M57">
        <v>23586000</v>
      </c>
      <c r="N57">
        <v>22998000</v>
      </c>
      <c r="O57">
        <v>22614000</v>
      </c>
      <c r="P57">
        <v>22693000</v>
      </c>
      <c r="Q57">
        <v>22289000</v>
      </c>
      <c r="R57">
        <v>22236000</v>
      </c>
      <c r="S57">
        <v>21945000</v>
      </c>
      <c r="T57">
        <v>21924000</v>
      </c>
      <c r="U57">
        <v>21995000</v>
      </c>
      <c r="V57">
        <v>21917000</v>
      </c>
      <c r="W57">
        <v>21493000</v>
      </c>
      <c r="X57">
        <v>21325000</v>
      </c>
      <c r="Y57">
        <v>21427000</v>
      </c>
      <c r="Z57">
        <v>21589000</v>
      </c>
      <c r="AA57">
        <v>21202000</v>
      </c>
      <c r="AB57">
        <v>21033000</v>
      </c>
      <c r="AC57">
        <v>20438000</v>
      </c>
      <c r="AD57">
        <v>19942000</v>
      </c>
      <c r="AJ57">
        <f>SLOPE(F57:AD57,LN(F23:AD23))</f>
        <v>-5142301.054387291</v>
      </c>
      <c r="AK57">
        <f>INTERCEPT(F57:AD57,LN(F23:AD23))</f>
        <v>83155618.791130543</v>
      </c>
    </row>
    <row r="58" spans="1:37" x14ac:dyDescent="0.25">
      <c r="A58" t="str">
        <f>'Activity data'!C12&amp;" - "&amp;'Activity data'!D12</f>
        <v>3A1c Sheep - Subsistence</v>
      </c>
      <c r="B58" t="s">
        <v>811</v>
      </c>
      <c r="C58">
        <v>4183862.7657327019</v>
      </c>
      <c r="D58">
        <v>3995736.1768468926</v>
      </c>
      <c r="E58">
        <v>3830636.9523276691</v>
      </c>
      <c r="F58">
        <v>3582499.6563046952</v>
      </c>
      <c r="G58">
        <v>3607759.9772159201</v>
      </c>
      <c r="H58">
        <v>3556122.8571211509</v>
      </c>
      <c r="I58">
        <v>3567985.4387645437</v>
      </c>
      <c r="J58">
        <v>3490390.1988383494</v>
      </c>
      <c r="K58">
        <v>3500019.8239371148</v>
      </c>
      <c r="L58">
        <v>3414050.996968525</v>
      </c>
      <c r="M58">
        <v>3291657.0663655167</v>
      </c>
      <c r="N58">
        <v>3209595.9133500443</v>
      </c>
      <c r="O58">
        <v>3156004.9562787157</v>
      </c>
      <c r="P58">
        <v>3167030.1792178694</v>
      </c>
      <c r="Q58">
        <v>3110648.0264657419</v>
      </c>
      <c r="R58">
        <v>3103251.3579116268</v>
      </c>
      <c r="S58">
        <v>3062639.4607560104</v>
      </c>
      <c r="T58">
        <v>3059708.705291172</v>
      </c>
      <c r="U58">
        <v>3069617.4499580064</v>
      </c>
      <c r="V58">
        <v>3058731.7868028926</v>
      </c>
      <c r="W58">
        <v>2999558.4383699675</v>
      </c>
      <c r="X58">
        <v>2976112.3946512612</v>
      </c>
      <c r="Y58">
        <v>2990347.4926233329</v>
      </c>
      <c r="Z58">
        <v>3012956.1776377996</v>
      </c>
      <c r="AA58">
        <v>2958946.5412143511</v>
      </c>
      <c r="AB58">
        <v>2935360.9377116049</v>
      </c>
      <c r="AC58">
        <v>2852322.8662078534</v>
      </c>
      <c r="AD58">
        <v>2783101.2133240541</v>
      </c>
    </row>
    <row r="59" spans="1:37" x14ac:dyDescent="0.25">
      <c r="A59" t="str">
        <f>'Activity data'!C13&amp;" - "&amp;'Activity data'!D13</f>
        <v>3A1d Goats - Commercial</v>
      </c>
      <c r="B59" t="s">
        <v>811</v>
      </c>
      <c r="C59">
        <v>2774000.0000000005</v>
      </c>
      <c r="D59">
        <v>2453000.0000000009</v>
      </c>
      <c r="E59">
        <v>2284999.9999999995</v>
      </c>
      <c r="F59">
        <v>2158999.9999999995</v>
      </c>
      <c r="G59">
        <v>2336999.9999999995</v>
      </c>
      <c r="H59">
        <v>2369000</v>
      </c>
      <c r="I59">
        <v>2405999.9999999995</v>
      </c>
      <c r="J59">
        <v>2394000</v>
      </c>
      <c r="K59">
        <v>2360000</v>
      </c>
      <c r="L59">
        <v>2325000.0000000005</v>
      </c>
      <c r="M59">
        <v>2355000</v>
      </c>
      <c r="N59">
        <v>2427000.0000000005</v>
      </c>
      <c r="O59">
        <v>2216000.0000000005</v>
      </c>
      <c r="P59">
        <v>2160000</v>
      </c>
      <c r="Q59">
        <v>2164000.0000000005</v>
      </c>
      <c r="R59">
        <v>2136000</v>
      </c>
      <c r="S59">
        <v>2181000</v>
      </c>
      <c r="T59">
        <v>2116000</v>
      </c>
      <c r="U59">
        <v>2114000.0000000005</v>
      </c>
      <c r="V59">
        <v>2077000</v>
      </c>
      <c r="W59">
        <v>2052000.0000000002</v>
      </c>
      <c r="X59">
        <v>2033000.0000000002</v>
      </c>
      <c r="Y59">
        <v>2028000.0000000002</v>
      </c>
      <c r="Z59">
        <v>2005000</v>
      </c>
      <c r="AA59">
        <v>1987000.0000000002</v>
      </c>
      <c r="AB59">
        <v>1960000.0000000002</v>
      </c>
      <c r="AC59">
        <v>1900999.9999999998</v>
      </c>
      <c r="AD59">
        <v>1843000</v>
      </c>
      <c r="AJ59">
        <f>SLOPE(M59:AD59,M20:AD20)</f>
        <v>-70.552737449711444</v>
      </c>
      <c r="AK59">
        <f>INTERCEPT(M59:AD59,M20:AD20)</f>
        <v>2826074.60206402</v>
      </c>
    </row>
    <row r="60" spans="1:37" x14ac:dyDescent="0.25">
      <c r="A60" t="str">
        <f>'Activity data'!C14&amp;" - "&amp;'Activity data'!D14</f>
        <v>3A1d Goats - Subsistence</v>
      </c>
      <c r="B60" t="s">
        <v>811</v>
      </c>
      <c r="C60">
        <v>5479284.9120494025</v>
      </c>
      <c r="D60">
        <v>4845236.4416932901</v>
      </c>
      <c r="E60">
        <v>4513397.9899181286</v>
      </c>
      <c r="F60">
        <v>4264519.151086757</v>
      </c>
      <c r="G60">
        <v>4616109.8916580593</v>
      </c>
      <c r="H60">
        <v>4679317.2158057094</v>
      </c>
      <c r="I60">
        <v>4752400.6843514293</v>
      </c>
      <c r="J60">
        <v>4728697.9377960609</v>
      </c>
      <c r="K60">
        <v>4661540.1558891824</v>
      </c>
      <c r="L60">
        <v>4592407.1451026909</v>
      </c>
      <c r="M60">
        <v>4651664.0114911124</v>
      </c>
      <c r="N60">
        <v>4793880.4908233248</v>
      </c>
      <c r="O60">
        <v>4377107.1972247576</v>
      </c>
      <c r="P60">
        <v>4266494.3799663708</v>
      </c>
      <c r="Q60">
        <v>4274395.2954848269</v>
      </c>
      <c r="R60">
        <v>4219088.886855633</v>
      </c>
      <c r="S60">
        <v>4307974.1864382662</v>
      </c>
      <c r="T60">
        <v>4179584.3092633518</v>
      </c>
      <c r="U60">
        <v>4175633.8515041238</v>
      </c>
      <c r="V60">
        <v>4102550.3829584038</v>
      </c>
      <c r="W60">
        <v>4053169.6609680522</v>
      </c>
      <c r="X60">
        <v>4015640.3122553849</v>
      </c>
      <c r="Y60">
        <v>4005764.1678573145</v>
      </c>
      <c r="Z60">
        <v>3960333.9036261914</v>
      </c>
      <c r="AA60">
        <v>3924779.7837931383</v>
      </c>
      <c r="AB60">
        <v>3871448.6040435587</v>
      </c>
      <c r="AC60">
        <v>3754910.100146329</v>
      </c>
      <c r="AD60">
        <v>3640346.8251287136</v>
      </c>
      <c r="AJ60">
        <f>SLOPE(M60:AD60,Drivers!N4:AE4)</f>
        <v>-7.5956822080505429E-2</v>
      </c>
      <c r="AK60">
        <f>INTERCEPT(M60:AD60,Drivers!N4:AE4)</f>
        <v>7965792.0435501793</v>
      </c>
    </row>
    <row r="61" spans="1:37" x14ac:dyDescent="0.25">
      <c r="A61" t="str">
        <f>'Activity data'!C15&amp;" - "&amp;'Activity data'!D15</f>
        <v>3A1f Horses - Horses</v>
      </c>
      <c r="B61" t="s">
        <v>811</v>
      </c>
      <c r="C61">
        <v>230000</v>
      </c>
      <c r="D61">
        <v>230000</v>
      </c>
      <c r="E61">
        <v>230000</v>
      </c>
      <c r="F61">
        <v>235000</v>
      </c>
      <c r="G61">
        <v>240000</v>
      </c>
      <c r="H61">
        <v>245000</v>
      </c>
      <c r="I61">
        <v>250000</v>
      </c>
      <c r="J61">
        <v>255000</v>
      </c>
      <c r="K61">
        <v>260000</v>
      </c>
      <c r="L61">
        <v>258000</v>
      </c>
      <c r="M61">
        <v>270000</v>
      </c>
      <c r="N61">
        <v>270000</v>
      </c>
      <c r="O61">
        <v>270000</v>
      </c>
      <c r="P61">
        <v>270000</v>
      </c>
      <c r="Q61">
        <v>270000</v>
      </c>
      <c r="R61">
        <v>270000</v>
      </c>
      <c r="S61">
        <v>280000</v>
      </c>
      <c r="T61">
        <v>290000</v>
      </c>
      <c r="U61">
        <v>298000</v>
      </c>
      <c r="V61">
        <v>300000</v>
      </c>
      <c r="W61">
        <v>300000</v>
      </c>
      <c r="X61">
        <v>305000</v>
      </c>
      <c r="Y61">
        <v>308000</v>
      </c>
      <c r="Z61">
        <v>310000</v>
      </c>
      <c r="AA61">
        <v>312000</v>
      </c>
      <c r="AB61">
        <v>314825</v>
      </c>
      <c r="AC61">
        <v>320860</v>
      </c>
      <c r="AD61">
        <v>322771</v>
      </c>
      <c r="AJ61">
        <f>SLOPE(M61:AD61,M4:AD4)</f>
        <v>3937.6256280581997</v>
      </c>
      <c r="AK61">
        <f>INTERCEPT(M61:AD61,M4:AD4)</f>
        <v>97491.65523417067</v>
      </c>
    </row>
    <row r="62" spans="1:37" x14ac:dyDescent="0.25">
      <c r="A62" t="str">
        <f>'Activity data'!C16&amp;" - "&amp;'Activity data'!D16</f>
        <v>3A1g Mules &amp; asses - Mules &amp; Asses</v>
      </c>
      <c r="B62" t="s">
        <v>811</v>
      </c>
      <c r="C62">
        <v>224000</v>
      </c>
      <c r="D62">
        <v>224000</v>
      </c>
      <c r="E62">
        <v>224000</v>
      </c>
      <c r="F62">
        <v>224000</v>
      </c>
      <c r="G62">
        <v>224000</v>
      </c>
      <c r="H62">
        <v>224000</v>
      </c>
      <c r="I62">
        <v>224000</v>
      </c>
      <c r="J62">
        <v>224000</v>
      </c>
      <c r="K62">
        <v>224000</v>
      </c>
      <c r="L62">
        <v>224000</v>
      </c>
      <c r="M62">
        <v>164000</v>
      </c>
      <c r="N62">
        <v>164000</v>
      </c>
      <c r="O62">
        <v>164000</v>
      </c>
      <c r="P62">
        <v>164000</v>
      </c>
      <c r="Q62">
        <v>164000</v>
      </c>
      <c r="R62">
        <v>164000</v>
      </c>
      <c r="S62">
        <v>164050</v>
      </c>
      <c r="T62">
        <v>164600</v>
      </c>
      <c r="U62">
        <v>164700</v>
      </c>
      <c r="V62">
        <v>164800</v>
      </c>
      <c r="W62">
        <v>166300</v>
      </c>
      <c r="X62">
        <v>167000</v>
      </c>
      <c r="Y62">
        <v>167000</v>
      </c>
      <c r="Z62">
        <v>170500</v>
      </c>
      <c r="AA62">
        <v>171000</v>
      </c>
      <c r="AB62">
        <v>169029</v>
      </c>
      <c r="AC62">
        <v>161868</v>
      </c>
      <c r="AD62">
        <v>162820</v>
      </c>
    </row>
    <row r="63" spans="1:37" x14ac:dyDescent="0.25">
      <c r="A63" t="str">
        <f>'Activity data'!C17&amp;" - "&amp;'Activity data'!D17</f>
        <v>3A1h Swine - Commercial</v>
      </c>
      <c r="B63" t="s">
        <v>811</v>
      </c>
      <c r="C63">
        <v>1524000</v>
      </c>
      <c r="D63">
        <v>1665000</v>
      </c>
      <c r="E63">
        <v>1654000</v>
      </c>
      <c r="F63">
        <v>1653000</v>
      </c>
      <c r="G63">
        <v>1570000</v>
      </c>
      <c r="H63">
        <v>1585000</v>
      </c>
      <c r="I63">
        <v>1707000</v>
      </c>
      <c r="J63">
        <v>1699000</v>
      </c>
      <c r="K63">
        <v>1736000</v>
      </c>
      <c r="L63">
        <v>1780000</v>
      </c>
      <c r="M63">
        <v>1647000</v>
      </c>
      <c r="N63">
        <v>1678000</v>
      </c>
      <c r="O63">
        <v>1710000</v>
      </c>
      <c r="P63">
        <v>1663000</v>
      </c>
      <c r="Q63">
        <v>1663000</v>
      </c>
      <c r="R63">
        <v>1651000</v>
      </c>
      <c r="S63">
        <v>1622000</v>
      </c>
      <c r="T63">
        <v>1651000</v>
      </c>
      <c r="U63">
        <v>1615000</v>
      </c>
      <c r="V63">
        <v>1613000</v>
      </c>
      <c r="W63">
        <v>1594000</v>
      </c>
      <c r="X63">
        <v>1584000</v>
      </c>
      <c r="Y63">
        <v>1579000</v>
      </c>
      <c r="Z63">
        <v>1574000</v>
      </c>
      <c r="AA63">
        <v>1562000</v>
      </c>
      <c r="AB63">
        <v>1523000</v>
      </c>
      <c r="AC63">
        <v>1512000</v>
      </c>
      <c r="AD63">
        <v>1481000</v>
      </c>
      <c r="AJ63">
        <f>SLOPE(F63:AD63,LN(F26:AD26))</f>
        <v>-205539.44223151155</v>
      </c>
      <c r="AK63">
        <f>INTERCEPT(F63:AD63,LN(F26:AD26))</f>
        <v>4088839.9263823261</v>
      </c>
    </row>
    <row r="64" spans="1:37" x14ac:dyDescent="0.25">
      <c r="A64" t="str">
        <f>'Activity data'!C18&amp;" - "&amp;'Activity data'!D18</f>
        <v>3A1h Swine - Subsistence</v>
      </c>
      <c r="B64" t="s">
        <v>811</v>
      </c>
      <c r="C64">
        <v>199009.99166888703</v>
      </c>
      <c r="D64">
        <v>217422.33341778014</v>
      </c>
      <c r="E64">
        <v>215985.90959339839</v>
      </c>
      <c r="F64">
        <v>215855.3256093637</v>
      </c>
      <c r="G64">
        <v>205016.85493448336</v>
      </c>
      <c r="H64">
        <v>206975.6146950039</v>
      </c>
      <c r="I64">
        <v>222906.86074723766</v>
      </c>
      <c r="J64">
        <v>221862.18887496003</v>
      </c>
      <c r="K64">
        <v>226693.79628424402</v>
      </c>
      <c r="L64">
        <v>232439.49158177094</v>
      </c>
      <c r="M64">
        <v>215071.82170515548</v>
      </c>
      <c r="N64">
        <v>219119.92521023127</v>
      </c>
      <c r="O64">
        <v>223298.61269934176</v>
      </c>
      <c r="P64">
        <v>217161.16544971074</v>
      </c>
      <c r="Q64">
        <v>217161.16544971074</v>
      </c>
      <c r="R64">
        <v>215594.1576412943</v>
      </c>
      <c r="S64">
        <v>211807.22210428791</v>
      </c>
      <c r="T64">
        <v>215594.1576412943</v>
      </c>
      <c r="U64">
        <v>210893.134216045</v>
      </c>
      <c r="V64">
        <v>210631.96624797559</v>
      </c>
      <c r="W64">
        <v>208150.87055131624</v>
      </c>
      <c r="X64">
        <v>206845.03071096921</v>
      </c>
      <c r="Y64">
        <v>206192.1107907957</v>
      </c>
      <c r="Z64">
        <v>205539.19087062217</v>
      </c>
      <c r="AA64">
        <v>203972.18306220576</v>
      </c>
      <c r="AB64">
        <v>198879.40768485234</v>
      </c>
      <c r="AC64">
        <v>197442.98386047062</v>
      </c>
      <c r="AD64">
        <v>193394.88035539482</v>
      </c>
    </row>
    <row r="65" spans="1:37" x14ac:dyDescent="0.25">
      <c r="A65" t="str">
        <f>'Activity data'!C19&amp;" - "&amp;'Activity data'!D19</f>
        <v>3A2i Poultry - Commercial layers</v>
      </c>
      <c r="B65" t="s">
        <v>811</v>
      </c>
      <c r="C65">
        <v>14643674.931267885</v>
      </c>
      <c r="D65">
        <v>14226110.812328145</v>
      </c>
      <c r="E65">
        <v>13492476.52712371</v>
      </c>
      <c r="F65">
        <v>13280331.082668224</v>
      </c>
      <c r="G65">
        <v>12702684.496371185</v>
      </c>
      <c r="H65">
        <v>13860209.809151115</v>
      </c>
      <c r="I65">
        <v>14640611.562802857</v>
      </c>
      <c r="J65">
        <v>14688755.298092401</v>
      </c>
      <c r="K65">
        <v>16538299.007411262</v>
      </c>
      <c r="L65">
        <v>17730716.13950536</v>
      </c>
      <c r="M65">
        <v>17355030.714458548</v>
      </c>
      <c r="N65">
        <v>17818001.024886843</v>
      </c>
      <c r="O65">
        <v>17678155.288284503</v>
      </c>
      <c r="P65">
        <v>16972399.104253348</v>
      </c>
      <c r="Q65">
        <v>17587835.89054852</v>
      </c>
      <c r="R65">
        <v>18648391.6209228</v>
      </c>
      <c r="S65">
        <v>20580691.805783488</v>
      </c>
      <c r="T65">
        <v>22776081.657241259</v>
      </c>
      <c r="U65">
        <v>23076039.863330547</v>
      </c>
      <c r="V65">
        <v>22225308.649488669</v>
      </c>
      <c r="W65">
        <v>23091061.215630483</v>
      </c>
      <c r="X65">
        <v>24156882.687047753</v>
      </c>
      <c r="Y65">
        <v>25036870.403128054</v>
      </c>
      <c r="Z65">
        <v>24549576.616170555</v>
      </c>
      <c r="AA65">
        <v>24340499.841357533</v>
      </c>
      <c r="AB65">
        <v>24851160.720602136</v>
      </c>
      <c r="AC65">
        <v>24800000</v>
      </c>
      <c r="AD65">
        <v>23160000</v>
      </c>
      <c r="AJ65">
        <f>SLOPE(M65:AD65,M29:AD29)</f>
        <v>53.758789541785902</v>
      </c>
      <c r="AK65">
        <f>INTERCEPT(M65:AD65,M29:AD29)</f>
        <v>-485263.55440489948</v>
      </c>
    </row>
    <row r="66" spans="1:37" x14ac:dyDescent="0.25">
      <c r="A66" t="str">
        <f>'Activity data'!C20&amp;" - "&amp;'Activity data'!D20</f>
        <v>3A2i Poultry - Commercial broilers</v>
      </c>
      <c r="B66" t="s">
        <v>811</v>
      </c>
      <c r="C66">
        <v>40304488.125775687</v>
      </c>
      <c r="D66">
        <v>37886218.887128815</v>
      </c>
      <c r="E66">
        <v>35805187.036307976</v>
      </c>
      <c r="F66">
        <v>40268107.368938237</v>
      </c>
      <c r="G66">
        <v>39890443.299430735</v>
      </c>
      <c r="H66">
        <v>45660443.796231762</v>
      </c>
      <c r="I66">
        <v>53091326.838711366</v>
      </c>
      <c r="J66">
        <v>54040901.985378392</v>
      </c>
      <c r="K66">
        <v>59214394.697576575</v>
      </c>
      <c r="L66">
        <v>61819163.842046939</v>
      </c>
      <c r="M66">
        <v>66512864.907880791</v>
      </c>
      <c r="N66">
        <v>64225159.968942329</v>
      </c>
      <c r="O66">
        <v>71182309.580183759</v>
      </c>
      <c r="P66">
        <v>67705122.244331256</v>
      </c>
      <c r="Q66">
        <v>69339582.95804137</v>
      </c>
      <c r="R66">
        <v>76722494.212373629</v>
      </c>
      <c r="S66">
        <v>82061878.307196394</v>
      </c>
      <c r="T66">
        <v>85859218.536646262</v>
      </c>
      <c r="U66">
        <v>91416754.470852047</v>
      </c>
      <c r="V66">
        <v>86261715.79298</v>
      </c>
      <c r="W66">
        <v>88431266.728296682</v>
      </c>
      <c r="X66">
        <v>91461113.859690607</v>
      </c>
      <c r="Y66">
        <v>93498642.184348121</v>
      </c>
      <c r="Z66">
        <v>91051385.328801513</v>
      </c>
      <c r="AA66">
        <v>95192509.839774087</v>
      </c>
      <c r="AB66">
        <v>99033153.399708137</v>
      </c>
      <c r="AC66">
        <v>92093884</v>
      </c>
      <c r="AD66">
        <v>91976041</v>
      </c>
      <c r="AJ66">
        <f>SLOPE(M66:AD66,M33:AD33)</f>
        <v>35.717419741834426</v>
      </c>
      <c r="AK66">
        <f>INTERCEPT(M66:AD66,M33:AD33)</f>
        <v>39385415.286496744</v>
      </c>
    </row>
    <row r="67" spans="1:37" x14ac:dyDescent="0.25">
      <c r="A67" t="str">
        <f>'Activity data'!C21&amp;" - "&amp;'Activity data'!D21</f>
        <v>3A2i Poultry - Subsistence layers</v>
      </c>
      <c r="B67" t="s">
        <v>811</v>
      </c>
      <c r="C67">
        <v>615034.34711325122</v>
      </c>
      <c r="D67">
        <v>597496.65411778213</v>
      </c>
      <c r="E67">
        <v>566684.0141391959</v>
      </c>
      <c r="F67">
        <v>557773.90547206544</v>
      </c>
      <c r="G67">
        <v>533512.74884758983</v>
      </c>
      <c r="H67">
        <v>582128.81198434683</v>
      </c>
      <c r="I67">
        <v>614905.68563772005</v>
      </c>
      <c r="J67">
        <v>616927.72251988086</v>
      </c>
      <c r="K67">
        <v>694608.55831127299</v>
      </c>
      <c r="L67">
        <v>744690.07785922522</v>
      </c>
      <c r="M67">
        <v>728911.290007259</v>
      </c>
      <c r="N67">
        <v>748356.04304524744</v>
      </c>
      <c r="O67">
        <v>742482.52210794913</v>
      </c>
      <c r="P67">
        <v>712840.76237864071</v>
      </c>
      <c r="Q67">
        <v>738689.10740303784</v>
      </c>
      <c r="R67">
        <v>783232.44807875762</v>
      </c>
      <c r="S67">
        <v>864389.05584290659</v>
      </c>
      <c r="T67">
        <v>956595.42960413289</v>
      </c>
      <c r="U67">
        <v>969193.674259883</v>
      </c>
      <c r="V67">
        <v>933462.96327852411</v>
      </c>
      <c r="W67">
        <v>969824.57105648029</v>
      </c>
      <c r="X67">
        <v>1014589.0728560057</v>
      </c>
      <c r="Y67">
        <v>1051548.5569313783</v>
      </c>
      <c r="Z67">
        <v>1031082.2178791633</v>
      </c>
      <c r="AA67">
        <v>1022300.9933370164</v>
      </c>
      <c r="AB67">
        <v>1043748.7502652898</v>
      </c>
      <c r="AC67">
        <v>1041600.0000000001</v>
      </c>
      <c r="AD67">
        <v>972720.00000000012</v>
      </c>
    </row>
    <row r="68" spans="1:37" x14ac:dyDescent="0.25">
      <c r="A68" t="str">
        <f>'Activity data'!C22&amp;" - "&amp;'Activity data'!D22</f>
        <v>3A2i Poultry - Subsistence broilers</v>
      </c>
      <c r="B68" t="s">
        <v>811</v>
      </c>
      <c r="C68">
        <v>1692788.501282579</v>
      </c>
      <c r="D68">
        <v>1591221.1932594103</v>
      </c>
      <c r="E68">
        <v>1503817.8555249351</v>
      </c>
      <c r="F68">
        <v>1691260.5094954062</v>
      </c>
      <c r="G68">
        <v>1675398.618576091</v>
      </c>
      <c r="H68">
        <v>1917738.6394417342</v>
      </c>
      <c r="I68">
        <v>2229835.7272258773</v>
      </c>
      <c r="J68">
        <v>2269717.8833858925</v>
      </c>
      <c r="K68">
        <v>2487004.5772982165</v>
      </c>
      <c r="L68">
        <v>2596404.8813659716</v>
      </c>
      <c r="M68">
        <v>2793540.3261309932</v>
      </c>
      <c r="N68">
        <v>2697456.7186955782</v>
      </c>
      <c r="O68">
        <v>2989657.0023677181</v>
      </c>
      <c r="P68">
        <v>2843615.1342619131</v>
      </c>
      <c r="Q68">
        <v>2912262.4842377375</v>
      </c>
      <c r="R68">
        <v>3222344.7569196927</v>
      </c>
      <c r="S68">
        <v>3446598.8889022488</v>
      </c>
      <c r="T68">
        <v>3606087.1785391434</v>
      </c>
      <c r="U68">
        <v>3839503.687775786</v>
      </c>
      <c r="V68">
        <v>3622992.06330516</v>
      </c>
      <c r="W68">
        <v>3714113.2025884609</v>
      </c>
      <c r="X68">
        <v>3841366.7821070058</v>
      </c>
      <c r="Y68">
        <v>3926942.9717426212</v>
      </c>
      <c r="Z68">
        <v>3824158.1838096636</v>
      </c>
      <c r="AA68">
        <v>3998085.4132705121</v>
      </c>
      <c r="AB68">
        <v>4159392.4427877418</v>
      </c>
      <c r="AC68">
        <v>3867943.128</v>
      </c>
      <c r="AD68">
        <v>3862993.7220000001</v>
      </c>
    </row>
    <row r="69" spans="1:37" x14ac:dyDescent="0.25">
      <c r="C69">
        <f>SUM(C51:C56)</f>
        <v>13300372.9</v>
      </c>
    </row>
    <row r="70" spans="1:37" x14ac:dyDescent="0.25">
      <c r="C70">
        <f>SUM(C51:C53)</f>
        <v>1473272.9</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A38"/>
  <sheetViews>
    <sheetView workbookViewId="0">
      <selection activeCell="L39" sqref="L39"/>
    </sheetView>
  </sheetViews>
  <sheetFormatPr defaultRowHeight="15" x14ac:dyDescent="0.25"/>
  <cols>
    <col min="2" max="2" width="26.5703125" customWidth="1"/>
    <col min="3" max="3" width="11" customWidth="1"/>
  </cols>
  <sheetData>
    <row r="1" spans="1:53" x14ac:dyDescent="0.25">
      <c r="A1" s="30" t="s">
        <v>665</v>
      </c>
    </row>
    <row r="3" spans="1:53" x14ac:dyDescent="0.25">
      <c r="A3" s="31"/>
      <c r="B3" s="32"/>
      <c r="C3" s="33">
        <v>2000</v>
      </c>
      <c r="D3" s="33">
        <v>2001</v>
      </c>
      <c r="E3" s="33">
        <v>2002</v>
      </c>
      <c r="F3" s="33">
        <v>2003</v>
      </c>
      <c r="G3" s="33">
        <v>2004</v>
      </c>
      <c r="H3" s="33">
        <v>2005</v>
      </c>
      <c r="I3" s="33">
        <v>2006</v>
      </c>
      <c r="J3" s="33">
        <v>2007</v>
      </c>
      <c r="K3" s="33">
        <v>2008</v>
      </c>
      <c r="L3" s="33">
        <v>2009</v>
      </c>
      <c r="M3" s="33">
        <v>2010</v>
      </c>
      <c r="N3" s="33">
        <v>2011</v>
      </c>
      <c r="O3" s="33">
        <v>2012</v>
      </c>
      <c r="P3" s="33">
        <v>2013</v>
      </c>
      <c r="Q3" s="33">
        <v>2014</v>
      </c>
      <c r="R3" s="34">
        <v>2015</v>
      </c>
      <c r="S3" s="34">
        <v>2016</v>
      </c>
      <c r="T3" s="34">
        <v>2017</v>
      </c>
      <c r="U3" s="34">
        <v>2018</v>
      </c>
      <c r="V3" s="34">
        <v>2019</v>
      </c>
      <c r="W3" s="34">
        <v>2020</v>
      </c>
      <c r="X3" s="34">
        <v>2021</v>
      </c>
      <c r="Y3" s="34">
        <v>2022</v>
      </c>
      <c r="Z3" s="34">
        <v>2023</v>
      </c>
      <c r="AA3" s="34">
        <v>2024</v>
      </c>
      <c r="AB3" s="34">
        <v>2025</v>
      </c>
      <c r="AC3" s="34">
        <v>2026</v>
      </c>
      <c r="AD3" s="34">
        <v>2027</v>
      </c>
      <c r="AE3" s="34">
        <v>2028</v>
      </c>
      <c r="AF3" s="34">
        <v>2029</v>
      </c>
      <c r="AG3" s="34">
        <v>2030</v>
      </c>
      <c r="AH3" s="34">
        <v>2031</v>
      </c>
      <c r="AI3" s="34">
        <v>2032</v>
      </c>
      <c r="AJ3" s="34">
        <v>2033</v>
      </c>
      <c r="AK3" s="34">
        <v>2034</v>
      </c>
      <c r="AL3" s="34">
        <v>2035</v>
      </c>
      <c r="AM3" s="34">
        <v>2036</v>
      </c>
      <c r="AN3" s="34">
        <v>2037</v>
      </c>
      <c r="AO3" s="34">
        <v>2038</v>
      </c>
      <c r="AP3" s="34">
        <v>2039</v>
      </c>
      <c r="AQ3" s="34">
        <v>2040</v>
      </c>
      <c r="AR3" s="34">
        <v>2041</v>
      </c>
      <c r="AS3" s="34">
        <v>2042</v>
      </c>
      <c r="AT3" s="34">
        <v>2043</v>
      </c>
      <c r="AU3" s="34">
        <v>2044</v>
      </c>
      <c r="AV3" s="34">
        <v>2045</v>
      </c>
      <c r="AW3" s="34">
        <v>2046</v>
      </c>
      <c r="AX3" s="34">
        <v>2047</v>
      </c>
      <c r="AY3" s="34">
        <v>2048</v>
      </c>
      <c r="AZ3" s="34">
        <v>2049</v>
      </c>
      <c r="BA3" s="34">
        <v>2050</v>
      </c>
    </row>
    <row r="4" spans="1:53" x14ac:dyDescent="0.25">
      <c r="A4" s="32"/>
      <c r="B4" s="32" t="s">
        <v>666</v>
      </c>
      <c r="C4" s="35">
        <v>993.09182234073091</v>
      </c>
      <c r="D4" s="35">
        <v>993.09182234073091</v>
      </c>
      <c r="E4" s="35">
        <v>993.09182234073091</v>
      </c>
      <c r="F4" s="35">
        <v>1043.5184288423109</v>
      </c>
      <c r="G4" s="35">
        <v>1063.935684388</v>
      </c>
      <c r="H4" s="35">
        <v>1250.3949420410001</v>
      </c>
      <c r="I4" s="35">
        <v>1361.4582773811801</v>
      </c>
      <c r="J4" s="35">
        <v>1418.12680256985</v>
      </c>
      <c r="K4" s="35">
        <v>1510.0595450369999</v>
      </c>
      <c r="L4" s="35">
        <v>1467.5146597320002</v>
      </c>
      <c r="M4" s="35">
        <v>1455.5368726329998</v>
      </c>
      <c r="N4" s="35">
        <v>1511.75508982</v>
      </c>
      <c r="O4" s="35">
        <v>1600</v>
      </c>
      <c r="P4" s="35">
        <v>1550</v>
      </c>
      <c r="Q4" s="35">
        <v>1500</v>
      </c>
      <c r="R4" s="36">
        <v>1604.9091918984675</v>
      </c>
      <c r="S4" s="36">
        <v>1560</v>
      </c>
      <c r="T4" s="36">
        <v>1530</v>
      </c>
      <c r="U4" s="36">
        <v>1620</v>
      </c>
      <c r="V4" s="36">
        <v>1680</v>
      </c>
      <c r="W4" s="36">
        <v>1715</v>
      </c>
      <c r="X4" s="36">
        <v>1780</v>
      </c>
      <c r="Y4" s="36">
        <v>1785</v>
      </c>
      <c r="Z4" s="36">
        <v>1790</v>
      </c>
      <c r="AA4" s="36">
        <v>1795</v>
      </c>
      <c r="AB4" s="36">
        <v>1800</v>
      </c>
      <c r="AC4" s="36">
        <v>1805</v>
      </c>
      <c r="AD4" s="36">
        <v>1810</v>
      </c>
      <c r="AE4" s="36">
        <v>1815</v>
      </c>
    </row>
    <row r="5" spans="1:53" x14ac:dyDescent="0.25">
      <c r="A5" s="32"/>
      <c r="B5" s="32" t="s">
        <v>667</v>
      </c>
      <c r="C5" s="35">
        <v>1079.3522583407307</v>
      </c>
      <c r="D5" s="35">
        <v>1079.3522583407307</v>
      </c>
      <c r="E5" s="35">
        <v>1079.3522583407307</v>
      </c>
      <c r="F5" s="35">
        <v>1188.8597378423108</v>
      </c>
      <c r="G5" s="35">
        <v>1206.674888388</v>
      </c>
      <c r="H5" s="35">
        <v>1426.810047041</v>
      </c>
      <c r="I5" s="35">
        <v>1614.02513538118</v>
      </c>
      <c r="J5" s="35">
        <v>1649.1401165698499</v>
      </c>
      <c r="K5" s="35">
        <v>1693.2698300369998</v>
      </c>
      <c r="L5" s="35">
        <v>1660.260131732</v>
      </c>
      <c r="M5" s="35">
        <v>1679.6840026329999</v>
      </c>
      <c r="N5" s="35">
        <v>1828.6388368200001</v>
      </c>
      <c r="O5" s="35">
        <v>1876.7825659999999</v>
      </c>
      <c r="P5" s="35">
        <v>1848.129913</v>
      </c>
      <c r="Q5" s="35">
        <v>1879.0711650000001</v>
      </c>
      <c r="R5" s="36">
        <v>1922.8356980734377</v>
      </c>
      <c r="S5" s="36">
        <v>1990.456203544496</v>
      </c>
      <c r="T5" s="36">
        <v>2057.8989690155481</v>
      </c>
      <c r="U5" s="36">
        <v>2126.2640708919885</v>
      </c>
      <c r="V5" s="36">
        <v>2198.3453171198826</v>
      </c>
      <c r="W5" s="36">
        <v>2269.7994713342828</v>
      </c>
      <c r="X5" s="36">
        <v>2342.1782343068635</v>
      </c>
      <c r="Y5" s="36">
        <v>2416.4818482639166</v>
      </c>
      <c r="Z5" s="36">
        <v>2491.5186816187529</v>
      </c>
      <c r="AA5" s="36">
        <v>2570.8561685926552</v>
      </c>
    </row>
    <row r="6" spans="1:53" x14ac:dyDescent="0.25">
      <c r="A6" s="32"/>
      <c r="B6" s="32" t="s">
        <v>668</v>
      </c>
      <c r="C6" s="35">
        <f>'Intermediate calculations'!M42/1000</f>
        <v>850</v>
      </c>
      <c r="D6" s="35">
        <f>'Intermediate calculations'!N42/1000</f>
        <v>869</v>
      </c>
      <c r="E6" s="35">
        <f>'Intermediate calculations'!O42/1000</f>
        <v>896</v>
      </c>
      <c r="F6" s="35">
        <f>'Intermediate calculations'!P42/1000</f>
        <v>925</v>
      </c>
      <c r="G6" s="35">
        <f>'Intermediate calculations'!Q42/1000</f>
        <v>1043</v>
      </c>
      <c r="H6" s="35">
        <f>'Intermediate calculations'!R42/1000</f>
        <v>1273</v>
      </c>
      <c r="I6" s="35">
        <f>'Intermediate calculations'!S42/1000</f>
        <v>1427</v>
      </c>
      <c r="J6" s="35">
        <f>'Intermediate calculations'!T42/1000</f>
        <v>1499</v>
      </c>
      <c r="K6" s="35">
        <f>'Intermediate calculations'!U42/1000</f>
        <v>1584</v>
      </c>
      <c r="L6" s="35">
        <f>'Intermediate calculations'!V42/1000</f>
        <v>1644</v>
      </c>
      <c r="M6" s="35">
        <f>'Intermediate calculations'!W42/1000</f>
        <v>1681</v>
      </c>
      <c r="N6" s="35">
        <f>'Intermediate calculations'!X42/1000</f>
        <v>1721</v>
      </c>
      <c r="O6" s="35">
        <f>'Intermediate calculations'!Y42/1000</f>
        <v>1472.6867290347498</v>
      </c>
      <c r="P6" s="35">
        <f>'Intermediate calculations'!Z42/1000</f>
        <v>1523.4764138715439</v>
      </c>
      <c r="Q6" s="35">
        <f>'Intermediate calculations'!AA42/1000</f>
        <v>1552.532291015779</v>
      </c>
      <c r="R6" s="35">
        <f>'Intermediate calculations'!AB42/1000</f>
        <v>1563.424792186036</v>
      </c>
      <c r="S6" s="35">
        <f>'Intermediate calculations'!AC42/1000</f>
        <v>1562.0619056926596</v>
      </c>
      <c r="T6" s="35">
        <f>'Intermediate calculations'!AD42/1000</f>
        <v>1568.0021416223028</v>
      </c>
      <c r="U6" s="35">
        <f>'Intermediate calculations'!AE42/1000</f>
        <v>1578.6034215177081</v>
      </c>
      <c r="V6" s="35">
        <f>'Intermediate calculations'!AF42/1000</f>
        <v>1587.6373291291702</v>
      </c>
      <c r="W6" s="35">
        <f>'Intermediate calculations'!AG42/1000</f>
        <v>1325.9188258920508</v>
      </c>
      <c r="X6" s="35">
        <f>'Intermediate calculations'!AH42/1000</f>
        <v>1367.0149064216662</v>
      </c>
      <c r="Y6" s="35">
        <f>'Intermediate calculations'!AI42/1000</f>
        <v>1409.9333278871666</v>
      </c>
      <c r="Z6" s="35">
        <f>'Intermediate calculations'!AJ42/1000</f>
        <v>1460.4007476846289</v>
      </c>
      <c r="AA6" s="35">
        <f>'Intermediate calculations'!AK42/1000</f>
        <v>1515.5644539122929</v>
      </c>
      <c r="AB6" s="35">
        <f>'Intermediate calculations'!AL42/1000</f>
        <v>1570.3601594882721</v>
      </c>
      <c r="AC6" s="35">
        <f>'Intermediate calculations'!AM42/1000</f>
        <v>1635.7602757011425</v>
      </c>
      <c r="AD6" s="35">
        <f>'Intermediate calculations'!AN42/1000</f>
        <v>1704.5228337760118</v>
      </c>
      <c r="AE6" s="35">
        <f>'Intermediate calculations'!AO42/1000</f>
        <v>1778.1875919158788</v>
      </c>
      <c r="AF6" s="35">
        <f>'Intermediate calculations'!AP42/1000</f>
        <v>1855.0520809358659</v>
      </c>
      <c r="AG6" s="35">
        <f>'Intermediate calculations'!AQ42/1000</f>
        <v>1918.8341100530693</v>
      </c>
      <c r="AH6" s="35">
        <f>'Intermediate calculations'!AR42/1000</f>
        <v>2002.3032958492197</v>
      </c>
      <c r="AI6" s="35">
        <f>'Intermediate calculations'!AS42/1000</f>
        <v>2088.2586564318799</v>
      </c>
      <c r="AJ6" s="35">
        <f>'Intermediate calculations'!AT42/1000</f>
        <v>2177.3330411047082</v>
      </c>
      <c r="AK6" s="35">
        <f>'Intermediate calculations'!AU42/1000</f>
        <v>2262.8600709712646</v>
      </c>
      <c r="AL6" s="35">
        <f>'Intermediate calculations'!AV42/1000</f>
        <v>2354.1828098632095</v>
      </c>
      <c r="AM6" s="35">
        <f>'Intermediate calculations'!AW42/1000</f>
        <v>2451.4777746522386</v>
      </c>
      <c r="AN6" s="35">
        <f>'Intermediate calculations'!AX42/1000</f>
        <v>2552.9734587960711</v>
      </c>
      <c r="AO6" s="35">
        <f>'Intermediate calculations'!AY42/1000</f>
        <v>2653.8009239504331</v>
      </c>
      <c r="AP6" s="35">
        <f>'Intermediate calculations'!AZ42/1000</f>
        <v>2758.8659783729486</v>
      </c>
      <c r="AQ6" s="35">
        <f>'Intermediate calculations'!BA42/1000</f>
        <v>2871.2011345424107</v>
      </c>
      <c r="AR6" s="35">
        <f>'Intermediate calculations'!BB42/1000</f>
        <v>2989.4687050164225</v>
      </c>
      <c r="AS6" s="35">
        <f>'Intermediate calculations'!BC42/1000</f>
        <v>3113.2736036156116</v>
      </c>
      <c r="AT6" s="35">
        <f>'Intermediate calculations'!BD42/1000</f>
        <v>3242.8636040050346</v>
      </c>
      <c r="AU6" s="35">
        <f>'Intermediate calculations'!BE42/1000</f>
        <v>3378.3172766503244</v>
      </c>
      <c r="AV6" s="35">
        <f>'Intermediate calculations'!BF42/1000</f>
        <v>3520.9004264994633</v>
      </c>
      <c r="AW6" s="35">
        <f>'Intermediate calculations'!BG42/1000</f>
        <v>3655.6581983324868</v>
      </c>
      <c r="AX6" s="35">
        <f>'Intermediate calculations'!BH42/1000</f>
        <v>3796.9503046275936</v>
      </c>
      <c r="AY6" s="35">
        <f>'Intermediate calculations'!BI42/1000</f>
        <v>3945.971368542288</v>
      </c>
      <c r="AZ6" s="35">
        <f>'Intermediate calculations'!BJ42/1000</f>
        <v>4103.3884683056458</v>
      </c>
      <c r="BA6" s="35">
        <f>'Intermediate calculations'!BK42/1000</f>
        <v>4272.8582121637728</v>
      </c>
    </row>
    <row r="7" spans="1:53" x14ac:dyDescent="0.25">
      <c r="A7" s="32"/>
      <c r="B7" s="32" t="s">
        <v>669</v>
      </c>
      <c r="C7" s="35">
        <f>'Intermediate calculations'!M39/1000</f>
        <v>927</v>
      </c>
      <c r="D7" s="35">
        <f>'Intermediate calculations'!N39/1000</f>
        <v>938</v>
      </c>
      <c r="E7" s="35">
        <f>'Intermediate calculations'!O39/1000</f>
        <v>965</v>
      </c>
      <c r="F7" s="35">
        <f>'Intermediate calculations'!P39/1000</f>
        <v>1032</v>
      </c>
      <c r="G7" s="35">
        <f>'Intermediate calculations'!Q39/1000</f>
        <v>1196</v>
      </c>
      <c r="H7" s="35">
        <f>'Intermediate calculations'!R39/1000</f>
        <v>1455</v>
      </c>
      <c r="I7" s="35">
        <f>'Intermediate calculations'!S39/1000</f>
        <v>1664</v>
      </c>
      <c r="J7" s="35">
        <f>'Intermediate calculations'!T39/1000</f>
        <v>1767</v>
      </c>
      <c r="K7" s="35">
        <f>'Intermediate calculations'!U39/1000</f>
        <v>1813</v>
      </c>
      <c r="L7" s="35">
        <f>'Intermediate calculations'!V39/1000</f>
        <v>1841</v>
      </c>
      <c r="M7" s="35">
        <f>'Intermediate calculations'!W39/1000</f>
        <v>1887</v>
      </c>
      <c r="N7" s="35">
        <f>'Intermediate calculations'!X39/1000</f>
        <v>1987</v>
      </c>
      <c r="O7" s="35">
        <f>'Intermediate calculations'!Y39/1000</f>
        <v>1795.4604257032652</v>
      </c>
      <c r="P7" s="35">
        <f>'Intermediate calculations'!Z39/1000</f>
        <v>1865.9237046096164</v>
      </c>
      <c r="Q7" s="35">
        <f>'Intermediate calculations'!AA39/1000</f>
        <v>1906.234495701585</v>
      </c>
      <c r="R7" s="35">
        <f>'Intermediate calculations'!AB39/1000</f>
        <v>1921.346252161856</v>
      </c>
      <c r="S7" s="35">
        <f>'Intermediate calculations'!AC39/1000</f>
        <v>1919.4554459595913</v>
      </c>
      <c r="T7" s="35">
        <f>'Intermediate calculations'!AD39/1000</f>
        <v>1927.6966567964964</v>
      </c>
      <c r="U7" s="35">
        <f>'Intermediate calculations'!AE39/1000</f>
        <v>1942.4043862190085</v>
      </c>
      <c r="V7" s="35">
        <f>'Intermediate calculations'!AF39/1000</f>
        <v>1954.9376152336436</v>
      </c>
      <c r="W7" s="35">
        <f>'Intermediate calculations'!AG39/1000</f>
        <v>1591.8413694544192</v>
      </c>
      <c r="X7" s="35">
        <f>'Intermediate calculations'!AH39/1000</f>
        <v>1648.8561864122587</v>
      </c>
      <c r="Y7" s="35">
        <f>'Intermediate calculations'!AI39/1000</f>
        <v>1708.399235589698</v>
      </c>
      <c r="Z7" s="35">
        <f>'Intermediate calculations'!AJ39/1000</f>
        <v>1778.4154187634972</v>
      </c>
      <c r="AA7" s="35">
        <f>'Intermediate calculations'!AK39/1000</f>
        <v>1854.9470143014162</v>
      </c>
      <c r="AB7" s="35">
        <f>'Intermediate calculations'!AL39/1000</f>
        <v>1930.9680626161992</v>
      </c>
      <c r="AC7" s="35">
        <f>'Intermediate calculations'!AM39/1000</f>
        <v>2021.7011838006179</v>
      </c>
      <c r="AD7" s="35">
        <f>'Intermediate calculations'!AN39/1000</f>
        <v>2117.0992025816599</v>
      </c>
      <c r="AE7" s="35">
        <f>'Intermediate calculations'!AO39/1000</f>
        <v>2219.2983088580199</v>
      </c>
      <c r="AF7" s="35">
        <f>'Intermediate calculations'!AP39/1000</f>
        <v>2325.9365749786602</v>
      </c>
      <c r="AG7" s="35">
        <f>'Intermediate calculations'!AQ39/1000</f>
        <v>2414.4248363518172</v>
      </c>
      <c r="AH7" s="35">
        <f>'Intermediate calculations'!AR39/1000</f>
        <v>2530.2261558075229</v>
      </c>
      <c r="AI7" s="35">
        <f>'Intermediate calculations'!AS39/1000</f>
        <v>2649.4766801156452</v>
      </c>
      <c r="AJ7" s="35">
        <f>'Intermediate calculations'!AT39/1000</f>
        <v>2773.0543953698693</v>
      </c>
      <c r="AK7" s="35">
        <f>'Intermediate calculations'!AU39/1000</f>
        <v>2891.7106732909551</v>
      </c>
      <c r="AL7" s="35">
        <f>'Intermediate calculations'!AV39/1000</f>
        <v>3018.4076520517542</v>
      </c>
      <c r="AM7" s="35">
        <f>'Intermediate calculations'!AW39/1000</f>
        <v>3153.3902230628346</v>
      </c>
      <c r="AN7" s="35">
        <f>'Intermediate calculations'!AX39/1000</f>
        <v>3294.2006794103963</v>
      </c>
      <c r="AO7" s="35">
        <f>'Intermediate calculations'!AY39/1000</f>
        <v>3434.0840793846633</v>
      </c>
      <c r="AP7" s="35">
        <f>'Intermediate calculations'!AZ39/1000</f>
        <v>3579.8465163218866</v>
      </c>
      <c r="AQ7" s="35">
        <f>'Intermediate calculations'!BA39/1000</f>
        <v>3735.6951589270284</v>
      </c>
      <c r="AR7" s="35">
        <f>'Intermediate calculations'!BB39/1000</f>
        <v>3899.7741610052167</v>
      </c>
      <c r="AS7" s="35">
        <f>'Intermediate calculations'!BC39/1000</f>
        <v>4071.5353981146736</v>
      </c>
      <c r="AT7" s="35">
        <f>'Intermediate calculations'!BD39/1000</f>
        <v>4251.3226200723684</v>
      </c>
      <c r="AU7" s="35">
        <f>'Intermediate calculations'!BE39/1000</f>
        <v>4439.2448319381174</v>
      </c>
      <c r="AV7" s="35">
        <f>'Intermediate calculations'!BF39/1000</f>
        <v>4637.0581534314524</v>
      </c>
      <c r="AW7" s="35">
        <f>'Intermediate calculations'!BG39/1000</f>
        <v>4824.0149044327873</v>
      </c>
      <c r="AX7" s="35">
        <f>'Intermediate calculations'!BH39/1000</f>
        <v>5020.0370913223087</v>
      </c>
      <c r="AY7" s="35">
        <f>'Intermediate calculations'!BI39/1000</f>
        <v>5226.7820794687068</v>
      </c>
      <c r="AZ7" s="35">
        <f>'Intermediate calculations'!BJ39/1000</f>
        <v>5445.1753426066343</v>
      </c>
      <c r="BA7" s="35">
        <f>'Intermediate calculations'!BK39/1000</f>
        <v>5680.2898912799556</v>
      </c>
    </row>
    <row r="8" spans="1:53" x14ac:dyDescent="0.25">
      <c r="A8" s="32"/>
      <c r="B8" s="32"/>
      <c r="C8" s="35"/>
      <c r="D8" s="35"/>
      <c r="E8" s="35"/>
      <c r="F8" s="35"/>
      <c r="G8" s="35"/>
      <c r="H8" s="35"/>
      <c r="I8" s="35"/>
      <c r="J8" s="35"/>
      <c r="K8" s="35"/>
      <c r="L8" s="35"/>
      <c r="M8" s="35"/>
      <c r="N8" s="35"/>
      <c r="O8" s="35"/>
      <c r="P8" s="35"/>
      <c r="Q8" s="35"/>
      <c r="R8" s="36"/>
      <c r="S8" s="36"/>
      <c r="T8" s="36"/>
      <c r="U8" s="36"/>
      <c r="V8" s="36"/>
      <c r="W8" s="36"/>
      <c r="X8" s="36"/>
      <c r="Y8" s="36"/>
      <c r="Z8" s="36"/>
      <c r="AA8" s="36"/>
    </row>
    <row r="9" spans="1:53" x14ac:dyDescent="0.25">
      <c r="A9" s="31"/>
      <c r="B9" s="32"/>
      <c r="C9" s="33">
        <v>2000</v>
      </c>
      <c r="D9" s="33">
        <v>2001</v>
      </c>
      <c r="E9" s="33">
        <v>2002</v>
      </c>
      <c r="F9" s="33">
        <v>2003</v>
      </c>
      <c r="G9" s="33">
        <v>2004</v>
      </c>
      <c r="H9" s="33">
        <v>2005</v>
      </c>
      <c r="I9" s="33">
        <v>2006</v>
      </c>
      <c r="J9" s="33">
        <v>2007</v>
      </c>
      <c r="K9" s="33">
        <v>2008</v>
      </c>
      <c r="L9" s="33">
        <v>2009</v>
      </c>
      <c r="M9" s="33">
        <v>2010</v>
      </c>
      <c r="N9" s="33">
        <v>2011</v>
      </c>
      <c r="O9" s="33">
        <v>2012</v>
      </c>
      <c r="P9" s="33">
        <v>2013</v>
      </c>
      <c r="Q9" s="33">
        <v>2014</v>
      </c>
      <c r="R9" s="34">
        <v>2015</v>
      </c>
      <c r="S9" s="34">
        <v>2016</v>
      </c>
      <c r="T9" s="34">
        <v>2017</v>
      </c>
      <c r="U9" s="34">
        <v>2018</v>
      </c>
      <c r="V9" s="34">
        <v>2019</v>
      </c>
      <c r="W9" s="34">
        <v>2020</v>
      </c>
      <c r="X9" s="34">
        <v>2021</v>
      </c>
      <c r="Y9" s="34">
        <v>2022</v>
      </c>
      <c r="Z9" s="34">
        <v>2023</v>
      </c>
      <c r="AA9" s="34">
        <v>2024</v>
      </c>
      <c r="AB9" s="34">
        <v>2025</v>
      </c>
      <c r="AC9" s="34">
        <v>2026</v>
      </c>
      <c r="AD9" s="34">
        <v>2027</v>
      </c>
      <c r="AE9" s="34">
        <v>2028</v>
      </c>
      <c r="AF9" s="34">
        <v>2029</v>
      </c>
      <c r="AG9" s="34">
        <v>2030</v>
      </c>
      <c r="AH9" s="34">
        <v>2031</v>
      </c>
      <c r="AI9" s="34">
        <v>2032</v>
      </c>
      <c r="AJ9" s="34">
        <v>2033</v>
      </c>
      <c r="AK9" s="34">
        <v>2034</v>
      </c>
      <c r="AL9" s="34">
        <v>2035</v>
      </c>
      <c r="AM9" s="34">
        <v>2036</v>
      </c>
      <c r="AN9" s="34">
        <v>2037</v>
      </c>
      <c r="AO9" s="34">
        <v>2038</v>
      </c>
      <c r="AP9" s="34">
        <v>2039</v>
      </c>
      <c r="AQ9" s="34">
        <v>2040</v>
      </c>
      <c r="AR9" s="34">
        <v>2041</v>
      </c>
      <c r="AS9" s="34">
        <v>2042</v>
      </c>
      <c r="AT9" s="34">
        <v>2043</v>
      </c>
      <c r="AU9" s="34">
        <v>2044</v>
      </c>
      <c r="AV9" s="34">
        <v>2045</v>
      </c>
      <c r="AW9" s="34">
        <v>2046</v>
      </c>
      <c r="AX9" s="34">
        <v>2047</v>
      </c>
      <c r="AY9" s="34">
        <v>2048</v>
      </c>
      <c r="AZ9" s="34">
        <v>2049</v>
      </c>
      <c r="BA9" s="34">
        <v>2050</v>
      </c>
    </row>
    <row r="10" spans="1:53" x14ac:dyDescent="0.25">
      <c r="A10" s="32"/>
      <c r="B10" s="32" t="s">
        <v>670</v>
      </c>
      <c r="C10" s="35">
        <v>325.34589665653499</v>
      </c>
      <c r="D10" s="35">
        <v>325.34589665653499</v>
      </c>
      <c r="E10" s="35">
        <v>325.34589665653499</v>
      </c>
      <c r="F10" s="35">
        <v>318.8389787234043</v>
      </c>
      <c r="G10" s="35">
        <v>318.8389787234043</v>
      </c>
      <c r="H10" s="35">
        <v>325.21575829787241</v>
      </c>
      <c r="I10" s="35">
        <v>328.46791588085114</v>
      </c>
      <c r="J10" s="35">
        <v>363.86063999999999</v>
      </c>
      <c r="K10" s="35">
        <v>368.28791999999999</v>
      </c>
      <c r="L10" s="35">
        <v>373.60199999999998</v>
      </c>
      <c r="M10" s="35">
        <v>386.43599999999998</v>
      </c>
      <c r="N10" s="35">
        <v>404.49</v>
      </c>
      <c r="O10" s="35">
        <v>450.04</v>
      </c>
      <c r="P10" s="35">
        <v>439.4</v>
      </c>
      <c r="Q10" s="35">
        <v>421.88</v>
      </c>
      <c r="R10" s="36">
        <v>433.92676812049251</v>
      </c>
      <c r="S10" s="36">
        <v>435</v>
      </c>
      <c r="T10" s="36">
        <v>400</v>
      </c>
      <c r="U10" s="36">
        <v>410</v>
      </c>
      <c r="V10" s="36">
        <v>415</v>
      </c>
      <c r="W10" s="36">
        <v>424</v>
      </c>
      <c r="X10" s="36">
        <v>440</v>
      </c>
      <c r="Y10" s="36">
        <v>450</v>
      </c>
      <c r="Z10" s="36">
        <v>458</v>
      </c>
      <c r="AA10" s="36">
        <v>460</v>
      </c>
      <c r="AB10" s="36">
        <v>470</v>
      </c>
      <c r="AC10" s="36">
        <v>480</v>
      </c>
      <c r="AD10" s="36">
        <v>490</v>
      </c>
      <c r="AE10" s="36">
        <v>500</v>
      </c>
    </row>
    <row r="11" spans="1:53" x14ac:dyDescent="0.25">
      <c r="A11" s="32"/>
      <c r="B11" s="32" t="s">
        <v>671</v>
      </c>
      <c r="C11" s="35">
        <v>321.91089665653499</v>
      </c>
      <c r="D11" s="35">
        <v>321.91089665653499</v>
      </c>
      <c r="E11" s="35">
        <v>321.91089665653499</v>
      </c>
      <c r="F11" s="35">
        <v>316.1402608231254</v>
      </c>
      <c r="G11" s="35">
        <v>317.8939787234043</v>
      </c>
      <c r="H11" s="35">
        <v>324.27075829787242</v>
      </c>
      <c r="I11" s="35">
        <v>328.91791588085113</v>
      </c>
      <c r="J11" s="35">
        <v>364.32063999999997</v>
      </c>
      <c r="K11" s="35">
        <v>367.77791999999999</v>
      </c>
      <c r="L11" s="35">
        <v>371.36519499999997</v>
      </c>
      <c r="M11" s="35">
        <v>382.88327899999996</v>
      </c>
      <c r="N11" s="35">
        <v>401.97165999999999</v>
      </c>
      <c r="O11" s="35">
        <v>445.23</v>
      </c>
      <c r="P11" s="35">
        <v>435.75099999999998</v>
      </c>
      <c r="Q11" s="35">
        <v>416.88200000000001</v>
      </c>
      <c r="R11" s="36">
        <f>R10-4</f>
        <v>429.92676812049251</v>
      </c>
      <c r="S11" s="36">
        <f t="shared" ref="S11:AE11" si="0">S10-4</f>
        <v>431</v>
      </c>
      <c r="T11" s="36">
        <f t="shared" si="0"/>
        <v>396</v>
      </c>
      <c r="U11" s="36">
        <f t="shared" si="0"/>
        <v>406</v>
      </c>
      <c r="V11" s="36">
        <f t="shared" si="0"/>
        <v>411</v>
      </c>
      <c r="W11" s="36">
        <f t="shared" si="0"/>
        <v>420</v>
      </c>
      <c r="X11" s="36">
        <f t="shared" si="0"/>
        <v>436</v>
      </c>
      <c r="Y11" s="36">
        <f t="shared" si="0"/>
        <v>446</v>
      </c>
      <c r="Z11" s="36">
        <f t="shared" si="0"/>
        <v>454</v>
      </c>
      <c r="AA11" s="36">
        <f t="shared" si="0"/>
        <v>456</v>
      </c>
      <c r="AB11" s="36">
        <f t="shared" si="0"/>
        <v>466</v>
      </c>
      <c r="AC11" s="36">
        <f t="shared" si="0"/>
        <v>476</v>
      </c>
      <c r="AD11" s="36">
        <f t="shared" si="0"/>
        <v>486</v>
      </c>
      <c r="AE11" s="36">
        <f t="shared" si="0"/>
        <v>496</v>
      </c>
    </row>
    <row r="12" spans="1:53" x14ac:dyDescent="0.25">
      <c r="A12" s="32"/>
      <c r="B12" s="32" t="s">
        <v>672</v>
      </c>
      <c r="C12" s="35">
        <f>'Intermediate calculations'!M37/1000</f>
        <v>329</v>
      </c>
      <c r="D12" s="35">
        <f>'Intermediate calculations'!N37/1000</f>
        <v>330</v>
      </c>
      <c r="E12" s="35">
        <f>'Intermediate calculations'!O37/1000</f>
        <v>340</v>
      </c>
      <c r="F12" s="35">
        <f>'Intermediate calculations'!P37/1000</f>
        <v>328</v>
      </c>
      <c r="G12" s="35">
        <f>'Intermediate calculations'!Q37/1000</f>
        <v>348</v>
      </c>
      <c r="H12" s="35">
        <f>'Intermediate calculations'!R37/1000</f>
        <v>375</v>
      </c>
      <c r="I12" s="35">
        <f>'Intermediate calculations'!S37/1000</f>
        <v>412</v>
      </c>
      <c r="J12" s="35">
        <f>'Intermediate calculations'!T37/1000</f>
        <v>438</v>
      </c>
      <c r="K12" s="35">
        <f>'Intermediate calculations'!U37/1000</f>
        <v>426</v>
      </c>
      <c r="L12" s="35">
        <f>'Intermediate calculations'!V37/1000</f>
        <v>404</v>
      </c>
      <c r="M12" s="35">
        <f>'Intermediate calculations'!W37/1000</f>
        <v>413</v>
      </c>
      <c r="N12" s="35">
        <f>'Intermediate calculations'!X37/1000</f>
        <v>452</v>
      </c>
      <c r="O12" s="35">
        <f>'Intermediate calculations'!Y37/1000</f>
        <v>450.58148879036702</v>
      </c>
      <c r="P12" s="35">
        <f>'Intermediate calculations'!Z37/1000</f>
        <v>461.12216532246379</v>
      </c>
      <c r="Q12" s="35">
        <f>'Intermediate calculations'!AA37/1000</f>
        <v>469.26183076029639</v>
      </c>
      <c r="R12" s="35">
        <f>'Intermediate calculations'!AB37/1000</f>
        <v>475.42920891240095</v>
      </c>
      <c r="S12" s="35">
        <f>'Intermediate calculations'!AC37/1000</f>
        <v>480.32976132192323</v>
      </c>
      <c r="T12" s="35">
        <f>'Intermediate calculations'!AD37/1000</f>
        <v>486.28344500174182</v>
      </c>
      <c r="U12" s="35">
        <f>'Intermediate calculations'!AE37/1000</f>
        <v>492.85841330179068</v>
      </c>
      <c r="V12" s="35">
        <f>'Intermediate calculations'!AF37/1000</f>
        <v>499.33409759019213</v>
      </c>
      <c r="W12" s="35">
        <f>'Intermediate calculations'!AG37/1000</f>
        <v>473.8811507187504</v>
      </c>
      <c r="X12" s="35">
        <f>'Intermediate calculations'!AH37/1000</f>
        <v>483.33513152406607</v>
      </c>
      <c r="Y12" s="35">
        <f>'Intermediate calculations'!AI37/1000</f>
        <v>492.73985355081891</v>
      </c>
      <c r="Z12" s="35">
        <f>'Intermediate calculations'!AJ37/1000</f>
        <v>502.76089728289224</v>
      </c>
      <c r="AA12" s="35">
        <f>'Intermediate calculations'!AK37/1000</f>
        <v>513.26416798416881</v>
      </c>
      <c r="AB12" s="35">
        <f>'Intermediate calculations'!AL37/1000</f>
        <v>523.6473295440918</v>
      </c>
      <c r="AC12" s="35">
        <f>'Intermediate calculations'!AM37/1000</f>
        <v>535.20439876211435</v>
      </c>
      <c r="AD12" s="35">
        <f>'Intermediate calculations'!AN37/1000</f>
        <v>547.07561023026449</v>
      </c>
      <c r="AE12" s="35">
        <f>'Intermediate calculations'!AO37/1000</f>
        <v>559.43967169421728</v>
      </c>
      <c r="AF12" s="35">
        <f>'Intermediate calculations'!AP37/1000</f>
        <v>572.11878586203284</v>
      </c>
      <c r="AG12" s="35">
        <f>'Intermediate calculations'!AQ37/1000</f>
        <v>583.18510430984691</v>
      </c>
      <c r="AH12" s="35">
        <f>'Intermediate calculations'!AR37/1000</f>
        <v>596.51111074457708</v>
      </c>
      <c r="AI12" s="35">
        <f>'Intermediate calculations'!AS37/1000</f>
        <v>610.06036858202071</v>
      </c>
      <c r="AJ12" s="35">
        <f>'Intermediate calculations'!AT37/1000</f>
        <v>623.90529886873833</v>
      </c>
      <c r="AK12" s="35">
        <f>'Intermediate calculations'!AU37/1000</f>
        <v>637.26305331286142</v>
      </c>
      <c r="AL12" s="35">
        <f>'Intermediate calculations'!AV37/1000</f>
        <v>651.23628837412241</v>
      </c>
      <c r="AM12" s="35">
        <f>'Intermediate calculations'!AW37/1000</f>
        <v>665.84376234999877</v>
      </c>
      <c r="AN12" s="35">
        <f>'Intermediate calculations'!AX37/1000</f>
        <v>680.87391760147852</v>
      </c>
      <c r="AO12" s="35">
        <f>'Intermediate calculations'!AY37/1000</f>
        <v>695.74896699078681</v>
      </c>
      <c r="AP12" s="35">
        <f>'Intermediate calculations'!AZ37/1000</f>
        <v>711.05545139491437</v>
      </c>
      <c r="AQ12" s="35">
        <f>'Intermediate calculations'!BA37/1000</f>
        <v>727.1501758642122</v>
      </c>
      <c r="AR12" s="35">
        <f>'Intermediate calculations'!BB37/1000</f>
        <v>743.87321031355157</v>
      </c>
      <c r="AS12" s="35">
        <f>'Intermediate calculations'!BC37/1000</f>
        <v>761.17612233134776</v>
      </c>
      <c r="AT12" s="35">
        <f>'Intermediate calculations'!BD37/1000</f>
        <v>779.0865349717692</v>
      </c>
      <c r="AU12" s="35">
        <f>'Intermediate calculations'!BE37/1000</f>
        <v>797.61245389901012</v>
      </c>
      <c r="AV12" s="35">
        <f>'Intermediate calculations'!BF37/1000</f>
        <v>816.90197069678595</v>
      </c>
      <c r="AW12" s="35">
        <f>'Intermediate calculations'!BG37/1000</f>
        <v>835.18515047929338</v>
      </c>
      <c r="AX12" s="35">
        <f>'Intermediate calculations'!BH37/1000</f>
        <v>854.15850790611194</v>
      </c>
      <c r="AY12" s="35">
        <f>'Intermediate calculations'!BI37/1000</f>
        <v>873.96185119285644</v>
      </c>
      <c r="AZ12" s="35">
        <f>'Intermediate calculations'!BJ37/1000</f>
        <v>894.67147883401901</v>
      </c>
      <c r="BA12" s="35">
        <f>'Intermediate calculations'!BK37/1000</f>
        <v>916.71840547932641</v>
      </c>
    </row>
    <row r="13" spans="1:53" x14ac:dyDescent="0.25">
      <c r="A13" s="32"/>
      <c r="B13" s="32" t="s">
        <v>673</v>
      </c>
      <c r="C13" s="35">
        <f>'Intermediate calculations'!M34/1000</f>
        <v>310</v>
      </c>
      <c r="D13" s="35">
        <f>'Intermediate calculations'!N34/1000</f>
        <v>308</v>
      </c>
      <c r="E13" s="35">
        <f>'Intermediate calculations'!O34/1000</f>
        <v>313</v>
      </c>
      <c r="F13" s="35">
        <f>'Intermediate calculations'!P34/1000</f>
        <v>305</v>
      </c>
      <c r="G13" s="35">
        <f>'Intermediate calculations'!Q34/1000</f>
        <v>329</v>
      </c>
      <c r="H13" s="35">
        <f>'Intermediate calculations'!R34/1000</f>
        <v>357</v>
      </c>
      <c r="I13" s="35">
        <f>'Intermediate calculations'!S34/1000</f>
        <v>392</v>
      </c>
      <c r="J13" s="35">
        <f>'Intermediate calculations'!T34/1000</f>
        <v>416</v>
      </c>
      <c r="K13" s="35">
        <f>'Intermediate calculations'!U34/1000</f>
        <v>404</v>
      </c>
      <c r="L13" s="35">
        <f>'Intermediate calculations'!V34/1000</f>
        <v>379</v>
      </c>
      <c r="M13" s="35">
        <f>'Intermediate calculations'!W34/1000</f>
        <v>386</v>
      </c>
      <c r="N13" s="35">
        <f>'Intermediate calculations'!X34/1000</f>
        <v>426</v>
      </c>
      <c r="O13" s="35">
        <f>'Intermediate calculations'!Y34/1000</f>
        <v>420.75646494116734</v>
      </c>
      <c r="P13" s="35">
        <f>'Intermediate calculations'!Z34/1000</f>
        <v>430.44723083788745</v>
      </c>
      <c r="Q13" s="35">
        <f>'Intermediate calculations'!AA34/1000</f>
        <v>437.93058278360638</v>
      </c>
      <c r="R13" s="35">
        <f>'Intermediate calculations'!AB34/1000</f>
        <v>443.60067594001811</v>
      </c>
      <c r="S13" s="35">
        <f>'Intermediate calculations'!AC34/1000</f>
        <v>448.10608942279401</v>
      </c>
      <c r="T13" s="35">
        <f>'Intermediate calculations'!AD34/1000</f>
        <v>453.57971861429411</v>
      </c>
      <c r="U13" s="35">
        <f>'Intermediate calculations'!AE34/1000</f>
        <v>459.62453731071372</v>
      </c>
      <c r="V13" s="35">
        <f>'Intermediate calculations'!AF34/1000</f>
        <v>465.57807741498289</v>
      </c>
      <c r="W13" s="35">
        <f>'Intermediate calculations'!AG34/1000</f>
        <v>442.17744001170882</v>
      </c>
      <c r="X13" s="35">
        <f>'Intermediate calculations'!AH34/1000</f>
        <v>450.86913209593365</v>
      </c>
      <c r="Y13" s="35">
        <f>'Intermediate calculations'!AI34/1000</f>
        <v>459.51553721115255</v>
      </c>
      <c r="Z13" s="35">
        <f>'Intermediate calculations'!AJ34/1000</f>
        <v>468.72856908369022</v>
      </c>
      <c r="AA13" s="35">
        <f>'Intermediate calculations'!AK34/1000</f>
        <v>478.38494523810624</v>
      </c>
      <c r="AB13" s="35">
        <f>'Intermediate calculations'!AL34/1000</f>
        <v>487.93089683226083</v>
      </c>
      <c r="AC13" s="35">
        <f>'Intermediate calculations'!AM34/1000</f>
        <v>498.5561021407637</v>
      </c>
      <c r="AD13" s="35">
        <f>'Intermediate calculations'!AN34/1000</f>
        <v>509.47011993630059</v>
      </c>
      <c r="AE13" s="35">
        <f>'Intermediate calculations'!AO34/1000</f>
        <v>520.83724848966995</v>
      </c>
      <c r="AF13" s="35">
        <f>'Intermediate calculations'!AP34/1000</f>
        <v>532.49402657255121</v>
      </c>
      <c r="AG13" s="35">
        <f>'Intermediate calculations'!AQ34/1000</f>
        <v>542.66805108509266</v>
      </c>
      <c r="AH13" s="35">
        <f>'Intermediate calculations'!AR34/1000</f>
        <v>554.91956153643071</v>
      </c>
      <c r="AI13" s="35">
        <f>'Intermediate calculations'!AS34/1000</f>
        <v>567.37632229340352</v>
      </c>
      <c r="AJ13" s="35">
        <f>'Intermediate calculations'!AT34/1000</f>
        <v>580.1049149844365</v>
      </c>
      <c r="AK13" s="35">
        <f>'Intermediate calculations'!AU34/1000</f>
        <v>592.38561355532045</v>
      </c>
      <c r="AL13" s="35">
        <f>'Intermediate calculations'!AV34/1000</f>
        <v>605.23216561354832</v>
      </c>
      <c r="AM13" s="35">
        <f>'Intermediate calculations'!AW34/1000</f>
        <v>618.66181694680029</v>
      </c>
      <c r="AN13" s="35">
        <f>'Intermediate calculations'!AX34/1000</f>
        <v>632.48006812735093</v>
      </c>
      <c r="AO13" s="35">
        <f>'Intermediate calculations'!AY34/1000</f>
        <v>646.15571986516795</v>
      </c>
      <c r="AP13" s="35">
        <f>'Intermediate calculations'!AZ34/1000</f>
        <v>660.22801936231349</v>
      </c>
      <c r="AQ13" s="35">
        <f>'Intermediate calculations'!BA34/1000</f>
        <v>675.02500194016261</v>
      </c>
      <c r="AR13" s="35">
        <f>'Intermediate calculations'!BB34/1000</f>
        <v>690.39963291739241</v>
      </c>
      <c r="AS13" s="35">
        <f>'Intermediate calculations'!BC34/1000</f>
        <v>706.30738506076011</v>
      </c>
      <c r="AT13" s="35">
        <f>'Intermediate calculations'!BD34/1000</f>
        <v>722.77365413594407</v>
      </c>
      <c r="AU13" s="35">
        <f>'Intermediate calculations'!BE34/1000</f>
        <v>739.80580029836835</v>
      </c>
      <c r="AV13" s="35">
        <f>'Intermediate calculations'!BF34/1000</f>
        <v>757.5399742841546</v>
      </c>
      <c r="AW13" s="35">
        <f>'Intermediate calculations'!BG34/1000</f>
        <v>774.34895372493463</v>
      </c>
      <c r="AX13" s="35">
        <f>'Intermediate calculations'!BH34/1000</f>
        <v>791.79246074634955</v>
      </c>
      <c r="AY13" s="35">
        <f>'Intermediate calculations'!BI34/1000</f>
        <v>809.99903061687485</v>
      </c>
      <c r="AZ13" s="35">
        <f>'Intermediate calculations'!BJ34/1000</f>
        <v>829.03880976839673</v>
      </c>
      <c r="BA13" s="35">
        <f>'Intermediate calculations'!BK34/1000</f>
        <v>849.30805948982197</v>
      </c>
    </row>
    <row r="14" spans="1:53" x14ac:dyDescent="0.25">
      <c r="A14" s="32"/>
      <c r="B14" s="32"/>
      <c r="C14" s="35"/>
      <c r="D14" s="35"/>
      <c r="E14" s="35"/>
      <c r="F14" s="35"/>
      <c r="G14" s="35"/>
      <c r="H14" s="35"/>
      <c r="I14" s="35"/>
      <c r="J14" s="35"/>
      <c r="K14" s="35"/>
      <c r="L14" s="35"/>
      <c r="M14" s="35"/>
      <c r="N14" s="35"/>
      <c r="O14" s="35"/>
      <c r="P14" s="35"/>
      <c r="Q14" s="35"/>
      <c r="R14" s="36"/>
      <c r="S14" s="36"/>
      <c r="T14" s="36"/>
      <c r="U14" s="36"/>
      <c r="V14" s="36"/>
      <c r="W14" s="36"/>
      <c r="X14" s="36"/>
      <c r="Y14" s="36"/>
      <c r="Z14" s="36"/>
      <c r="AA14" s="36"/>
    </row>
    <row r="15" spans="1:53" x14ac:dyDescent="0.25">
      <c r="A15" s="31"/>
      <c r="B15" s="32"/>
      <c r="C15" s="33">
        <v>2000</v>
      </c>
      <c r="D15" s="33">
        <v>2001</v>
      </c>
      <c r="E15" s="33">
        <v>2002</v>
      </c>
      <c r="F15" s="33">
        <v>2003</v>
      </c>
      <c r="G15" s="33">
        <v>2004</v>
      </c>
      <c r="H15" s="33">
        <v>2005</v>
      </c>
      <c r="I15" s="33">
        <v>2006</v>
      </c>
      <c r="J15" s="33">
        <v>2007</v>
      </c>
      <c r="K15" s="33">
        <v>2008</v>
      </c>
      <c r="L15" s="33">
        <v>2009</v>
      </c>
      <c r="M15" s="33">
        <v>2010</v>
      </c>
      <c r="N15" s="33">
        <v>2011</v>
      </c>
      <c r="O15" s="33">
        <v>2012</v>
      </c>
      <c r="P15" s="33">
        <v>2013</v>
      </c>
      <c r="Q15" s="33">
        <v>2014</v>
      </c>
      <c r="R15" s="34">
        <v>2015</v>
      </c>
      <c r="S15" s="34">
        <v>2016</v>
      </c>
      <c r="T15" s="34">
        <v>2017</v>
      </c>
      <c r="U15" s="34">
        <v>2018</v>
      </c>
      <c r="V15" s="34">
        <v>2019</v>
      </c>
      <c r="W15" s="34">
        <v>2020</v>
      </c>
      <c r="X15" s="34">
        <v>2021</v>
      </c>
      <c r="Y15" s="34">
        <v>2022</v>
      </c>
      <c r="Z15" s="34">
        <v>2023</v>
      </c>
      <c r="AA15" s="34">
        <v>2024</v>
      </c>
      <c r="AB15" s="34">
        <v>2025</v>
      </c>
      <c r="AC15" s="34">
        <v>2026</v>
      </c>
      <c r="AD15" s="34">
        <v>2027</v>
      </c>
      <c r="AE15" s="34">
        <v>2028</v>
      </c>
      <c r="AF15" s="34">
        <v>2029</v>
      </c>
      <c r="AG15" s="34">
        <v>2030</v>
      </c>
      <c r="AH15" s="34">
        <v>2031</v>
      </c>
      <c r="AI15" s="34">
        <v>2032</v>
      </c>
      <c r="AJ15" s="34">
        <v>2033</v>
      </c>
      <c r="AK15" s="34">
        <v>2034</v>
      </c>
      <c r="AL15" s="34">
        <v>2035</v>
      </c>
      <c r="AM15" s="34">
        <v>2036</v>
      </c>
      <c r="AN15" s="34">
        <v>2037</v>
      </c>
      <c r="AO15" s="34">
        <v>2038</v>
      </c>
      <c r="AP15" s="34">
        <v>2039</v>
      </c>
      <c r="AQ15" s="34">
        <v>2040</v>
      </c>
      <c r="AR15" s="34">
        <v>2041</v>
      </c>
      <c r="AS15" s="34">
        <v>2042</v>
      </c>
      <c r="AT15" s="34">
        <v>2043</v>
      </c>
      <c r="AU15" s="34">
        <v>2044</v>
      </c>
      <c r="AV15" s="34">
        <v>2045</v>
      </c>
      <c r="AW15" s="34">
        <v>2046</v>
      </c>
      <c r="AX15" s="34">
        <v>2047</v>
      </c>
      <c r="AY15" s="34">
        <v>2048</v>
      </c>
      <c r="AZ15" s="34">
        <v>2049</v>
      </c>
      <c r="BA15" s="34">
        <v>2050</v>
      </c>
    </row>
    <row r="16" spans="1:53" x14ac:dyDescent="0.25">
      <c r="A16" s="37"/>
      <c r="B16" s="37" t="s">
        <v>674</v>
      </c>
      <c r="C16" s="38">
        <v>610.16713705625</v>
      </c>
      <c r="D16" s="38">
        <v>610.16713705625</v>
      </c>
      <c r="E16" s="38">
        <v>610.16713705625</v>
      </c>
      <c r="F16" s="38">
        <v>536</v>
      </c>
      <c r="G16" s="38">
        <v>559.68422552599998</v>
      </c>
      <c r="H16" s="38">
        <v>575.65290859000004</v>
      </c>
      <c r="I16" s="38">
        <v>579.69497297999999</v>
      </c>
      <c r="J16" s="38">
        <v>601.65087453649994</v>
      </c>
      <c r="K16" s="38">
        <v>631</v>
      </c>
      <c r="L16" s="38">
        <v>612.06999999999994</v>
      </c>
      <c r="M16" s="38">
        <v>654.91489999999999</v>
      </c>
      <c r="N16" s="38">
        <v>622.16915499999993</v>
      </c>
      <c r="O16" s="38">
        <v>613.14770225249993</v>
      </c>
      <c r="P16" s="38">
        <v>665.92799245872072</v>
      </c>
      <c r="Q16" s="38">
        <v>698.08925804689954</v>
      </c>
      <c r="R16" s="39">
        <v>699.22078053934399</v>
      </c>
      <c r="S16" s="39">
        <v>710.39885911430974</v>
      </c>
      <c r="T16" s="39">
        <v>739.18964380980105</v>
      </c>
      <c r="U16" s="39">
        <v>753.56215690376871</v>
      </c>
      <c r="V16" s="39">
        <v>770.46731576083528</v>
      </c>
      <c r="W16" s="39">
        <v>785.71589617587529</v>
      </c>
      <c r="X16" s="39">
        <v>803.32741953910943</v>
      </c>
      <c r="Y16" s="39">
        <v>821.94908336777723</v>
      </c>
      <c r="Z16" s="39">
        <v>844.55586695223269</v>
      </c>
      <c r="AA16" s="39">
        <v>859.84984588505426</v>
      </c>
      <c r="AB16" s="39">
        <v>875</v>
      </c>
      <c r="AC16" s="39">
        <v>890</v>
      </c>
      <c r="AD16" s="39">
        <v>910</v>
      </c>
      <c r="AE16" s="39">
        <v>925</v>
      </c>
    </row>
    <row r="17" spans="1:53" x14ac:dyDescent="0.25">
      <c r="A17" s="37"/>
      <c r="B17" s="37" t="s">
        <v>675</v>
      </c>
      <c r="C17" s="38">
        <v>649.892624710375</v>
      </c>
      <c r="D17" s="38">
        <v>649.892624710375</v>
      </c>
      <c r="E17" s="38">
        <v>649.892624710375</v>
      </c>
      <c r="F17" s="38">
        <v>574.19949799999995</v>
      </c>
      <c r="G17" s="38">
        <v>612.06163379999998</v>
      </c>
      <c r="H17" s="38">
        <v>642.21783919999996</v>
      </c>
      <c r="I17" s="38">
        <v>636.26177159999997</v>
      </c>
      <c r="J17" s="38">
        <v>658.9</v>
      </c>
      <c r="K17" s="38">
        <v>671.91341149238087</v>
      </c>
      <c r="L17" s="38">
        <v>649.94999999999993</v>
      </c>
      <c r="M17" s="38">
        <v>695.36469999999997</v>
      </c>
      <c r="N17" s="38">
        <v>663.10915499999999</v>
      </c>
      <c r="O17" s="38">
        <v>670.91943283249987</v>
      </c>
      <c r="P17" s="38">
        <v>716.42099245872066</v>
      </c>
      <c r="Q17" s="38">
        <v>729.84874533689958</v>
      </c>
      <c r="R17" s="39">
        <v>740.51634422626432</v>
      </c>
      <c r="S17" s="39">
        <v>752.08174895984371</v>
      </c>
      <c r="T17" s="39">
        <v>781.10112686931438</v>
      </c>
      <c r="U17" s="39">
        <v>797.63162045872559</v>
      </c>
      <c r="V17" s="39">
        <v>815.73258961364343</v>
      </c>
      <c r="W17" s="39">
        <v>831.42566617367947</v>
      </c>
      <c r="X17" s="39">
        <v>848.73455405867912</v>
      </c>
      <c r="Y17" s="39">
        <v>866.8135090431233</v>
      </c>
      <c r="Z17" s="39">
        <v>888.81185294880709</v>
      </c>
      <c r="AA17" s="39">
        <v>904.54032017152463</v>
      </c>
    </row>
    <row r="18" spans="1:53" x14ac:dyDescent="0.25">
      <c r="A18" s="37"/>
      <c r="B18" s="37" t="s">
        <v>676</v>
      </c>
      <c r="C18" s="38">
        <f>'Intermediate calculations'!M8/1000</f>
        <v>624.6</v>
      </c>
      <c r="D18" s="38">
        <f>'Intermediate calculations'!N8/1000</f>
        <v>524.29999999999995</v>
      </c>
      <c r="E18" s="38">
        <f>'Intermediate calculations'!O8/1000</f>
        <v>573.4</v>
      </c>
      <c r="F18" s="38">
        <f>'Intermediate calculations'!P8/1000</f>
        <v>609.70000000000005</v>
      </c>
      <c r="G18" s="38">
        <f>'Intermediate calculations'!Q8/1000</f>
        <v>631.70000000000005</v>
      </c>
      <c r="H18" s="38">
        <f>'Intermediate calculations'!R8/1000</f>
        <v>672.3</v>
      </c>
      <c r="I18" s="38">
        <f>'Intermediate calculations'!S8/1000</f>
        <v>808.1</v>
      </c>
      <c r="J18" s="38">
        <f>'Intermediate calculations'!T8/1000</f>
        <v>861.4</v>
      </c>
      <c r="K18" s="38">
        <f>'Intermediate calculations'!U8/1000</f>
        <v>770.2</v>
      </c>
      <c r="L18" s="38">
        <f>'Intermediate calculations'!V8/1000</f>
        <v>796.7</v>
      </c>
      <c r="M18" s="38">
        <f>'Intermediate calculations'!W8/1000</f>
        <v>885.8</v>
      </c>
      <c r="N18" s="38">
        <f>'Intermediate calculations'!X8/1000</f>
        <v>869.5</v>
      </c>
      <c r="O18" s="38">
        <f>'Intermediate calculations'!Y8/1000</f>
        <v>922.98216526620809</v>
      </c>
      <c r="P18" s="38">
        <f>'Intermediate calculations'!Z8/1000</f>
        <v>952.09618143379271</v>
      </c>
      <c r="Q18" s="38">
        <f>'Intermediate calculations'!AA8/1000</f>
        <v>972.24256273741253</v>
      </c>
      <c r="R18" s="38">
        <f>'Intermediate calculations'!AB8/1000</f>
        <v>984.95124727685209</v>
      </c>
      <c r="S18" s="38">
        <f>'Intermediate calculations'!AC8/1000</f>
        <v>992.74728989529126</v>
      </c>
      <c r="T18" s="38">
        <f>'Intermediate calculations'!AD8/1000</f>
        <v>1003.9643062152618</v>
      </c>
      <c r="U18" s="38">
        <f>'Intermediate calculations'!AE8/1000</f>
        <v>1017.2805307524815</v>
      </c>
      <c r="V18" s="38">
        <f>'Intermediate calculations'!AF8/1000</f>
        <v>1030.07227412464</v>
      </c>
      <c r="W18" s="38">
        <f>'Intermediate calculations'!AG8/1000</f>
        <v>927.80953610838924</v>
      </c>
      <c r="X18" s="38">
        <f>'Intermediate calculations'!AH8/1000</f>
        <v>952.89769287832667</v>
      </c>
      <c r="Y18" s="38">
        <f>'Intermediate calculations'!AI8/1000</f>
        <v>978.32312112501847</v>
      </c>
      <c r="Z18" s="38">
        <f>'Intermediate calculations'!AJ8/1000</f>
        <v>1006.5032113482856</v>
      </c>
      <c r="AA18" s="38">
        <f>'Intermediate calculations'!AK8/1000</f>
        <v>1036.5605015698952</v>
      </c>
      <c r="AB18" s="38">
        <f>'Intermediate calculations'!AL8/1000</f>
        <v>1066.3344715561759</v>
      </c>
      <c r="AC18" s="38">
        <f>'Intermediate calculations'!AM8/1000</f>
        <v>1100.4879236000274</v>
      </c>
      <c r="AD18" s="38">
        <f>'Intermediate calculations'!AN8/1000</f>
        <v>1135.933911606395</v>
      </c>
      <c r="AE18" s="38">
        <f>'Intermediate calculations'!AO8/1000</f>
        <v>1173.32199814774</v>
      </c>
      <c r="AF18" s="38">
        <f>'Intermediate calculations'!AP8/1000</f>
        <v>1211.9667354462183</v>
      </c>
      <c r="AG18" s="38">
        <f>'Intermediate calculations'!AQ8/1000</f>
        <v>1244.9362680718441</v>
      </c>
      <c r="AH18" s="38">
        <f>'Intermediate calculations'!AR8/1000</f>
        <v>1286.1692491381013</v>
      </c>
      <c r="AI18" s="38">
        <f>'Intermediate calculations'!AS8/1000</f>
        <v>1328.3429930732495</v>
      </c>
      <c r="AJ18" s="38">
        <f>'Intermediate calculations'!AT8/1000</f>
        <v>1371.7227712658416</v>
      </c>
      <c r="AK18" s="38">
        <f>'Intermediate calculations'!AU8/1000</f>
        <v>1413.4811904286951</v>
      </c>
      <c r="AL18" s="38">
        <f>'Intermediate calculations'!AV8/1000</f>
        <v>1457.5899652155015</v>
      </c>
      <c r="AM18" s="38">
        <f>'Intermediate calculations'!AW8/1000</f>
        <v>1504.1207005664628</v>
      </c>
      <c r="AN18" s="38">
        <f>'Intermediate calculations'!AX8/1000</f>
        <v>1552.3162182879776</v>
      </c>
      <c r="AO18" s="38">
        <f>'Intermediate calculations'!AY8/1000</f>
        <v>1600.1015129233981</v>
      </c>
      <c r="AP18" s="38">
        <f>'Intermediate calculations'!AZ8/1000</f>
        <v>1649.5745481598847</v>
      </c>
      <c r="AQ18" s="38">
        <f>'Intermediate calculations'!BA8/1000</f>
        <v>1702.0226372737759</v>
      </c>
      <c r="AR18" s="38">
        <f>'Intermediate calculations'!BB8/1000</f>
        <v>1756.8737270840961</v>
      </c>
      <c r="AS18" s="38">
        <f>'Intermediate calculations'!BC8/1000</f>
        <v>1813.9568807902399</v>
      </c>
      <c r="AT18" s="38">
        <f>'Intermediate calculations'!BD8/1000</f>
        <v>1873.3747475453392</v>
      </c>
      <c r="AU18" s="38">
        <f>'Intermediate calculations'!BE8/1000</f>
        <v>1935.158630688024</v>
      </c>
      <c r="AV18" s="38">
        <f>'Intermediate calculations'!BF8/1000</f>
        <v>1999.8444745617719</v>
      </c>
      <c r="AW18" s="38">
        <f>'Intermediate calculations'!BG8/1000</f>
        <v>2061.0667611019944</v>
      </c>
      <c r="AX18" s="38">
        <f>'Intermediate calculations'!BH8/1000</f>
        <v>2124.9327487360542</v>
      </c>
      <c r="AY18" s="38">
        <f>'Intermediate calculations'!BI8/1000</f>
        <v>2191.9483168894235</v>
      </c>
      <c r="AZ18" s="38">
        <f>'Intermediate calculations'!BJ8/1000</f>
        <v>2262.3930191747581</v>
      </c>
      <c r="BA18" s="38">
        <f>'Intermediate calculations'!BK8/1000</f>
        <v>2337.8203882776024</v>
      </c>
    </row>
    <row r="19" spans="1:53" x14ac:dyDescent="0.25">
      <c r="A19" s="37"/>
      <c r="B19" s="37" t="s">
        <v>677</v>
      </c>
      <c r="C19" s="38">
        <f>'Intermediate calculations'!M5/1000</f>
        <v>671</v>
      </c>
      <c r="D19" s="38">
        <f>'Intermediate calculations'!N5/1000</f>
        <v>554</v>
      </c>
      <c r="E19" s="38">
        <f>'Intermediate calculations'!O5/1000</f>
        <v>602</v>
      </c>
      <c r="F19" s="38">
        <f>'Intermediate calculations'!P5/1000</f>
        <v>643</v>
      </c>
      <c r="G19" s="38">
        <f>'Intermediate calculations'!Q5/1000</f>
        <v>675</v>
      </c>
      <c r="H19" s="38">
        <f>'Intermediate calculations'!R5/1000</f>
        <v>723</v>
      </c>
      <c r="I19" s="38">
        <f>'Intermediate calculations'!S5/1000</f>
        <v>825</v>
      </c>
      <c r="J19" s="38">
        <f>'Intermediate calculations'!T5/1000</f>
        <v>865</v>
      </c>
      <c r="K19" s="38">
        <f>'Intermediate calculations'!U5/1000</f>
        <v>767</v>
      </c>
      <c r="L19" s="38">
        <f>'Intermediate calculations'!V5/1000</f>
        <v>784</v>
      </c>
      <c r="M19" s="38">
        <f>'Intermediate calculations'!W5/1000</f>
        <v>880</v>
      </c>
      <c r="N19" s="38">
        <f>'Intermediate calculations'!X5/1000</f>
        <v>879</v>
      </c>
      <c r="O19" s="38">
        <f>'Intermediate calculations'!Y5/1000</f>
        <v>923.11395231667791</v>
      </c>
      <c r="P19" s="38">
        <f>'Intermediate calculations'!Z5/1000</f>
        <v>948.59519031587865</v>
      </c>
      <c r="Q19" s="38">
        <f>'Intermediate calculations'!AA5/1000</f>
        <v>966.22775374736261</v>
      </c>
      <c r="R19" s="38">
        <f>'Intermediate calculations'!AB5/1000</f>
        <v>977.35067864862651</v>
      </c>
      <c r="S19" s="38">
        <f>'Intermediate calculations'!AC5/1000</f>
        <v>984.17394948384481</v>
      </c>
      <c r="T19" s="38">
        <f>'Intermediate calculations'!AD5/1000</f>
        <v>993.99133300265748</v>
      </c>
      <c r="U19" s="38">
        <f>'Intermediate calculations'!AE5/1000</f>
        <v>1005.6459904958234</v>
      </c>
      <c r="V19" s="38">
        <f>'Intermediate calculations'!AF5/1000</f>
        <v>1016.8416103448493</v>
      </c>
      <c r="W19" s="38">
        <f>'Intermediate calculations'!AG5/1000</f>
        <v>927.33897522770371</v>
      </c>
      <c r="X19" s="38">
        <f>'Intermediate calculations'!AH5/1000</f>
        <v>949.29669105558048</v>
      </c>
      <c r="Y19" s="38">
        <f>'Intermediate calculations'!AI5/1000</f>
        <v>971.54959442199731</v>
      </c>
      <c r="Z19" s="38">
        <f>'Intermediate calculations'!AJ5/1000</f>
        <v>996.21343955022496</v>
      </c>
      <c r="AA19" s="38">
        <f>'Intermediate calculations'!AK5/1000</f>
        <v>1022.520252095058</v>
      </c>
      <c r="AB19" s="38">
        <f>'Intermediate calculations'!AL5/1000</f>
        <v>1048.5790964343073</v>
      </c>
      <c r="AC19" s="38">
        <f>'Intermediate calculations'!AM5/1000</f>
        <v>1078.4709614045764</v>
      </c>
      <c r="AD19" s="38">
        <f>'Intermediate calculations'!AN5/1000</f>
        <v>1109.4940827530042</v>
      </c>
      <c r="AE19" s="38">
        <f>'Intermediate calculations'!AO5/1000</f>
        <v>1142.2169721685652</v>
      </c>
      <c r="AF19" s="38">
        <f>'Intermediate calculations'!AP5/1000</f>
        <v>1176.0397104280673</v>
      </c>
      <c r="AG19" s="38">
        <f>'Intermediate calculations'!AQ5/1000</f>
        <v>1204.8953826486299</v>
      </c>
      <c r="AH19" s="38">
        <f>'Intermediate calculations'!AR5/1000</f>
        <v>1240.98340973215</v>
      </c>
      <c r="AI19" s="38">
        <f>'Intermediate calculations'!AS5/1000</f>
        <v>1277.8948135159178</v>
      </c>
      <c r="AJ19" s="38">
        <f>'Intermediate calculations'!AT5/1000</f>
        <v>1315.8617654512091</v>
      </c>
      <c r="AK19" s="38">
        <f>'Intermediate calculations'!AU5/1000</f>
        <v>1352.409667706748</v>
      </c>
      <c r="AL19" s="38">
        <f>'Intermediate calculations'!AV5/1000</f>
        <v>1391.0146537631599</v>
      </c>
      <c r="AM19" s="38">
        <f>'Intermediate calculations'!AW5/1000</f>
        <v>1431.739393865344</v>
      </c>
      <c r="AN19" s="38">
        <f>'Intermediate calculations'!AX5/1000</f>
        <v>1473.9211887261974</v>
      </c>
      <c r="AO19" s="38">
        <f>'Intermediate calculations'!AY5/1000</f>
        <v>1515.7439471686682</v>
      </c>
      <c r="AP19" s="38">
        <f>'Intermediate calculations'!AZ5/1000</f>
        <v>1559.0438539265463</v>
      </c>
      <c r="AQ19" s="38">
        <f>'Intermediate calculations'!BA5/1000</f>
        <v>1604.9475943662571</v>
      </c>
      <c r="AR19" s="38">
        <f>'Intermediate calculations'!BB5/1000</f>
        <v>1652.9544947515246</v>
      </c>
      <c r="AS19" s="38">
        <f>'Intermediate calculations'!BC5/1000</f>
        <v>1702.9149473719604</v>
      </c>
      <c r="AT19" s="38">
        <f>'Intermediate calculations'!BD5/1000</f>
        <v>1754.9187930618316</v>
      </c>
      <c r="AU19" s="38">
        <f>'Intermediate calculations'!BE5/1000</f>
        <v>1808.9934292031141</v>
      </c>
      <c r="AV19" s="38">
        <f>'Intermediate calculations'!BF5/1000</f>
        <v>1865.6079262700389</v>
      </c>
      <c r="AW19" s="38">
        <f>'Intermediate calculations'!BG5/1000</f>
        <v>1919.1910405063904</v>
      </c>
      <c r="AX19" s="38">
        <f>'Intermediate calculations'!BH5/1000</f>
        <v>1975.0879810586669</v>
      </c>
      <c r="AY19" s="38">
        <f>'Intermediate calculations'!BI5/1000</f>
        <v>2033.7415049125466</v>
      </c>
      <c r="AZ19" s="38">
        <f>'Intermediate calculations'!BJ5/1000</f>
        <v>2095.3962836412206</v>
      </c>
      <c r="BA19" s="38">
        <f>'Intermediate calculations'!BK5/1000</f>
        <v>2161.4120037912649</v>
      </c>
    </row>
    <row r="20" spans="1:53" x14ac:dyDescent="0.25">
      <c r="A20" s="37"/>
      <c r="B20" s="37"/>
      <c r="C20" s="38"/>
      <c r="D20" s="38"/>
      <c r="E20" s="38"/>
      <c r="F20" s="38"/>
      <c r="G20" s="38"/>
      <c r="H20" s="38"/>
      <c r="I20" s="38"/>
      <c r="J20" s="38"/>
      <c r="K20" s="38"/>
      <c r="L20" s="38"/>
      <c r="M20" s="38"/>
      <c r="N20" s="38"/>
      <c r="O20" s="38"/>
      <c r="P20" s="38"/>
      <c r="Q20" s="38"/>
      <c r="R20" s="39"/>
      <c r="S20" s="39"/>
      <c r="T20" s="39"/>
      <c r="U20" s="39"/>
      <c r="V20" s="39"/>
      <c r="W20" s="39"/>
      <c r="X20" s="39"/>
      <c r="Y20" s="39"/>
      <c r="Z20" s="39"/>
      <c r="AA20" s="39"/>
    </row>
    <row r="21" spans="1:53" x14ac:dyDescent="0.25">
      <c r="A21" s="31"/>
      <c r="B21" s="32"/>
      <c r="C21" s="33">
        <v>2000</v>
      </c>
      <c r="D21" s="33">
        <v>2001</v>
      </c>
      <c r="E21" s="33">
        <v>2002</v>
      </c>
      <c r="F21" s="33">
        <v>2003</v>
      </c>
      <c r="G21" s="33">
        <v>2004</v>
      </c>
      <c r="H21" s="33">
        <v>2005</v>
      </c>
      <c r="I21" s="33">
        <v>2006</v>
      </c>
      <c r="J21" s="33">
        <v>2007</v>
      </c>
      <c r="K21" s="33">
        <v>2008</v>
      </c>
      <c r="L21" s="33">
        <v>2009</v>
      </c>
      <c r="M21" s="33">
        <v>2010</v>
      </c>
      <c r="N21" s="33">
        <v>2011</v>
      </c>
      <c r="O21" s="33">
        <v>2012</v>
      </c>
      <c r="P21" s="33">
        <v>2013</v>
      </c>
      <c r="Q21" s="33">
        <v>2014</v>
      </c>
      <c r="R21" s="34">
        <v>2015</v>
      </c>
      <c r="S21" s="34">
        <v>2016</v>
      </c>
      <c r="T21" s="34">
        <v>2017</v>
      </c>
      <c r="U21" s="34">
        <v>2018</v>
      </c>
      <c r="V21" s="34">
        <v>2019</v>
      </c>
      <c r="W21" s="34">
        <v>2020</v>
      </c>
      <c r="X21" s="34">
        <v>2021</v>
      </c>
      <c r="Y21" s="34">
        <v>2022</v>
      </c>
      <c r="Z21" s="34">
        <v>2023</v>
      </c>
      <c r="AA21" s="34">
        <v>2024</v>
      </c>
      <c r="AB21" s="34">
        <v>2025</v>
      </c>
      <c r="AC21" s="34">
        <v>2026</v>
      </c>
      <c r="AD21" s="34">
        <v>2027</v>
      </c>
      <c r="AE21" s="34">
        <v>2028</v>
      </c>
      <c r="AF21" s="34">
        <v>2029</v>
      </c>
      <c r="AG21" s="34">
        <v>2030</v>
      </c>
      <c r="AH21" s="34">
        <v>2031</v>
      </c>
      <c r="AI21" s="34">
        <v>2032</v>
      </c>
      <c r="AJ21" s="34">
        <v>2033</v>
      </c>
      <c r="AK21" s="34">
        <v>2034</v>
      </c>
      <c r="AL21" s="34">
        <v>2035</v>
      </c>
      <c r="AM21" s="34">
        <v>2036</v>
      </c>
      <c r="AN21" s="34">
        <v>2037</v>
      </c>
      <c r="AO21" s="34">
        <v>2038</v>
      </c>
      <c r="AP21" s="34">
        <v>2039</v>
      </c>
      <c r="AQ21" s="34">
        <v>2040</v>
      </c>
      <c r="AR21" s="34">
        <v>2041</v>
      </c>
      <c r="AS21" s="34">
        <v>2042</v>
      </c>
      <c r="AT21" s="34">
        <v>2043</v>
      </c>
      <c r="AU21" s="34">
        <v>2044</v>
      </c>
      <c r="AV21" s="34">
        <v>2045</v>
      </c>
      <c r="AW21" s="34">
        <v>2046</v>
      </c>
      <c r="AX21" s="34">
        <v>2047</v>
      </c>
      <c r="AY21" s="34">
        <v>2048</v>
      </c>
      <c r="AZ21" s="34">
        <v>2049</v>
      </c>
      <c r="BA21" s="34">
        <v>2050</v>
      </c>
    </row>
    <row r="22" spans="1:53" x14ac:dyDescent="0.25">
      <c r="A22" s="32"/>
      <c r="B22" s="32" t="s">
        <v>678</v>
      </c>
      <c r="C22" s="35">
        <v>129.63</v>
      </c>
      <c r="D22" s="35">
        <v>129.63</v>
      </c>
      <c r="E22" s="35">
        <v>129.63</v>
      </c>
      <c r="F22" s="35">
        <v>143.13999999999999</v>
      </c>
      <c r="G22" s="35">
        <v>146.053</v>
      </c>
      <c r="H22" s="35">
        <v>149.999</v>
      </c>
      <c r="I22" s="35">
        <v>157.24799999999999</v>
      </c>
      <c r="J22" s="35">
        <v>152.83564942134379</v>
      </c>
      <c r="K22" s="35">
        <v>162.80000000000001</v>
      </c>
      <c r="L22" s="35">
        <v>165.18375564550669</v>
      </c>
      <c r="M22" s="35">
        <v>169.66697423006443</v>
      </c>
      <c r="N22" s="35">
        <v>186.75616508255388</v>
      </c>
      <c r="O22" s="35">
        <v>191.25698866104344</v>
      </c>
      <c r="P22" s="35">
        <v>197.47194670605705</v>
      </c>
      <c r="Q22" s="35">
        <v>204.80493212570124</v>
      </c>
      <c r="R22" s="36">
        <v>208.64102609863633</v>
      </c>
      <c r="S22" s="36">
        <v>213.80677245749976</v>
      </c>
      <c r="T22" s="36">
        <v>217.57407311191287</v>
      </c>
      <c r="U22" s="36">
        <v>225.22145508819884</v>
      </c>
      <c r="V22" s="36">
        <v>232.86299528535966</v>
      </c>
      <c r="W22" s="36">
        <v>241.53716288131423</v>
      </c>
      <c r="X22" s="36">
        <v>245</v>
      </c>
      <c r="Y22" s="36">
        <v>250</v>
      </c>
      <c r="Z22" s="36">
        <v>255</v>
      </c>
      <c r="AA22" s="36">
        <v>260</v>
      </c>
      <c r="AB22" s="36">
        <v>265</v>
      </c>
      <c r="AC22" s="36">
        <v>270</v>
      </c>
      <c r="AD22" s="36">
        <v>275</v>
      </c>
      <c r="AE22" s="36">
        <v>280</v>
      </c>
    </row>
    <row r="23" spans="1:53" x14ac:dyDescent="0.25">
      <c r="A23" s="32"/>
      <c r="B23" s="32" t="s">
        <v>679</v>
      </c>
      <c r="C23" s="35">
        <v>137.82499999999999</v>
      </c>
      <c r="D23" s="35">
        <v>137.82499999999999</v>
      </c>
      <c r="E23" s="35">
        <v>137.82499999999999</v>
      </c>
      <c r="F23" s="35">
        <v>156.29499999999999</v>
      </c>
      <c r="G23" s="35">
        <v>167.84399999999999</v>
      </c>
      <c r="H23" s="35">
        <v>176.53800000000001</v>
      </c>
      <c r="I23" s="35">
        <v>177.79399999999998</v>
      </c>
      <c r="J23" s="35">
        <v>173.29521483689047</v>
      </c>
      <c r="K23" s="35">
        <v>179.18</v>
      </c>
      <c r="L23" s="35">
        <v>188.69627164870266</v>
      </c>
      <c r="M23" s="35">
        <v>192.2214902332604</v>
      </c>
      <c r="N23" s="35">
        <v>215.34616508255388</v>
      </c>
      <c r="O23" s="35">
        <v>223.20098866104343</v>
      </c>
      <c r="P23" s="35">
        <v>219.00718870605706</v>
      </c>
      <c r="Q23" s="35">
        <v>215.58134712570126</v>
      </c>
      <c r="R23" s="36">
        <v>221.42544983376598</v>
      </c>
      <c r="S23" s="36">
        <v>226.46723800236197</v>
      </c>
      <c r="T23" s="36">
        <v>230.37779215363364</v>
      </c>
      <c r="U23" s="36">
        <v>237.99020308913876</v>
      </c>
      <c r="V23" s="36">
        <v>245.3694152709713</v>
      </c>
      <c r="W23" s="36">
        <v>253.78761345428606</v>
      </c>
      <c r="X23" s="36">
        <v>263.23358248496942</v>
      </c>
      <c r="Y23" s="36">
        <v>274.0317887557747</v>
      </c>
      <c r="Z23" s="36">
        <v>283.56552384740866</v>
      </c>
      <c r="AA23" s="36">
        <v>293.35792027883537</v>
      </c>
    </row>
    <row r="24" spans="1:53" x14ac:dyDescent="0.25">
      <c r="A24" s="32"/>
      <c r="B24" s="32" t="s">
        <v>680</v>
      </c>
      <c r="C24" s="35">
        <f>'Intermediate calculations'!M32/1000</f>
        <v>123</v>
      </c>
      <c r="D24" s="35">
        <f>'Intermediate calculations'!N32/1000</f>
        <v>106.9</v>
      </c>
      <c r="E24" s="35">
        <f>'Intermediate calculations'!O32/1000</f>
        <v>116.6</v>
      </c>
      <c r="F24" s="35">
        <f>'Intermediate calculations'!P32/1000</f>
        <v>135</v>
      </c>
      <c r="G24" s="35">
        <f>'Intermediate calculations'!Q32/1000</f>
        <v>156.80000000000001</v>
      </c>
      <c r="H24" s="35">
        <f>'Intermediate calculations'!R32/1000</f>
        <v>159.69999999999999</v>
      </c>
      <c r="I24" s="35">
        <f>'Intermediate calculations'!S32/1000</f>
        <v>171.4</v>
      </c>
      <c r="J24" s="35">
        <f>'Intermediate calculations'!T32/1000</f>
        <v>187.1</v>
      </c>
      <c r="K24" s="35">
        <f>'Intermediate calculations'!U32/1000</f>
        <v>181.7</v>
      </c>
      <c r="L24" s="35">
        <f>'Intermediate calculations'!V32/1000</f>
        <v>180.7</v>
      </c>
      <c r="M24" s="35">
        <f>'Intermediate calculations'!W32/1000</f>
        <v>191.9</v>
      </c>
      <c r="N24" s="35">
        <f>'Intermediate calculations'!X32/1000</f>
        <v>205.1</v>
      </c>
      <c r="O24" s="35">
        <f>'Intermediate calculations'!Y32/1000</f>
        <v>211.25680579781439</v>
      </c>
      <c r="P24" s="35">
        <f>'Intermediate calculations'!Z32/1000</f>
        <v>217.35950768848085</v>
      </c>
      <c r="Q24" s="35">
        <f>'Intermediate calculations'!AA32/1000</f>
        <v>221.32965601288518</v>
      </c>
      <c r="R24" s="35">
        <f>'Intermediate calculations'!AB32/1000</f>
        <v>223.52537026236692</v>
      </c>
      <c r="S24" s="35">
        <f>'Intermediate calculations'!AC32/1000</f>
        <v>224.53833418272961</v>
      </c>
      <c r="T24" s="35">
        <f>'Intermediate calculations'!AD32/1000</f>
        <v>226.3238124577428</v>
      </c>
      <c r="U24" s="35">
        <f>'Intermediate calculations'!AE32/1000</f>
        <v>228.59078547195972</v>
      </c>
      <c r="V24" s="35">
        <f>'Intermediate calculations'!AF32/1000</f>
        <v>230.72073519330692</v>
      </c>
      <c r="W24" s="35">
        <f>'Intermediate calculations'!AG32/1000</f>
        <v>205.8260134228905</v>
      </c>
      <c r="X24" s="35">
        <f>'Intermediate calculations'!AH32/1000</f>
        <v>210.97397556116772</v>
      </c>
      <c r="Y24" s="35">
        <f>'Intermediate calculations'!AI32/1000</f>
        <v>216.24386258646948</v>
      </c>
      <c r="Z24" s="35">
        <f>'Intermediate calculations'!AJ32/1000</f>
        <v>222.20505976003716</v>
      </c>
      <c r="AA24" s="35">
        <f>'Intermediate calculations'!AK32/1000</f>
        <v>228.61875731206516</v>
      </c>
      <c r="AB24" s="35">
        <f>'Intermediate calculations'!AL32/1000</f>
        <v>234.97830844981101</v>
      </c>
      <c r="AC24" s="35">
        <f>'Intermediate calculations'!AM32/1000</f>
        <v>242.37892514071208</v>
      </c>
      <c r="AD24" s="35">
        <f>'Intermediate calculations'!AN32/1000</f>
        <v>250.09645728250328</v>
      </c>
      <c r="AE24" s="35">
        <f>'Intermediate calculations'!AO32/1000</f>
        <v>258.28394176932528</v>
      </c>
      <c r="AF24" s="35">
        <f>'Intermediate calculations'!AP32/1000</f>
        <v>266.7766636540623</v>
      </c>
      <c r="AG24" s="35">
        <f>'Intermediate calculations'!AQ32/1000</f>
        <v>273.94768287213424</v>
      </c>
      <c r="AH24" s="35">
        <f>'Intermediate calculations'!AR32/1000</f>
        <v>283.06968125040339</v>
      </c>
      <c r="AI24" s="35">
        <f>'Intermediate calculations'!AS32/1000</f>
        <v>292.42395691747043</v>
      </c>
      <c r="AJ24" s="35">
        <f>'Intermediate calculations'!AT32/1000</f>
        <v>302.07317533386652</v>
      </c>
      <c r="AK24" s="35">
        <f>'Intermediate calculations'!AU32/1000</f>
        <v>311.35269019980694</v>
      </c>
      <c r="AL24" s="35">
        <f>'Intermediate calculations'!AV32/1000</f>
        <v>321.19526044445331</v>
      </c>
      <c r="AM24" s="35">
        <f>'Intermediate calculations'!AW32/1000</f>
        <v>331.61803768497009</v>
      </c>
      <c r="AN24" s="35">
        <f>'Intermediate calculations'!AX32/1000</f>
        <v>342.44360014989911</v>
      </c>
      <c r="AO24" s="35">
        <f>'Intermediate calculations'!AY32/1000</f>
        <v>353.18514276711187</v>
      </c>
      <c r="AP24" s="35">
        <f>'Intermediate calculations'!AZ32/1000</f>
        <v>364.33415091579747</v>
      </c>
      <c r="AQ24" s="35">
        <f>'Intermediate calculations'!BA32/1000</f>
        <v>376.1931265406194</v>
      </c>
      <c r="AR24" s="35">
        <f>'Intermediate calculations'!BB32/1000</f>
        <v>388.62805526853612</v>
      </c>
      <c r="AS24" s="35">
        <f>'Intermediate calculations'!BC32/1000</f>
        <v>401.59908418638224</v>
      </c>
      <c r="AT24" s="35">
        <f>'Intermediate calculations'!BD32/1000</f>
        <v>415.13058210917609</v>
      </c>
      <c r="AU24" s="35">
        <f>'Intermediate calculations'!BE32/1000</f>
        <v>429.23010541114678</v>
      </c>
      <c r="AV24" s="35">
        <f>'Intermediate calculations'!BF32/1000</f>
        <v>444.02373047243918</v>
      </c>
      <c r="AW24" s="35">
        <f>'Intermediate calculations'!BG32/1000</f>
        <v>458.01731768732867</v>
      </c>
      <c r="AX24" s="35">
        <f>'Intermediate calculations'!BH32/1000</f>
        <v>472.64486853378463</v>
      </c>
      <c r="AY24" s="35">
        <f>'Intermediate calculations'!BI32/1000</f>
        <v>488.02537965793852</v>
      </c>
      <c r="AZ24" s="35">
        <f>'Intermediate calculations'!BJ32/1000</f>
        <v>504.2248969200088</v>
      </c>
      <c r="BA24" s="35">
        <f>'Intermediate calculations'!BK32/1000</f>
        <v>521.60835438210859</v>
      </c>
    </row>
    <row r="25" spans="1:53" x14ac:dyDescent="0.25">
      <c r="A25" s="32"/>
      <c r="B25" s="32" t="s">
        <v>681</v>
      </c>
      <c r="C25" s="35">
        <f>'Intermediate calculations'!M29/1000</f>
        <v>131</v>
      </c>
      <c r="D25" s="35">
        <f>'Intermediate calculations'!N29/1000</f>
        <v>115</v>
      </c>
      <c r="E25" s="35">
        <f>'Intermediate calculations'!O29/1000</f>
        <v>123</v>
      </c>
      <c r="F25" s="35">
        <f>'Intermediate calculations'!P29/1000</f>
        <v>146</v>
      </c>
      <c r="G25" s="35">
        <f>'Intermediate calculations'!Q29/1000</f>
        <v>174</v>
      </c>
      <c r="H25" s="35">
        <f>'Intermediate calculations'!R29/1000</f>
        <v>182</v>
      </c>
      <c r="I25" s="35">
        <f>'Intermediate calculations'!S29/1000</f>
        <v>193</v>
      </c>
      <c r="J25" s="35">
        <f>'Intermediate calculations'!T29/1000</f>
        <v>206</v>
      </c>
      <c r="K25" s="35">
        <f>'Intermediate calculations'!U29/1000</f>
        <v>198</v>
      </c>
      <c r="L25" s="35">
        <f>'Intermediate calculations'!V29/1000</f>
        <v>199</v>
      </c>
      <c r="M25" s="35">
        <f>'Intermediate calculations'!W29/1000</f>
        <v>215</v>
      </c>
      <c r="N25" s="35">
        <f>'Intermediate calculations'!X29/1000</f>
        <v>231</v>
      </c>
      <c r="O25" s="35">
        <f>'Intermediate calculations'!Y29/1000</f>
        <v>233.98886130861868</v>
      </c>
      <c r="P25" s="35">
        <f>'Intermediate calculations'!Z29/1000</f>
        <v>241.18536665430864</v>
      </c>
      <c r="Q25" s="35">
        <f>'Intermediate calculations'!AA29/1000</f>
        <v>245.86709519875137</v>
      </c>
      <c r="R25" s="35">
        <f>'Intermediate calculations'!AB29/1000</f>
        <v>248.4563531400855</v>
      </c>
      <c r="S25" s="35">
        <f>'Intermediate calculations'!AC29/1000</f>
        <v>249.65087327206678</v>
      </c>
      <c r="T25" s="35">
        <f>'Intermediate calculations'!AD29/1000</f>
        <v>251.75636755655694</v>
      </c>
      <c r="U25" s="35">
        <f>'Intermediate calculations'!AE29/1000</f>
        <v>254.42965616013399</v>
      </c>
      <c r="V25" s="35">
        <f>'Intermediate calculations'!AF29/1000</f>
        <v>256.94136242243218</v>
      </c>
      <c r="W25" s="35">
        <f>'Intermediate calculations'!AG29/1000</f>
        <v>227.58469360427031</v>
      </c>
      <c r="X25" s="35">
        <f>'Intermediate calculations'!AH29/1000</f>
        <v>233.65533865809178</v>
      </c>
      <c r="Y25" s="35">
        <f>'Intermediate calculations'!AI29/1000</f>
        <v>239.86976151999968</v>
      </c>
      <c r="Z25" s="35">
        <f>'Intermediate calculations'!AJ29/1000</f>
        <v>246.89939988262446</v>
      </c>
      <c r="AA25" s="35">
        <f>'Intermediate calculations'!AK29/1000</f>
        <v>254.46264146737232</v>
      </c>
      <c r="AB25" s="35">
        <f>'Intermediate calculations'!AL29/1000</f>
        <v>261.96203183231421</v>
      </c>
      <c r="AC25" s="35">
        <f>'Intermediate calculations'!AM29/1000</f>
        <v>270.68908069225051</v>
      </c>
      <c r="AD25" s="35">
        <f>'Intermediate calculations'!AN29/1000</f>
        <v>279.78984660036031</v>
      </c>
      <c r="AE25" s="35">
        <f>'Intermediate calculations'!AO29/1000</f>
        <v>289.44479565944556</v>
      </c>
      <c r="AF25" s="35">
        <f>'Intermediate calculations'!AP29/1000</f>
        <v>299.45969062530367</v>
      </c>
      <c r="AG25" s="35">
        <f>'Intermediate calculations'!AQ29/1000</f>
        <v>307.91599064805706</v>
      </c>
      <c r="AH25" s="35">
        <f>'Intermediate calculations'!AR29/1000</f>
        <v>318.67294900333724</v>
      </c>
      <c r="AI25" s="35">
        <f>'Intermediate calculations'!AS29/1000</f>
        <v>329.70381632229686</v>
      </c>
      <c r="AJ25" s="35">
        <f>'Intermediate calculations'!AT29/1000</f>
        <v>341.08248976225741</v>
      </c>
      <c r="AK25" s="35">
        <f>'Intermediate calculations'!AU29/1000</f>
        <v>352.02519670330662</v>
      </c>
      <c r="AL25" s="35">
        <f>'Intermediate calculations'!AV29/1000</f>
        <v>363.63187693280605</v>
      </c>
      <c r="AM25" s="35">
        <f>'Intermediate calculations'!AW29/1000</f>
        <v>375.92275619778064</v>
      </c>
      <c r="AN25" s="35">
        <f>'Intermediate calculations'!AX29/1000</f>
        <v>388.68861295183802</v>
      </c>
      <c r="AO25" s="35">
        <f>'Intermediate calculations'!AY29/1000</f>
        <v>401.35539075790348</v>
      </c>
      <c r="AP25" s="35">
        <f>'Intermediate calculations'!AZ29/1000</f>
        <v>414.50266522396691</v>
      </c>
      <c r="AQ25" s="35">
        <f>'Intermediate calculations'!BA29/1000</f>
        <v>428.48715652100429</v>
      </c>
      <c r="AR25" s="35">
        <f>'Intermediate calculations'!BB29/1000</f>
        <v>443.15083052425024</v>
      </c>
      <c r="AS25" s="35">
        <f>'Intermediate calculations'!BC29/1000</f>
        <v>458.44669137715266</v>
      </c>
      <c r="AT25" s="35">
        <f>'Intermediate calculations'!BD29/1000</f>
        <v>474.40347558211459</v>
      </c>
      <c r="AU25" s="35">
        <f>'Intermediate calculations'!BE29/1000</f>
        <v>491.0300938623713</v>
      </c>
      <c r="AV25" s="35">
        <f>'Intermediate calculations'!BF29/1000</f>
        <v>508.47521960225851</v>
      </c>
      <c r="AW25" s="35">
        <f>'Intermediate calculations'!BG29/1000</f>
        <v>524.97691458941654</v>
      </c>
      <c r="AX25" s="35">
        <f>'Intermediate calculations'!BH29/1000</f>
        <v>542.22620019221972</v>
      </c>
      <c r="AY25" s="35">
        <f>'Intermediate calculations'!BI29/1000</f>
        <v>560.36340114147481</v>
      </c>
      <c r="AZ25" s="35">
        <f>'Intermediate calculations'!BJ29/1000</f>
        <v>579.46640087219805</v>
      </c>
      <c r="BA25" s="35">
        <f>'Intermediate calculations'!BK29/1000</f>
        <v>599.96554154690546</v>
      </c>
    </row>
    <row r="26" spans="1:53" x14ac:dyDescent="0.25">
      <c r="A26" s="32"/>
      <c r="B26" s="32"/>
      <c r="C26" s="35"/>
      <c r="D26" s="35"/>
      <c r="E26" s="35"/>
      <c r="F26" s="35"/>
      <c r="G26" s="35"/>
      <c r="H26" s="35"/>
      <c r="I26" s="35"/>
      <c r="J26" s="35"/>
      <c r="K26" s="35"/>
      <c r="L26" s="35"/>
      <c r="M26" s="35"/>
      <c r="N26" s="35"/>
      <c r="O26" s="35"/>
      <c r="P26" s="35"/>
      <c r="Q26" s="35"/>
      <c r="R26" s="36"/>
      <c r="S26" s="36"/>
      <c r="T26" s="36"/>
      <c r="U26" s="36"/>
      <c r="V26" s="36"/>
      <c r="W26" s="36"/>
      <c r="X26" s="36"/>
      <c r="Y26" s="36"/>
      <c r="Z26" s="36"/>
      <c r="AA26" s="36"/>
    </row>
    <row r="27" spans="1:53" x14ac:dyDescent="0.25">
      <c r="A27" s="31"/>
      <c r="B27" s="32"/>
      <c r="C27" s="33">
        <v>2000</v>
      </c>
      <c r="D27" s="33">
        <v>2001</v>
      </c>
      <c r="E27" s="33">
        <v>2002</v>
      </c>
      <c r="F27" s="33">
        <v>2003</v>
      </c>
      <c r="G27" s="33">
        <v>2004</v>
      </c>
      <c r="H27" s="33">
        <v>2005</v>
      </c>
      <c r="I27" s="33">
        <v>2006</v>
      </c>
      <c r="J27" s="33">
        <v>2007</v>
      </c>
      <c r="K27" s="33">
        <v>2008</v>
      </c>
      <c r="L27" s="33">
        <v>2009</v>
      </c>
      <c r="M27" s="33">
        <v>2010</v>
      </c>
      <c r="N27" s="33">
        <v>2011</v>
      </c>
      <c r="O27" s="33">
        <v>2012</v>
      </c>
      <c r="P27" s="33">
        <v>2013</v>
      </c>
      <c r="Q27" s="33">
        <v>2014</v>
      </c>
      <c r="R27" s="34">
        <v>2015</v>
      </c>
      <c r="S27" s="34">
        <v>2016</v>
      </c>
      <c r="T27" s="34">
        <v>2017</v>
      </c>
      <c r="U27" s="34">
        <v>2018</v>
      </c>
      <c r="V27" s="34">
        <v>2019</v>
      </c>
      <c r="W27" s="34">
        <v>2020</v>
      </c>
      <c r="X27" s="34">
        <v>2021</v>
      </c>
      <c r="Y27" s="34">
        <v>2022</v>
      </c>
      <c r="Z27" s="34">
        <v>2023</v>
      </c>
      <c r="AA27" s="34">
        <v>2024</v>
      </c>
      <c r="AB27" s="34">
        <v>2025</v>
      </c>
      <c r="AC27" s="34">
        <v>2026</v>
      </c>
      <c r="AD27" s="34">
        <v>2027</v>
      </c>
      <c r="AE27" s="34">
        <v>2028</v>
      </c>
      <c r="AF27" s="34">
        <v>2029</v>
      </c>
      <c r="AG27" s="34">
        <v>2030</v>
      </c>
      <c r="AH27" s="34">
        <v>2031</v>
      </c>
      <c r="AI27" s="34">
        <v>2032</v>
      </c>
      <c r="AJ27" s="34">
        <v>2033</v>
      </c>
      <c r="AK27" s="34">
        <v>2034</v>
      </c>
      <c r="AL27" s="34">
        <v>2035</v>
      </c>
      <c r="AM27" s="34">
        <v>2036</v>
      </c>
      <c r="AN27" s="34">
        <v>2037</v>
      </c>
      <c r="AO27" s="34">
        <v>2038</v>
      </c>
      <c r="AP27" s="34">
        <v>2039</v>
      </c>
      <c r="AQ27" s="34">
        <v>2040</v>
      </c>
      <c r="AR27" s="34">
        <v>2041</v>
      </c>
      <c r="AS27" s="34">
        <v>2042</v>
      </c>
      <c r="AT27" s="34">
        <v>2043</v>
      </c>
      <c r="AU27" s="34">
        <v>2044</v>
      </c>
      <c r="AV27" s="34">
        <v>2045</v>
      </c>
      <c r="AW27" s="34">
        <v>2046</v>
      </c>
      <c r="AX27" s="34">
        <v>2047</v>
      </c>
      <c r="AY27" s="34">
        <v>2048</v>
      </c>
      <c r="AZ27" s="34">
        <v>2049</v>
      </c>
      <c r="BA27" s="34">
        <v>2050</v>
      </c>
    </row>
    <row r="28" spans="1:53" x14ac:dyDescent="0.25">
      <c r="A28" s="32"/>
      <c r="B28" s="32" t="s">
        <v>682</v>
      </c>
      <c r="C28" s="40">
        <v>2024.0540449999999</v>
      </c>
      <c r="D28" s="40">
        <v>2024.0540449999999</v>
      </c>
      <c r="E28" s="40">
        <v>2024.0540449999999</v>
      </c>
      <c r="F28" s="40">
        <v>2113.8015639999999</v>
      </c>
      <c r="G28" s="40">
        <v>2290.0087429999999</v>
      </c>
      <c r="H28" s="40">
        <v>2393.5830030000002</v>
      </c>
      <c r="I28" s="40">
        <v>2495.02</v>
      </c>
      <c r="J28" s="40">
        <v>2546.5700000000002</v>
      </c>
      <c r="K28" s="40">
        <v>2673.6727109999997</v>
      </c>
      <c r="L28" s="40">
        <v>2586.3408249999998</v>
      </c>
      <c r="M28" s="40">
        <v>2706.3017989999998</v>
      </c>
      <c r="N28" s="40">
        <v>2720.4017549999999</v>
      </c>
      <c r="O28" s="40">
        <v>2842.8103229999997</v>
      </c>
      <c r="P28" s="40">
        <v>2904.1207999999997</v>
      </c>
      <c r="Q28" s="40">
        <v>2969.867827</v>
      </c>
      <c r="R28" s="41">
        <v>3150</v>
      </c>
      <c r="S28" s="41">
        <v>3100</v>
      </c>
      <c r="T28" s="41">
        <v>3200</v>
      </c>
      <c r="U28" s="41">
        <v>3400</v>
      </c>
      <c r="V28" s="41">
        <v>3250</v>
      </c>
      <c r="W28" s="41">
        <v>3300</v>
      </c>
      <c r="X28" s="41">
        <v>3400</v>
      </c>
      <c r="Y28" s="41">
        <v>3500</v>
      </c>
      <c r="Z28" s="41">
        <f>Y28+50</f>
        <v>3550</v>
      </c>
      <c r="AA28" s="41">
        <f t="shared" ref="AA28:AE28" si="1">Z28+50</f>
        <v>3600</v>
      </c>
      <c r="AB28" s="41">
        <f t="shared" si="1"/>
        <v>3650</v>
      </c>
      <c r="AC28" s="41">
        <f t="shared" si="1"/>
        <v>3700</v>
      </c>
      <c r="AD28" s="41">
        <f t="shared" si="1"/>
        <v>3750</v>
      </c>
      <c r="AE28" s="41">
        <f t="shared" si="1"/>
        <v>3800</v>
      </c>
    </row>
    <row r="29" spans="1:53" x14ac:dyDescent="0.25">
      <c r="A29" s="32"/>
      <c r="B29" s="32" t="s">
        <v>683</v>
      </c>
      <c r="C29" s="40">
        <v>1273.2</v>
      </c>
      <c r="D29" s="40">
        <v>1273.2</v>
      </c>
      <c r="E29" s="40">
        <v>1273.2</v>
      </c>
      <c r="F29" s="40">
        <v>1259</v>
      </c>
      <c r="G29" s="40">
        <v>1347</v>
      </c>
      <c r="H29" s="40">
        <v>1396.6</v>
      </c>
      <c r="I29" s="40">
        <v>1442.9</v>
      </c>
      <c r="J29" s="40">
        <v>1402.61000533527</v>
      </c>
      <c r="K29" s="40">
        <v>1458.4151718048199</v>
      </c>
      <c r="L29" s="40">
        <v>1493.2</v>
      </c>
      <c r="M29" s="40">
        <v>1545.3558772633801</v>
      </c>
      <c r="N29" s="40">
        <v>1571</v>
      </c>
      <c r="O29" s="40">
        <v>1661.1</v>
      </c>
      <c r="P29" s="40">
        <v>1681.39</v>
      </c>
      <c r="Q29" s="40">
        <v>1722.5233396599999</v>
      </c>
      <c r="R29" s="41">
        <v>1775.8304373666449</v>
      </c>
      <c r="S29" s="41">
        <v>1820.2326820256628</v>
      </c>
      <c r="T29" s="41">
        <v>1859.0411448844859</v>
      </c>
      <c r="U29" s="41">
        <v>1893.2454556799651</v>
      </c>
      <c r="V29" s="41">
        <v>1928.6136766918191</v>
      </c>
      <c r="W29" s="41">
        <v>1965.2479914611308</v>
      </c>
      <c r="X29" s="41">
        <v>2003.0736716496317</v>
      </c>
      <c r="Y29" s="41">
        <v>2044.3832164581972</v>
      </c>
      <c r="Z29" s="41">
        <v>2085.024175882957</v>
      </c>
      <c r="AA29" s="41">
        <v>2123.3681095603265</v>
      </c>
    </row>
    <row r="30" spans="1:53" x14ac:dyDescent="0.25">
      <c r="A30" s="32"/>
      <c r="B30" s="32" t="s">
        <v>684</v>
      </c>
      <c r="C30" s="40">
        <v>866.94927349604279</v>
      </c>
      <c r="D30" s="40">
        <v>866.94927349604279</v>
      </c>
      <c r="E30" s="40">
        <v>866.94927349604279</v>
      </c>
      <c r="F30" s="40">
        <v>846.1138215167158</v>
      </c>
      <c r="G30" s="40">
        <v>935.18533488170215</v>
      </c>
      <c r="H30" s="40">
        <v>990.02288429185</v>
      </c>
      <c r="I30" s="40">
        <v>1044.5425069013627</v>
      </c>
      <c r="J30" s="40">
        <v>1150.5392931285598</v>
      </c>
      <c r="K30" s="40">
        <v>1208.3756288442755</v>
      </c>
      <c r="L30" s="40">
        <v>1092.2210617160124</v>
      </c>
      <c r="M30" s="40">
        <v>1154.6007305262117</v>
      </c>
      <c r="N30" s="40">
        <v>1140</v>
      </c>
      <c r="O30" s="40">
        <v>1171</v>
      </c>
      <c r="P30" s="40">
        <v>1200</v>
      </c>
      <c r="Q30" s="40">
        <v>1223.1384873399998</v>
      </c>
      <c r="R30" s="41">
        <v>1297.1574685139426</v>
      </c>
      <c r="S30" s="41">
        <v>1339.9486902058916</v>
      </c>
      <c r="T30" s="41">
        <v>1382.183609812364</v>
      </c>
      <c r="U30" s="41">
        <v>1416.4086784270767</v>
      </c>
      <c r="V30" s="41">
        <v>1452.170708036087</v>
      </c>
      <c r="W30" s="41">
        <v>1490.0278167036406</v>
      </c>
      <c r="X30" s="41">
        <v>1529.1035404245388</v>
      </c>
      <c r="Y30" s="41">
        <v>1572.8770953399192</v>
      </c>
      <c r="Z30" s="41">
        <v>1615.0807207181326</v>
      </c>
      <c r="AA30" s="41">
        <v>1653.5952554033502</v>
      </c>
    </row>
    <row r="31" spans="1:53" x14ac:dyDescent="0.25">
      <c r="A31" s="32"/>
      <c r="B31" s="32" t="s">
        <v>685</v>
      </c>
      <c r="C31" s="40">
        <f>'Intermediate calculations'!M15/1000</f>
        <v>2370</v>
      </c>
      <c r="D31" s="40">
        <f>'Intermediate calculations'!N15/1000</f>
        <v>2358</v>
      </c>
      <c r="E31" s="40">
        <f>'Intermediate calculations'!O15/1000</f>
        <v>2457</v>
      </c>
      <c r="F31" s="40">
        <f>'Intermediate calculations'!P15/1000</f>
        <v>2354</v>
      </c>
      <c r="G31" s="40">
        <f>'Intermediate calculations'!Q15/1000</f>
        <v>2505</v>
      </c>
      <c r="H31" s="40">
        <f>'Intermediate calculations'!R15/1000</f>
        <v>2657</v>
      </c>
      <c r="I31" s="40">
        <f>'Intermediate calculations'!S15/1000</f>
        <v>2513</v>
      </c>
      <c r="J31" s="40">
        <f>'Intermediate calculations'!T15/1000</f>
        <v>2559</v>
      </c>
      <c r="K31" s="40">
        <f>'Intermediate calculations'!U15/1000</f>
        <v>2625</v>
      </c>
      <c r="L31" s="40">
        <f>'Intermediate calculations'!V15/1000</f>
        <v>2587</v>
      </c>
      <c r="M31" s="40">
        <f>'Intermediate calculations'!W15/1000</f>
        <v>2711</v>
      </c>
      <c r="N31" s="40">
        <f>'Intermediate calculations'!X15/1000</f>
        <v>2720</v>
      </c>
      <c r="O31" s="40">
        <f>'Intermediate calculations'!Y15/1000</f>
        <v>2858.7198415709267</v>
      </c>
      <c r="P31" s="40">
        <f>'Intermediate calculations'!Z15/1000</f>
        <v>2903.9424955433069</v>
      </c>
      <c r="Q31" s="40">
        <f>'Intermediate calculations'!AA15/1000</f>
        <v>2940.8238317911282</v>
      </c>
      <c r="R31" s="40">
        <f>'Intermediate calculations'!AB15/1000</f>
        <v>2970.9131087195797</v>
      </c>
      <c r="S31" s="40">
        <f>'Intermediate calculations'!AC15/1000</f>
        <v>2996.7532807677667</v>
      </c>
      <c r="T31" s="40">
        <f>'Intermediate calculations'!AD15/1000</f>
        <v>3026.6820161651922</v>
      </c>
      <c r="U31" s="40">
        <f>'Intermediate calculations'!AE15/1000</f>
        <v>3058.9547718502108</v>
      </c>
      <c r="V31" s="40">
        <f>'Intermediate calculations'!AF15/1000</f>
        <v>3091.0115232984431</v>
      </c>
      <c r="W31" s="40">
        <f>'Intermediate calculations'!AG15/1000</f>
        <v>3008.6242701180718</v>
      </c>
      <c r="X31" s="40">
        <f>'Intermediate calculations'!AH15/1000</f>
        <v>3050.0440607423225</v>
      </c>
      <c r="Y31" s="40">
        <f>'Intermediate calculations'!AI15/1000</f>
        <v>3090.8554098467239</v>
      </c>
      <c r="Z31" s="40">
        <f>'Intermediate calculations'!AJ15/1000</f>
        <v>3133.4280814491149</v>
      </c>
      <c r="AA31" s="40">
        <f>'Intermediate calculations'!AK15/1000</f>
        <v>3177.6121962863394</v>
      </c>
      <c r="AB31" s="40">
        <f>'Intermediate calculations'!AL15/1000</f>
        <v>3221.2403767502688</v>
      </c>
      <c r="AC31" s="40">
        <f>'Intermediate calculations'!AM15/1000</f>
        <v>3268.9510023996636</v>
      </c>
      <c r="AD31" s="40">
        <f>'Intermediate calculations'!AN15/1000</f>
        <v>3317.6529522133646</v>
      </c>
      <c r="AE31" s="40">
        <f>'Intermediate calculations'!AO15/1000</f>
        <v>3367.9820899727943</v>
      </c>
      <c r="AF31" s="40">
        <f>'Intermediate calculations'!AP15/1000</f>
        <v>3419.3386743441365</v>
      </c>
      <c r="AG31" s="40">
        <f>'Intermediate calculations'!AQ15/1000</f>
        <v>3464.7998946171115</v>
      </c>
      <c r="AH31" s="40">
        <f>'Intermediate calculations'!AR15/1000</f>
        <v>3518.2594185958756</v>
      </c>
      <c r="AI31" s="40">
        <f>'Intermediate calculations'!AS15/1000</f>
        <v>3572.404824432333</v>
      </c>
      <c r="AJ31" s="40">
        <f>'Intermediate calculations'!AT15/1000</f>
        <v>3627.4920858868359</v>
      </c>
      <c r="AK31" s="40">
        <f>'Intermediate calculations'!AU15/1000</f>
        <v>3680.7205615570947</v>
      </c>
      <c r="AL31" s="40">
        <f>'Intermediate calculations'!AV15/1000</f>
        <v>3736.0440023750439</v>
      </c>
      <c r="AM31" s="40">
        <f>'Intermediate calculations'!AW15/1000</f>
        <v>3793.5262810655468</v>
      </c>
      <c r="AN31" s="40">
        <f>'Intermediate calculations'!AX15/1000</f>
        <v>3852.4047615588038</v>
      </c>
      <c r="AO31" s="40">
        <f>'Intermediate calculations'!AY15/1000</f>
        <v>3910.6025314246444</v>
      </c>
      <c r="AP31" s="40">
        <f>'Intermediate calculations'!AZ15/1000</f>
        <v>3970.2350829203438</v>
      </c>
      <c r="AQ31" s="40">
        <f>'Intermediate calculations'!BA15/1000</f>
        <v>4032.5800198526467</v>
      </c>
      <c r="AR31" s="40">
        <f>'Intermediate calculations'!BB15/1000</f>
        <v>4097.060525460668</v>
      </c>
      <c r="AS31" s="40">
        <f>'Intermediate calculations'!BC15/1000</f>
        <v>4163.4999891420148</v>
      </c>
      <c r="AT31" s="40">
        <f>'Intermediate calculations'!BD15/1000</f>
        <v>4231.9948131229485</v>
      </c>
      <c r="AU31" s="40">
        <f>'Intermediate calculations'!BE15/1000</f>
        <v>4302.5716329820234</v>
      </c>
      <c r="AV31" s="40">
        <f>'Intermediate calculations'!BF15/1000</f>
        <v>4375.7593357744008</v>
      </c>
      <c r="AW31" s="40">
        <f>'Intermediate calculations'!BG15/1000</f>
        <v>4445.2033984374748</v>
      </c>
      <c r="AX31" s="40">
        <f>'Intermediate calculations'!BH15/1000</f>
        <v>4516.989885474366</v>
      </c>
      <c r="AY31" s="40">
        <f>'Intermediate calculations'!BI15/1000</f>
        <v>4591.6181744145533</v>
      </c>
      <c r="AZ31" s="40">
        <f>'Intermediate calculations'!BJ15/1000</f>
        <v>4669.3578772425544</v>
      </c>
      <c r="BA31" s="40">
        <f>'Intermediate calculations'!BK15/1000</f>
        <v>4751.7535941765682</v>
      </c>
    </row>
    <row r="32" spans="1:53" x14ac:dyDescent="0.25">
      <c r="A32" s="32"/>
      <c r="B32" s="32" t="s">
        <v>686</v>
      </c>
      <c r="C32" s="40">
        <f>'Intermediate calculations'!M12/1000</f>
        <v>1284</v>
      </c>
      <c r="D32" s="40">
        <f>'Intermediate calculations'!N12/1000</f>
        <v>1575</v>
      </c>
      <c r="E32" s="40">
        <f>'Intermediate calculations'!O12/1000</f>
        <v>1611</v>
      </c>
      <c r="F32" s="40">
        <f>'Intermediate calculations'!P12/1000</f>
        <v>1528</v>
      </c>
      <c r="G32" s="40">
        <f>'Intermediate calculations'!Q12/1000</f>
        <v>1626</v>
      </c>
      <c r="H32" s="40">
        <f>'Intermediate calculations'!R12/1000</f>
        <v>1835</v>
      </c>
      <c r="I32" s="40">
        <f>'Intermediate calculations'!S12/1000</f>
        <v>1697</v>
      </c>
      <c r="J32" s="40">
        <f>'Intermediate calculations'!T12/1000</f>
        <v>1799</v>
      </c>
      <c r="K32" s="40">
        <f>'Intermediate calculations'!U12/1000</f>
        <v>1819</v>
      </c>
      <c r="L32" s="40">
        <f>'Intermediate calculations'!V12/1000</f>
        <v>1788</v>
      </c>
      <c r="M32" s="40">
        <f>'Intermediate calculations'!W12/1000</f>
        <v>1868</v>
      </c>
      <c r="N32" s="40">
        <f>'Intermediate calculations'!X12/1000</f>
        <v>1852</v>
      </c>
      <c r="O32" s="40">
        <f>'Intermediate calculations'!Y12/1000</f>
        <v>1955.063745268503</v>
      </c>
      <c r="P32" s="40">
        <f>'Intermediate calculations'!Z12/1000</f>
        <v>1996.3949636785376</v>
      </c>
      <c r="Q32" s="40">
        <f>'Intermediate calculations'!AA12/1000</f>
        <v>2030.1026395845911</v>
      </c>
      <c r="R32" s="40">
        <f>'Intermediate calculations'!AB12/1000</f>
        <v>2057.6027168089267</v>
      </c>
      <c r="S32" s="40">
        <f>'Intermediate calculations'!AC12/1000</f>
        <v>2081.2193270885614</v>
      </c>
      <c r="T32" s="40">
        <f>'Intermediate calculations'!AD12/1000</f>
        <v>2108.5726774735836</v>
      </c>
      <c r="U32" s="40">
        <f>'Intermediate calculations'!AE12/1000</f>
        <v>2138.0683438430506</v>
      </c>
      <c r="V32" s="40">
        <f>'Intermediate calculations'!AF12/1000</f>
        <v>2167.3665932653935</v>
      </c>
      <c r="W32" s="40">
        <f>'Intermediate calculations'!AG12/1000</f>
        <v>2092.0688109308921</v>
      </c>
      <c r="X32" s="40">
        <f>'Intermediate calculations'!AH12/1000</f>
        <v>2129.9244045861064</v>
      </c>
      <c r="Y32" s="40">
        <f>'Intermediate calculations'!AI12/1000</f>
        <v>2167.2239134665983</v>
      </c>
      <c r="Z32" s="40">
        <f>'Intermediate calculations'!AJ12/1000</f>
        <v>2206.1331820241612</v>
      </c>
      <c r="AA32" s="40">
        <f>'Intermediate calculations'!AK12/1000</f>
        <v>2246.5152281930286</v>
      </c>
      <c r="AB32" s="40">
        <f>'Intermediate calculations'!AL12/1000</f>
        <v>2286.3891784633593</v>
      </c>
      <c r="AC32" s="40">
        <f>'Intermediate calculations'!AM12/1000</f>
        <v>2329.99427714684</v>
      </c>
      <c r="AD32" s="40">
        <f>'Intermediate calculations'!AN12/1000</f>
        <v>2374.5053959762217</v>
      </c>
      <c r="AE32" s="40">
        <f>'Intermediate calculations'!AO12/1000</f>
        <v>2420.5036822863117</v>
      </c>
      <c r="AF32" s="40">
        <f>'Intermediate calculations'!AP12/1000</f>
        <v>2467.4410028323755</v>
      </c>
      <c r="AG32" s="40">
        <f>'Intermediate calculations'!AQ12/1000</f>
        <v>2508.9902587746869</v>
      </c>
      <c r="AH32" s="40">
        <f>'Intermediate calculations'!AR12/1000</f>
        <v>2557.8495597571605</v>
      </c>
      <c r="AI32" s="40">
        <f>'Intermediate calculations'!AS12/1000</f>
        <v>2607.3357220662851</v>
      </c>
      <c r="AJ32" s="40">
        <f>'Intermediate calculations'!AT12/1000</f>
        <v>2657.6826927721027</v>
      </c>
      <c r="AK32" s="40">
        <f>'Intermediate calculations'!AU12/1000</f>
        <v>2706.3308272868153</v>
      </c>
      <c r="AL32" s="40">
        <f>'Intermediate calculations'!AV12/1000</f>
        <v>2756.8936539850852</v>
      </c>
      <c r="AM32" s="40">
        <f>'Intermediate calculations'!AW12/1000</f>
        <v>2809.4295493068116</v>
      </c>
      <c r="AN32" s="40">
        <f>'Intermediate calculations'!AX12/1000</f>
        <v>2863.2415024576376</v>
      </c>
      <c r="AO32" s="40">
        <f>'Intermediate calculations'!AY12/1000</f>
        <v>2916.4313205247304</v>
      </c>
      <c r="AP32" s="40">
        <f>'Intermediate calculations'!AZ12/1000</f>
        <v>2970.9324564315634</v>
      </c>
      <c r="AQ32" s="40">
        <f>'Intermediate calculations'!BA12/1000</f>
        <v>3027.9125754374627</v>
      </c>
      <c r="AR32" s="40">
        <f>'Intermediate calculations'!BB12/1000</f>
        <v>3086.8444961978475</v>
      </c>
      <c r="AS32" s="40">
        <f>'Intermediate calculations'!BC12/1000</f>
        <v>3147.5668055549331</v>
      </c>
      <c r="AT32" s="40">
        <f>'Intermediate calculations'!BD12/1000</f>
        <v>3210.1676102675856</v>
      </c>
      <c r="AU32" s="40">
        <f>'Intermediate calculations'!BE12/1000</f>
        <v>3274.6712539074001</v>
      </c>
      <c r="AV32" s="40">
        <f>'Intermediate calculations'!BF12/1000</f>
        <v>3341.5611124921697</v>
      </c>
      <c r="AW32" s="40">
        <f>'Intermediate calculations'!BG12/1000</f>
        <v>3405.0294733486685</v>
      </c>
      <c r="AX32" s="40">
        <f>'Intermediate calculations'!BH12/1000</f>
        <v>3470.638691605142</v>
      </c>
      <c r="AY32" s="40">
        <f>'Intermediate calculations'!BI12/1000</f>
        <v>3538.8451730654715</v>
      </c>
      <c r="AZ32" s="40">
        <f>'Intermediate calculations'!BJ12/1000</f>
        <v>3609.8953294467769</v>
      </c>
      <c r="BA32" s="40">
        <f>'Intermediate calculations'!BK12/1000</f>
        <v>3685.2008472240182</v>
      </c>
    </row>
    <row r="33" spans="1:53" x14ac:dyDescent="0.25">
      <c r="A33" s="32"/>
      <c r="B33" s="32"/>
      <c r="C33" s="40"/>
      <c r="D33" s="40"/>
      <c r="E33" s="40"/>
      <c r="F33" s="40"/>
      <c r="G33" s="40"/>
      <c r="H33" s="40"/>
      <c r="I33" s="40"/>
      <c r="J33" s="40"/>
      <c r="K33" s="40"/>
      <c r="L33" s="40"/>
      <c r="M33" s="40"/>
      <c r="N33" s="40"/>
      <c r="O33" s="40"/>
      <c r="P33" s="40"/>
      <c r="Q33" s="40"/>
      <c r="R33" s="41"/>
      <c r="S33" s="41"/>
      <c r="T33" s="41"/>
      <c r="U33" s="41"/>
      <c r="V33" s="41"/>
      <c r="W33" s="41"/>
      <c r="X33" s="41"/>
      <c r="Y33" s="41"/>
      <c r="Z33" s="41"/>
      <c r="AA33" s="41"/>
    </row>
    <row r="34" spans="1:53" x14ac:dyDescent="0.25">
      <c r="A34" s="31"/>
      <c r="B34" s="32"/>
      <c r="C34" s="33">
        <v>2000</v>
      </c>
      <c r="D34" s="33">
        <v>2001</v>
      </c>
      <c r="E34" s="33">
        <v>2002</v>
      </c>
      <c r="F34" s="33">
        <v>2003</v>
      </c>
      <c r="G34" s="33">
        <v>2004</v>
      </c>
      <c r="H34" s="33">
        <v>2005</v>
      </c>
      <c r="I34" s="33">
        <v>2006</v>
      </c>
      <c r="J34" s="33">
        <v>2007</v>
      </c>
      <c r="K34" s="33">
        <v>2008</v>
      </c>
      <c r="L34" s="33">
        <v>2009</v>
      </c>
      <c r="M34" s="33">
        <v>2010</v>
      </c>
      <c r="N34" s="33">
        <v>2011</v>
      </c>
      <c r="O34" s="33">
        <v>2012</v>
      </c>
      <c r="P34" s="33">
        <v>2013</v>
      </c>
      <c r="Q34" s="33">
        <v>2014</v>
      </c>
      <c r="R34" s="34">
        <v>2015</v>
      </c>
      <c r="S34" s="34">
        <v>2016</v>
      </c>
      <c r="T34" s="34">
        <v>2017</v>
      </c>
      <c r="U34" s="34">
        <v>2018</v>
      </c>
      <c r="V34" s="34">
        <v>2019</v>
      </c>
      <c r="W34" s="34">
        <v>2020</v>
      </c>
      <c r="X34" s="34">
        <v>2021</v>
      </c>
      <c r="Y34" s="34">
        <v>2022</v>
      </c>
      <c r="Z34" s="34">
        <v>2023</v>
      </c>
      <c r="AA34" s="34">
        <v>2024</v>
      </c>
      <c r="AB34" s="34">
        <v>2025</v>
      </c>
      <c r="AC34" s="34">
        <v>2026</v>
      </c>
      <c r="AD34" s="34">
        <v>2027</v>
      </c>
      <c r="AE34" s="34">
        <v>2028</v>
      </c>
      <c r="AF34" s="34">
        <v>2029</v>
      </c>
      <c r="AG34" s="34">
        <v>2030</v>
      </c>
      <c r="AH34" s="34">
        <v>2031</v>
      </c>
      <c r="AI34" s="34">
        <v>2032</v>
      </c>
      <c r="AJ34" s="34">
        <v>2033</v>
      </c>
      <c r="AK34" s="34">
        <v>2034</v>
      </c>
      <c r="AL34" s="34">
        <v>2035</v>
      </c>
      <c r="AM34" s="34">
        <v>2036</v>
      </c>
      <c r="AN34" s="34">
        <v>2037</v>
      </c>
      <c r="AO34" s="34">
        <v>2038</v>
      </c>
      <c r="AP34" s="34">
        <v>2039</v>
      </c>
      <c r="AQ34" s="34">
        <v>2040</v>
      </c>
      <c r="AR34" s="34">
        <v>2041</v>
      </c>
      <c r="AS34" s="34">
        <v>2042</v>
      </c>
      <c r="AT34" s="34">
        <v>2043</v>
      </c>
      <c r="AU34" s="34">
        <v>2044</v>
      </c>
      <c r="AV34" s="34">
        <v>2045</v>
      </c>
      <c r="AW34" s="34">
        <v>2046</v>
      </c>
      <c r="AX34" s="34">
        <v>2047</v>
      </c>
      <c r="AY34" s="34">
        <v>2048</v>
      </c>
      <c r="AZ34" s="34">
        <v>2049</v>
      </c>
      <c r="BA34" s="34">
        <v>2050</v>
      </c>
    </row>
    <row r="35" spans="1:53" x14ac:dyDescent="0.25">
      <c r="A35" s="37"/>
      <c r="B35" s="37" t="s">
        <v>687</v>
      </c>
      <c r="C35" s="38">
        <v>114.36</v>
      </c>
      <c r="D35" s="38">
        <v>114.36</v>
      </c>
      <c r="E35" s="38">
        <v>114.36</v>
      </c>
      <c r="F35" s="38">
        <v>94.948778000000004</v>
      </c>
      <c r="G35" s="38">
        <v>97.52034399999998</v>
      </c>
      <c r="H35" s="38">
        <v>102.166586</v>
      </c>
      <c r="I35" s="38">
        <v>115.84967</v>
      </c>
      <c r="J35" s="38">
        <v>110.621706</v>
      </c>
      <c r="K35" s="38">
        <v>115.99826544161907</v>
      </c>
      <c r="L35" s="38">
        <v>120.63819605928383</v>
      </c>
      <c r="M35" s="38">
        <v>125.46372390165519</v>
      </c>
      <c r="N35" s="38">
        <v>91.588518448208291</v>
      </c>
      <c r="O35" s="38">
        <v>98.915599924064963</v>
      </c>
      <c r="P35" s="38">
        <v>115.10460982337811</v>
      </c>
      <c r="Q35" s="38">
        <v>118.08101882391567</v>
      </c>
      <c r="R35" s="39">
        <v>120</v>
      </c>
      <c r="S35" s="39">
        <v>125</v>
      </c>
      <c r="T35" s="39">
        <v>135</v>
      </c>
      <c r="U35" s="39">
        <v>115</v>
      </c>
      <c r="V35" s="39">
        <v>108</v>
      </c>
      <c r="W35" s="39">
        <v>113</v>
      </c>
      <c r="X35" s="39">
        <v>116</v>
      </c>
      <c r="Y35" s="39">
        <v>119</v>
      </c>
      <c r="Z35" s="39">
        <v>121</v>
      </c>
      <c r="AA35" s="39">
        <v>124</v>
      </c>
      <c r="AB35" s="39">
        <v>127</v>
      </c>
      <c r="AC35" s="39">
        <v>129</v>
      </c>
      <c r="AD35" s="39">
        <v>131</v>
      </c>
      <c r="AE35" s="39">
        <v>133</v>
      </c>
    </row>
    <row r="36" spans="1:53" x14ac:dyDescent="0.25">
      <c r="A36" s="37"/>
      <c r="B36" s="37" t="s">
        <v>688</v>
      </c>
      <c r="C36" s="38">
        <v>147.50101899999999</v>
      </c>
      <c r="D36" s="38">
        <v>147.50101899999999</v>
      </c>
      <c r="E36" s="38">
        <v>147.50101899999999</v>
      </c>
      <c r="F36" s="38">
        <v>156</v>
      </c>
      <c r="G36" s="38">
        <v>163</v>
      </c>
      <c r="H36" s="38">
        <v>150</v>
      </c>
      <c r="I36" s="38">
        <v>177</v>
      </c>
      <c r="J36" s="38">
        <v>165.63170600000001</v>
      </c>
      <c r="K36" s="38">
        <v>153.94826544161907</v>
      </c>
      <c r="L36" s="38">
        <v>149.24819605928383</v>
      </c>
      <c r="M36" s="38">
        <v>149.24372390165519</v>
      </c>
      <c r="N36" s="38">
        <v>116.67851844820828</v>
      </c>
      <c r="O36" s="38">
        <v>121.76574443406494</v>
      </c>
      <c r="P36" s="38">
        <v>134.49960982337811</v>
      </c>
      <c r="Q36" s="38">
        <v>134.87990262391565</v>
      </c>
      <c r="R36" s="39">
        <v>138.20716425710361</v>
      </c>
      <c r="S36" s="39">
        <v>140.54831762918488</v>
      </c>
      <c r="T36" s="39">
        <v>142.52537151325211</v>
      </c>
      <c r="U36" s="39">
        <v>143.33699921198837</v>
      </c>
      <c r="V36" s="39">
        <v>145.00011855243841</v>
      </c>
      <c r="W36" s="39">
        <v>146.72189410939382</v>
      </c>
      <c r="X36" s="39">
        <v>148.14351293952492</v>
      </c>
      <c r="Y36" s="39">
        <v>149.6242507758528</v>
      </c>
      <c r="Z36" s="39">
        <v>151.3117511608838</v>
      </c>
      <c r="AA36" s="39">
        <v>153.36736842443659</v>
      </c>
    </row>
    <row r="37" spans="1:53" x14ac:dyDescent="0.25">
      <c r="B37" s="37" t="s">
        <v>689</v>
      </c>
      <c r="C37">
        <f>'Intermediate calculations'!M27/1000</f>
        <v>98.52</v>
      </c>
      <c r="D37">
        <f>'Intermediate calculations'!N27/1000</f>
        <v>95.86</v>
      </c>
      <c r="E37">
        <f>'Intermediate calculations'!O27/1000</f>
        <v>96.34</v>
      </c>
      <c r="F37">
        <f>'Intermediate calculations'!P27/1000</f>
        <v>105.64</v>
      </c>
      <c r="G37">
        <f>'Intermediate calculations'!Q27/1000</f>
        <v>111.12</v>
      </c>
      <c r="H37">
        <f>'Intermediate calculations'!R27/1000</f>
        <v>124.52</v>
      </c>
      <c r="I37">
        <f>'Intermediate calculations'!S27/1000</f>
        <v>124.74</v>
      </c>
      <c r="J37">
        <f>'Intermediate calculations'!T27/1000</f>
        <v>148.52000000000001</v>
      </c>
      <c r="K37">
        <f>'Intermediate calculations'!U27/1000</f>
        <v>149.26</v>
      </c>
      <c r="L37">
        <f>'Intermediate calculations'!V27/1000</f>
        <v>151.30000000000001</v>
      </c>
      <c r="M37">
        <f>'Intermediate calculations'!W27/1000</f>
        <v>153.46</v>
      </c>
      <c r="N37">
        <f>'Intermediate calculations'!X27/1000</f>
        <v>139.5</v>
      </c>
      <c r="O37">
        <f>'Intermediate calculations'!Y27/1000</f>
        <v>152.72320077504648</v>
      </c>
      <c r="P37">
        <f>'Intermediate calculations'!Z27/1000</f>
        <v>154.16678029587433</v>
      </c>
      <c r="Q37">
        <f>'Intermediate calculations'!AA27/1000</f>
        <v>155.65520319300856</v>
      </c>
      <c r="R37">
        <f>'Intermediate calculations'!AB27/1000</f>
        <v>157.19187122948247</v>
      </c>
      <c r="S37">
        <f>'Intermediate calculations'!AC27/1000</f>
        <v>158.78117355320705</v>
      </c>
      <c r="T37">
        <f>'Intermediate calculations'!AD27/1000</f>
        <v>160.43277621489537</v>
      </c>
      <c r="U37">
        <f>'Intermediate calculations'!AE27/1000</f>
        <v>162.10816883472904</v>
      </c>
      <c r="V37">
        <f>'Intermediate calculations'!AF27/1000</f>
        <v>163.80999677383062</v>
      </c>
      <c r="W37">
        <f>'Intermediate calculations'!AG27/1000</f>
        <v>165.43675084643317</v>
      </c>
      <c r="X37">
        <f>'Intermediate calculations'!AH27/1000</f>
        <v>166.89536585922829</v>
      </c>
      <c r="Y37">
        <f>'Intermediate calculations'!AI27/1000</f>
        <v>168.27151711380162</v>
      </c>
      <c r="Z37">
        <f>'Intermediate calculations'!AJ27/1000</f>
        <v>169.56373364960558</v>
      </c>
      <c r="AA37">
        <f>'Intermediate calculations'!AK27/1000</f>
        <v>170.83476835591043</v>
      </c>
      <c r="AB37">
        <f>'Intermediate calculations'!AL27/1000</f>
        <v>172.08160662880417</v>
      </c>
      <c r="AC37">
        <f>'Intermediate calculations'!AM27/1000</f>
        <v>173.3073188354841</v>
      </c>
      <c r="AD37">
        <f>'Intermediate calculations'!AN27/1000</f>
        <v>174.5080902579042</v>
      </c>
      <c r="AE37">
        <f>'Intermediate calculations'!AO27/1000</f>
        <v>175.68344668729645</v>
      </c>
      <c r="AF37">
        <f>'Intermediate calculations'!AP27/1000</f>
        <v>176.84012981397373</v>
      </c>
      <c r="AG37">
        <f>'Intermediate calculations'!AQ27/1000</f>
        <v>177.97118703099414</v>
      </c>
      <c r="AH37">
        <f>'Intermediate calculations'!AR27/1000</f>
        <v>179.08825131628521</v>
      </c>
      <c r="AI37">
        <f>'Intermediate calculations'!AS27/1000</f>
        <v>180.18404017235528</v>
      </c>
      <c r="AJ37">
        <f>'Intermediate calculations'!AT27/1000</f>
        <v>181.25803554989008</v>
      </c>
      <c r="AK37">
        <f>'Intermediate calculations'!AU27/1000</f>
        <v>182.30942178846871</v>
      </c>
      <c r="AL37">
        <f>'Intermediate calculations'!AV27/1000</f>
        <v>183.34106289356683</v>
      </c>
      <c r="AM37">
        <f>'Intermediate calculations'!AW27/1000</f>
        <v>184.35236155819399</v>
      </c>
      <c r="AN37">
        <f>'Intermediate calculations'!AX27/1000</f>
        <v>185.34199370769653</v>
      </c>
      <c r="AO37">
        <f>'Intermediate calculations'!AY27/1000</f>
        <v>186.30747391776305</v>
      </c>
      <c r="AP37">
        <f>'Intermediate calculations'!AZ27/1000</f>
        <v>187.25268165161597</v>
      </c>
      <c r="AQ37">
        <f>'Intermediate calculations'!BA27/1000</f>
        <v>188.17820470070751</v>
      </c>
      <c r="AR37">
        <f>'Intermediate calculations'!BB27/1000</f>
        <v>189.08298664607909</v>
      </c>
      <c r="AS37">
        <f>'Intermediate calculations'!BC27/1000</f>
        <v>189.96633950006958</v>
      </c>
      <c r="AT37">
        <f>'Intermediate calculations'!BD27/1000</f>
        <v>190.82783074624467</v>
      </c>
      <c r="AU37">
        <f>'Intermediate calculations'!BE27/1000</f>
        <v>191.66708648280812</v>
      </c>
      <c r="AV37">
        <f>'Intermediate calculations'!BF27/1000</f>
        <v>192.48408732502608</v>
      </c>
      <c r="AW37">
        <f>'Intermediate calculations'!BG27/1000</f>
        <v>193.27268426533732</v>
      </c>
      <c r="AX37">
        <f>'Intermediate calculations'!BH27/1000</f>
        <v>194.0378443767444</v>
      </c>
      <c r="AY37">
        <f>'Intermediate calculations'!BI27/1000</f>
        <v>194.77956333339898</v>
      </c>
      <c r="AZ37">
        <f>'Intermediate calculations'!BJ27/1000</f>
        <v>195.49728263160267</v>
      </c>
      <c r="BA37">
        <f>'Intermediate calculations'!BK27/1000</f>
        <v>196.19195556910185</v>
      </c>
    </row>
    <row r="38" spans="1:53" x14ac:dyDescent="0.25">
      <c r="B38" s="37" t="s">
        <v>690</v>
      </c>
      <c r="C38">
        <f>'Intermediate calculations'!M19/1000</f>
        <v>153.22</v>
      </c>
      <c r="D38">
        <f>'Intermediate calculations'!N19/1000</f>
        <v>149.46</v>
      </c>
      <c r="E38">
        <f>'Intermediate calculations'!O19/1000</f>
        <v>137.24</v>
      </c>
      <c r="F38">
        <f>'Intermediate calculations'!P19/1000</f>
        <v>137.24</v>
      </c>
      <c r="G38">
        <f>'Intermediate calculations'!Q19/1000</f>
        <v>143.82</v>
      </c>
      <c r="H38">
        <f>'Intermediate calculations'!R19/1000</f>
        <v>157.91999999999999</v>
      </c>
      <c r="I38">
        <f>'Intermediate calculations'!S19/1000</f>
        <v>165.44</v>
      </c>
      <c r="J38">
        <f>'Intermediate calculations'!T19/1000</f>
        <v>190.82</v>
      </c>
      <c r="K38">
        <f>'Intermediate calculations'!U19/1000</f>
        <v>177.66</v>
      </c>
      <c r="L38">
        <f>'Intermediate calculations'!V19/1000</f>
        <v>169.2</v>
      </c>
      <c r="M38">
        <f>'Intermediate calculations'!W19/1000</f>
        <v>163.56</v>
      </c>
      <c r="N38">
        <f>'Intermediate calculations'!X19/1000</f>
        <v>145.69999999999999</v>
      </c>
      <c r="O38">
        <f>'Intermediate calculations'!Y19/1000</f>
        <v>168.48227488006123</v>
      </c>
      <c r="P38">
        <f>'Intermediate calculations'!Z19/1000</f>
        <v>171.01133776617129</v>
      </c>
      <c r="Q38">
        <f>'Intermediate calculations'!AA19/1000</f>
        <v>173.61896350044313</v>
      </c>
      <c r="R38">
        <f>'Intermediate calculations'!AB19/1000</f>
        <v>176.31111176331757</v>
      </c>
      <c r="S38">
        <f>'Intermediate calculations'!AC19/1000</f>
        <v>179.09547207305323</v>
      </c>
      <c r="T38">
        <f>'Intermediate calculations'!AD19/1000</f>
        <v>181.98897875835254</v>
      </c>
      <c r="U38">
        <f>'Intermediate calculations'!AE19/1000</f>
        <v>184.92416399293808</v>
      </c>
      <c r="V38">
        <f>'Intermediate calculations'!AF19/1000</f>
        <v>187.90566228744063</v>
      </c>
      <c r="W38">
        <f>'Intermediate calculations'!AG19/1000</f>
        <v>190.75563576689819</v>
      </c>
      <c r="X38">
        <f>'Intermediate calculations'!AH19/1000</f>
        <v>193.31103991385342</v>
      </c>
      <c r="Y38">
        <f>'Intermediate calculations'!AI19/1000</f>
        <v>195.72197260817379</v>
      </c>
      <c r="Z38">
        <f>'Intermediate calculations'!AJ19/1000</f>
        <v>197.98585681709181</v>
      </c>
      <c r="AA38">
        <f>'Intermediate calculations'!AK19/1000</f>
        <v>200.21263175833639</v>
      </c>
      <c r="AB38">
        <f>'Intermediate calculations'!AL19/1000</f>
        <v>202.39701603053004</v>
      </c>
      <c r="AC38">
        <f>'Intermediate calculations'!AM19/1000</f>
        <v>204.54438872891006</v>
      </c>
      <c r="AD38">
        <f>'Intermediate calculations'!AN19/1000</f>
        <v>206.64806670115141</v>
      </c>
      <c r="AE38">
        <f>'Intermediate calculations'!AO19/1000</f>
        <v>208.70721916254266</v>
      </c>
      <c r="AF38">
        <f>'Intermediate calculations'!AP19/1000</f>
        <v>210.73365714151299</v>
      </c>
      <c r="AG38">
        <f>'Intermediate calculations'!AQ19/1000</f>
        <v>212.71520009662004</v>
      </c>
      <c r="AH38">
        <f>'Intermediate calculations'!AR19/1000</f>
        <v>214.67222829255104</v>
      </c>
      <c r="AI38">
        <f>'Intermediate calculations'!AS19/1000</f>
        <v>216.59198323983</v>
      </c>
      <c r="AJ38">
        <f>'Intermediate calculations'!AT19/1000</f>
        <v>218.47355734779416</v>
      </c>
      <c r="AK38">
        <f>'Intermediate calculations'!AU19/1000</f>
        <v>220.31552162935395</v>
      </c>
      <c r="AL38">
        <f>'Intermediate calculations'!AV19/1000</f>
        <v>222.12289364665227</v>
      </c>
      <c r="AM38">
        <f>'Intermediate calculations'!AW19/1000</f>
        <v>223.89462695443325</v>
      </c>
      <c r="AN38">
        <f>'Intermediate calculations'!AX19/1000</f>
        <v>225.62840185501716</v>
      </c>
      <c r="AO38">
        <f>'Intermediate calculations'!AY19/1000</f>
        <v>227.31986403726859</v>
      </c>
      <c r="AP38">
        <f>'Intermediate calculations'!AZ19/1000</f>
        <v>228.97581008309552</v>
      </c>
      <c r="AQ38">
        <f>'Intermediate calculations'!BA19/1000</f>
        <v>230.59726976711386</v>
      </c>
      <c r="AR38">
        <f>'Intermediate calculations'!BB19/1000</f>
        <v>232.18239230802484</v>
      </c>
      <c r="AS38">
        <f>'Intermediate calculations'!BC19/1000</f>
        <v>233.7299723935927</v>
      </c>
      <c r="AT38">
        <f>'Intermediate calculations'!BD19/1000</f>
        <v>235.23925228152063</v>
      </c>
      <c r="AU38">
        <f>'Intermediate calculations'!BE19/1000</f>
        <v>236.70957691876703</v>
      </c>
      <c r="AV38">
        <f>'Intermediate calculations'!BF19/1000</f>
        <v>238.14091234446582</v>
      </c>
      <c r="AW38">
        <f>'Intermediate calculations'!BG19/1000</f>
        <v>239.52248587406075</v>
      </c>
      <c r="AX38">
        <f>'Intermediate calculations'!BH19/1000</f>
        <v>240.86299951516708</v>
      </c>
      <c r="AY38">
        <f>'Intermediate calculations'!BI19/1000</f>
        <v>242.16244568916352</v>
      </c>
      <c r="AZ38">
        <f>'Intermediate calculations'!BJ19/1000</f>
        <v>243.41984593178469</v>
      </c>
      <c r="BA38">
        <f>'Intermediate calculations'!BK19/1000</f>
        <v>244.63687036228279</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8"/>
  </sheetPr>
  <dimension ref="A1:AN232"/>
  <sheetViews>
    <sheetView workbookViewId="0">
      <selection activeCell="C8" sqref="C8"/>
    </sheetView>
  </sheetViews>
  <sheetFormatPr defaultRowHeight="15" x14ac:dyDescent="0.25"/>
  <cols>
    <col min="1" max="1" width="55.85546875" customWidth="1"/>
    <col min="2" max="2" width="12.85546875" customWidth="1"/>
    <col min="3" max="3" width="13.85546875" customWidth="1"/>
    <col min="4" max="6" width="12.7109375" customWidth="1"/>
    <col min="7" max="7" width="10.28515625" customWidth="1"/>
    <col min="8" max="26" width="12" bestFit="1" customWidth="1"/>
    <col min="27" max="27" width="10" bestFit="1" customWidth="1"/>
    <col min="28" max="31" width="12" bestFit="1" customWidth="1"/>
    <col min="32" max="32" width="10" bestFit="1" customWidth="1"/>
    <col min="33" max="36" width="12" bestFit="1" customWidth="1"/>
  </cols>
  <sheetData>
    <row r="1" spans="1:40" ht="18.75" x14ac:dyDescent="0.3">
      <c r="A1" s="1" t="s">
        <v>656</v>
      </c>
    </row>
    <row r="2" spans="1:40" x14ac:dyDescent="0.25">
      <c r="B2" s="85" t="s">
        <v>796</v>
      </c>
    </row>
    <row r="3" spans="1:40" s="19" customFormat="1" ht="29.25" customHeight="1" x14ac:dyDescent="0.25">
      <c r="A3" s="17"/>
      <c r="B3" s="17" t="s">
        <v>0</v>
      </c>
      <c r="C3" s="17">
        <v>2017</v>
      </c>
      <c r="D3" s="17">
        <v>2018</v>
      </c>
      <c r="E3" s="17">
        <v>2019</v>
      </c>
      <c r="F3" s="17">
        <v>2020</v>
      </c>
      <c r="G3" s="17">
        <v>2021</v>
      </c>
      <c r="H3" s="17">
        <v>2022</v>
      </c>
      <c r="I3" s="17">
        <v>2023</v>
      </c>
      <c r="J3" s="17">
        <v>2024</v>
      </c>
      <c r="K3" s="17">
        <v>2025</v>
      </c>
      <c r="L3" s="17">
        <v>2026</v>
      </c>
      <c r="M3" s="17">
        <v>2027</v>
      </c>
      <c r="N3" s="17">
        <v>2028</v>
      </c>
      <c r="O3" s="17">
        <v>2029</v>
      </c>
      <c r="P3" s="17">
        <v>2030</v>
      </c>
      <c r="Q3" s="17">
        <v>2031</v>
      </c>
      <c r="R3" s="17">
        <v>2032</v>
      </c>
      <c r="S3" s="17">
        <v>2033</v>
      </c>
      <c r="T3" s="17">
        <v>2034</v>
      </c>
      <c r="U3" s="17">
        <v>2035</v>
      </c>
      <c r="V3" s="17">
        <v>2036</v>
      </c>
      <c r="W3" s="17">
        <v>2037</v>
      </c>
      <c r="X3" s="17">
        <v>2038</v>
      </c>
      <c r="Y3" s="17">
        <v>2039</v>
      </c>
      <c r="Z3" s="17">
        <v>2040</v>
      </c>
      <c r="AA3" s="17">
        <v>2041</v>
      </c>
      <c r="AB3" s="17">
        <v>2042</v>
      </c>
      <c r="AC3" s="17">
        <v>2043</v>
      </c>
      <c r="AD3" s="17">
        <v>2044</v>
      </c>
      <c r="AE3" s="17">
        <v>2045</v>
      </c>
      <c r="AF3" s="17">
        <v>2046</v>
      </c>
      <c r="AG3" s="17">
        <v>2047</v>
      </c>
      <c r="AH3" s="17">
        <v>2048</v>
      </c>
      <c r="AI3" s="17">
        <v>2049</v>
      </c>
      <c r="AJ3" s="17">
        <v>2050</v>
      </c>
      <c r="AM3" s="18" t="s">
        <v>308</v>
      </c>
      <c r="AN3" s="17" t="s">
        <v>282</v>
      </c>
    </row>
    <row r="4" spans="1:40" s="52" customFormat="1" ht="15.75" x14ac:dyDescent="0.25">
      <c r="A4" s="51" t="s">
        <v>712</v>
      </c>
      <c r="B4" s="54" t="s">
        <v>711</v>
      </c>
      <c r="C4" s="51"/>
      <c r="D4" s="51"/>
      <c r="E4" s="51"/>
      <c r="F4" s="51"/>
      <c r="G4" s="51"/>
      <c r="H4" s="51"/>
      <c r="I4" s="51"/>
      <c r="J4" s="51"/>
      <c r="K4" s="51"/>
      <c r="L4" s="51"/>
      <c r="M4" s="51"/>
      <c r="N4" s="51"/>
      <c r="O4" s="51"/>
      <c r="P4" s="51"/>
      <c r="Q4" s="51"/>
      <c r="R4" s="51"/>
      <c r="S4" s="51"/>
      <c r="T4" s="51"/>
      <c r="U4" s="51"/>
      <c r="V4" s="51"/>
      <c r="W4" s="51"/>
      <c r="X4" s="51"/>
      <c r="Y4" s="51"/>
      <c r="Z4" s="51"/>
      <c r="AA4" s="51"/>
      <c r="AB4" s="51"/>
      <c r="AC4" s="51"/>
      <c r="AD4" s="51"/>
      <c r="AE4" s="51"/>
      <c r="AF4" s="51"/>
      <c r="AG4" s="51"/>
      <c r="AH4" s="51"/>
      <c r="AI4" s="51"/>
      <c r="AJ4" s="51"/>
    </row>
    <row r="5" spans="1:40" x14ac:dyDescent="0.25">
      <c r="A5" t="s">
        <v>662</v>
      </c>
      <c r="B5" t="s">
        <v>361</v>
      </c>
      <c r="C5" s="80"/>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row>
    <row r="6" spans="1:40" x14ac:dyDescent="0.25">
      <c r="A6" t="s">
        <v>384</v>
      </c>
      <c r="B6" t="s">
        <v>321</v>
      </c>
      <c r="C6" s="72"/>
      <c r="D6" s="72"/>
      <c r="E6" s="72"/>
      <c r="F6" s="72"/>
      <c r="G6" s="72"/>
      <c r="H6" s="72"/>
      <c r="I6" s="72"/>
      <c r="J6" s="72"/>
      <c r="K6" s="72"/>
      <c r="L6" s="72"/>
      <c r="M6" s="72"/>
      <c r="N6" s="72"/>
      <c r="O6" s="72"/>
      <c r="P6" s="72"/>
      <c r="Q6" s="72"/>
      <c r="R6" s="72"/>
      <c r="S6" s="72"/>
      <c r="T6" s="72"/>
      <c r="U6" s="72"/>
      <c r="V6" s="72"/>
      <c r="W6" s="72"/>
      <c r="X6" s="72"/>
      <c r="Y6" s="72"/>
      <c r="Z6" s="72"/>
      <c r="AA6" s="72"/>
      <c r="AB6" s="72"/>
      <c r="AC6" s="72"/>
      <c r="AD6" s="72"/>
      <c r="AE6" s="72"/>
      <c r="AF6" s="72"/>
      <c r="AG6" s="72"/>
      <c r="AH6" s="72"/>
      <c r="AI6" s="72"/>
      <c r="AJ6" s="72"/>
    </row>
    <row r="7" spans="1:40" x14ac:dyDescent="0.25">
      <c r="A7" t="s">
        <v>659</v>
      </c>
      <c r="B7" t="s">
        <v>321</v>
      </c>
      <c r="C7" s="72"/>
      <c r="D7" s="72"/>
      <c r="E7" s="72"/>
      <c r="F7" s="72"/>
      <c r="G7" s="72"/>
      <c r="H7" s="72"/>
      <c r="I7" s="72"/>
      <c r="J7" s="72"/>
      <c r="K7" s="72"/>
      <c r="L7" s="72"/>
      <c r="M7" s="72"/>
      <c r="N7" s="72"/>
      <c r="O7" s="72"/>
      <c r="P7" s="72"/>
      <c r="Q7" s="72"/>
      <c r="R7" s="72"/>
      <c r="S7" s="72"/>
      <c r="T7" s="72"/>
      <c r="U7" s="72"/>
      <c r="V7" s="72"/>
      <c r="W7" s="72"/>
      <c r="X7" s="72"/>
      <c r="Y7" s="72"/>
      <c r="Z7" s="72"/>
      <c r="AA7" s="72"/>
      <c r="AB7" s="72"/>
      <c r="AC7" s="72"/>
      <c r="AD7" s="72"/>
      <c r="AE7" s="72"/>
      <c r="AF7" s="72"/>
      <c r="AG7" s="72"/>
      <c r="AH7" s="72"/>
      <c r="AI7" s="72"/>
      <c r="AJ7" s="72"/>
    </row>
    <row r="8" spans="1:40" x14ac:dyDescent="0.25">
      <c r="A8" t="s">
        <v>660</v>
      </c>
      <c r="B8" t="s">
        <v>321</v>
      </c>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row>
    <row r="10" spans="1:40" s="52" customFormat="1" ht="15.75" x14ac:dyDescent="0.25">
      <c r="A10" s="51" t="s">
        <v>713</v>
      </c>
      <c r="B10" s="54" t="s">
        <v>778</v>
      </c>
      <c r="C10" s="51"/>
      <c r="D10" s="51"/>
      <c r="E10" s="51"/>
      <c r="F10" s="51"/>
      <c r="G10" s="51"/>
      <c r="H10" s="51"/>
      <c r="I10" s="51"/>
      <c r="J10" s="51"/>
      <c r="K10" s="51"/>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row>
    <row r="11" spans="1:40" s="76" customFormat="1" ht="15.75" x14ac:dyDescent="0.25">
      <c r="A11" s="74" t="s">
        <v>771</v>
      </c>
      <c r="B11" s="75" t="s">
        <v>779</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74"/>
      <c r="AJ11" s="74"/>
    </row>
    <row r="12" spans="1:40" x14ac:dyDescent="0.25">
      <c r="A12" s="77" t="s">
        <v>449</v>
      </c>
      <c r="B12" t="s">
        <v>305</v>
      </c>
      <c r="C12" s="25">
        <v>95</v>
      </c>
      <c r="D12" s="25">
        <v>95</v>
      </c>
      <c r="E12" s="25">
        <v>95</v>
      </c>
      <c r="F12" s="25">
        <v>95</v>
      </c>
      <c r="G12" s="25">
        <v>95</v>
      </c>
      <c r="H12" s="25">
        <v>95</v>
      </c>
      <c r="I12" s="25">
        <v>95</v>
      </c>
      <c r="J12" s="25">
        <v>95</v>
      </c>
      <c r="K12" s="25">
        <v>95</v>
      </c>
      <c r="L12" s="25">
        <v>95</v>
      </c>
      <c r="M12" s="25">
        <v>95</v>
      </c>
      <c r="N12" s="25">
        <v>95</v>
      </c>
      <c r="O12" s="25">
        <v>95</v>
      </c>
      <c r="P12" s="25">
        <v>95</v>
      </c>
      <c r="Q12" s="25">
        <v>95</v>
      </c>
      <c r="R12" s="25">
        <v>95</v>
      </c>
      <c r="S12" s="25">
        <v>95</v>
      </c>
      <c r="T12" s="25">
        <v>95</v>
      </c>
      <c r="U12" s="25">
        <v>95</v>
      </c>
      <c r="V12" s="25">
        <v>95</v>
      </c>
      <c r="W12" s="25">
        <v>95</v>
      </c>
      <c r="X12" s="25">
        <v>95</v>
      </c>
      <c r="Y12" s="25">
        <v>95</v>
      </c>
      <c r="Z12" s="25">
        <v>95</v>
      </c>
      <c r="AA12" s="25">
        <v>95</v>
      </c>
      <c r="AB12" s="25">
        <v>95</v>
      </c>
      <c r="AC12" s="25">
        <v>95</v>
      </c>
      <c r="AD12" s="25">
        <v>95</v>
      </c>
      <c r="AE12" s="25">
        <v>95</v>
      </c>
      <c r="AF12" s="25">
        <v>95</v>
      </c>
      <c r="AG12" s="25">
        <v>95</v>
      </c>
      <c r="AH12" s="25">
        <v>95</v>
      </c>
      <c r="AI12" s="25">
        <v>95</v>
      </c>
      <c r="AJ12" s="25">
        <v>95</v>
      </c>
    </row>
    <row r="13" spans="1:40" x14ac:dyDescent="0.25">
      <c r="A13" s="77" t="s">
        <v>450</v>
      </c>
      <c r="B13" t="s">
        <v>305</v>
      </c>
      <c r="C13" s="25">
        <v>0</v>
      </c>
      <c r="D13" s="25">
        <v>0</v>
      </c>
      <c r="E13" s="25">
        <v>0</v>
      </c>
      <c r="F13" s="25">
        <v>0</v>
      </c>
      <c r="G13" s="25">
        <v>0</v>
      </c>
      <c r="H13" s="25">
        <v>0</v>
      </c>
      <c r="I13" s="25">
        <v>0</v>
      </c>
      <c r="J13" s="25">
        <v>0</v>
      </c>
      <c r="K13" s="25">
        <v>0</v>
      </c>
      <c r="L13" s="25">
        <v>0</v>
      </c>
      <c r="M13" s="25">
        <v>0</v>
      </c>
      <c r="N13" s="25">
        <v>0</v>
      </c>
      <c r="O13" s="25">
        <v>0</v>
      </c>
      <c r="P13" s="25">
        <v>0</v>
      </c>
      <c r="Q13" s="25">
        <v>0</v>
      </c>
      <c r="R13" s="25">
        <v>0</v>
      </c>
      <c r="S13" s="25">
        <v>0</v>
      </c>
      <c r="T13" s="25">
        <v>0</v>
      </c>
      <c r="U13" s="25">
        <v>0</v>
      </c>
      <c r="V13" s="25">
        <v>0</v>
      </c>
      <c r="W13" s="25">
        <v>0</v>
      </c>
      <c r="X13" s="25">
        <v>0</v>
      </c>
      <c r="Y13" s="25">
        <v>0</v>
      </c>
      <c r="Z13" s="25">
        <v>0</v>
      </c>
      <c r="AA13" s="25">
        <v>0</v>
      </c>
      <c r="AB13" s="25">
        <v>0</v>
      </c>
      <c r="AC13" s="25">
        <v>0</v>
      </c>
      <c r="AD13" s="25">
        <v>0</v>
      </c>
      <c r="AE13" s="25">
        <v>0</v>
      </c>
      <c r="AF13" s="25">
        <v>0</v>
      </c>
      <c r="AG13" s="25">
        <v>0</v>
      </c>
      <c r="AH13" s="25">
        <v>0</v>
      </c>
      <c r="AI13" s="25">
        <v>0</v>
      </c>
      <c r="AJ13" s="25">
        <v>0</v>
      </c>
    </row>
    <row r="14" spans="1:40" x14ac:dyDescent="0.25">
      <c r="A14" s="77" t="s">
        <v>451</v>
      </c>
      <c r="B14" t="s">
        <v>305</v>
      </c>
      <c r="C14" s="25">
        <v>0</v>
      </c>
      <c r="D14" s="25">
        <v>0</v>
      </c>
      <c r="E14" s="25">
        <v>0</v>
      </c>
      <c r="F14" s="25">
        <v>0</v>
      </c>
      <c r="G14" s="25">
        <v>0</v>
      </c>
      <c r="H14" s="25">
        <v>0</v>
      </c>
      <c r="I14" s="25">
        <v>0</v>
      </c>
      <c r="J14" s="25">
        <v>0</v>
      </c>
      <c r="K14" s="25">
        <v>0</v>
      </c>
      <c r="L14" s="25">
        <v>0</v>
      </c>
      <c r="M14" s="25">
        <v>0</v>
      </c>
      <c r="N14" s="25">
        <v>0</v>
      </c>
      <c r="O14" s="25">
        <v>0</v>
      </c>
      <c r="P14" s="25">
        <v>0</v>
      </c>
      <c r="Q14" s="25">
        <v>0</v>
      </c>
      <c r="R14" s="25">
        <v>0</v>
      </c>
      <c r="S14" s="25">
        <v>0</v>
      </c>
      <c r="T14" s="25">
        <v>0</v>
      </c>
      <c r="U14" s="25">
        <v>0</v>
      </c>
      <c r="V14" s="25">
        <v>0</v>
      </c>
      <c r="W14" s="25">
        <v>0</v>
      </c>
      <c r="X14" s="25">
        <v>0</v>
      </c>
      <c r="Y14" s="25">
        <v>0</v>
      </c>
      <c r="Z14" s="25">
        <v>0</v>
      </c>
      <c r="AA14" s="25">
        <v>0</v>
      </c>
      <c r="AB14" s="25">
        <v>0</v>
      </c>
      <c r="AC14" s="25">
        <v>0</v>
      </c>
      <c r="AD14" s="25">
        <v>0</v>
      </c>
      <c r="AE14" s="25">
        <v>0</v>
      </c>
      <c r="AF14" s="25">
        <v>0</v>
      </c>
      <c r="AG14" s="25">
        <v>0</v>
      </c>
      <c r="AH14" s="25">
        <v>0</v>
      </c>
      <c r="AI14" s="25">
        <v>0</v>
      </c>
      <c r="AJ14" s="25">
        <v>0</v>
      </c>
    </row>
    <row r="15" spans="1:40" x14ac:dyDescent="0.25">
      <c r="A15" s="77" t="s">
        <v>452</v>
      </c>
      <c r="B15" t="s">
        <v>305</v>
      </c>
      <c r="C15" s="25">
        <v>0</v>
      </c>
      <c r="D15" s="25">
        <v>0</v>
      </c>
      <c r="E15" s="25">
        <v>0</v>
      </c>
      <c r="F15" s="25">
        <v>0</v>
      </c>
      <c r="G15" s="25">
        <v>0</v>
      </c>
      <c r="H15" s="25">
        <v>0</v>
      </c>
      <c r="I15" s="25">
        <v>0</v>
      </c>
      <c r="J15" s="25">
        <v>0</v>
      </c>
      <c r="K15" s="25">
        <v>0</v>
      </c>
      <c r="L15" s="25">
        <v>0</v>
      </c>
      <c r="M15" s="25">
        <v>0</v>
      </c>
      <c r="N15" s="25">
        <v>0</v>
      </c>
      <c r="O15" s="25">
        <v>0</v>
      </c>
      <c r="P15" s="25">
        <v>0</v>
      </c>
      <c r="Q15" s="25">
        <v>0</v>
      </c>
      <c r="R15" s="25">
        <v>0</v>
      </c>
      <c r="S15" s="25">
        <v>0</v>
      </c>
      <c r="T15" s="25">
        <v>0</v>
      </c>
      <c r="U15" s="25">
        <v>0</v>
      </c>
      <c r="V15" s="25">
        <v>0</v>
      </c>
      <c r="W15" s="25">
        <v>0</v>
      </c>
      <c r="X15" s="25">
        <v>0</v>
      </c>
      <c r="Y15" s="25">
        <v>0</v>
      </c>
      <c r="Z15" s="25">
        <v>0</v>
      </c>
      <c r="AA15" s="25">
        <v>0</v>
      </c>
      <c r="AB15" s="25">
        <v>0</v>
      </c>
      <c r="AC15" s="25">
        <v>0</v>
      </c>
      <c r="AD15" s="25">
        <v>0</v>
      </c>
      <c r="AE15" s="25">
        <v>0</v>
      </c>
      <c r="AF15" s="25">
        <v>0</v>
      </c>
      <c r="AG15" s="25">
        <v>0</v>
      </c>
      <c r="AH15" s="25">
        <v>0</v>
      </c>
      <c r="AI15" s="25">
        <v>0</v>
      </c>
      <c r="AJ15" s="25">
        <v>0</v>
      </c>
    </row>
    <row r="16" spans="1:40" x14ac:dyDescent="0.25">
      <c r="A16" s="77" t="s">
        <v>453</v>
      </c>
      <c r="B16" t="s">
        <v>305</v>
      </c>
      <c r="C16" s="25">
        <v>0</v>
      </c>
      <c r="D16" s="25">
        <v>0</v>
      </c>
      <c r="E16" s="25">
        <v>0</v>
      </c>
      <c r="F16" s="25">
        <v>0</v>
      </c>
      <c r="G16" s="25">
        <v>0</v>
      </c>
      <c r="H16" s="25">
        <v>0</v>
      </c>
      <c r="I16" s="25">
        <v>0</v>
      </c>
      <c r="J16" s="25">
        <v>0</v>
      </c>
      <c r="K16" s="25">
        <v>0</v>
      </c>
      <c r="L16" s="25">
        <v>0</v>
      </c>
      <c r="M16" s="25">
        <v>0</v>
      </c>
      <c r="N16" s="25">
        <v>0</v>
      </c>
      <c r="O16" s="25">
        <v>0</v>
      </c>
      <c r="P16" s="25">
        <v>0</v>
      </c>
      <c r="Q16" s="25">
        <v>0</v>
      </c>
      <c r="R16" s="25">
        <v>0</v>
      </c>
      <c r="S16" s="25">
        <v>0</v>
      </c>
      <c r="T16" s="25">
        <v>0</v>
      </c>
      <c r="U16" s="25">
        <v>0</v>
      </c>
      <c r="V16" s="25">
        <v>0</v>
      </c>
      <c r="W16" s="25">
        <v>0</v>
      </c>
      <c r="X16" s="25">
        <v>0</v>
      </c>
      <c r="Y16" s="25">
        <v>0</v>
      </c>
      <c r="Z16" s="25">
        <v>0</v>
      </c>
      <c r="AA16" s="25">
        <v>0</v>
      </c>
      <c r="AB16" s="25">
        <v>0</v>
      </c>
      <c r="AC16" s="25">
        <v>0</v>
      </c>
      <c r="AD16" s="25">
        <v>0</v>
      </c>
      <c r="AE16" s="25">
        <v>0</v>
      </c>
      <c r="AF16" s="25">
        <v>0</v>
      </c>
      <c r="AG16" s="25">
        <v>0</v>
      </c>
      <c r="AH16" s="25">
        <v>0</v>
      </c>
      <c r="AI16" s="25">
        <v>0</v>
      </c>
      <c r="AJ16" s="25">
        <v>0</v>
      </c>
    </row>
    <row r="17" spans="1:36" x14ac:dyDescent="0.25">
      <c r="A17" s="77" t="s">
        <v>454</v>
      </c>
      <c r="B17" t="s">
        <v>305</v>
      </c>
      <c r="C17" s="25">
        <v>0</v>
      </c>
      <c r="D17" s="25">
        <v>0</v>
      </c>
      <c r="E17" s="25">
        <v>0</v>
      </c>
      <c r="F17" s="25">
        <v>0</v>
      </c>
      <c r="G17" s="25">
        <v>0</v>
      </c>
      <c r="H17" s="25">
        <v>0</v>
      </c>
      <c r="I17" s="25">
        <v>0</v>
      </c>
      <c r="J17" s="25">
        <v>0</v>
      </c>
      <c r="K17" s="25">
        <v>0</v>
      </c>
      <c r="L17" s="25">
        <v>0</v>
      </c>
      <c r="M17" s="25">
        <v>0</v>
      </c>
      <c r="N17" s="25">
        <v>0</v>
      </c>
      <c r="O17" s="25">
        <v>0</v>
      </c>
      <c r="P17" s="25">
        <v>0</v>
      </c>
      <c r="Q17" s="25">
        <v>0</v>
      </c>
      <c r="R17" s="25">
        <v>0</v>
      </c>
      <c r="S17" s="25">
        <v>0</v>
      </c>
      <c r="T17" s="25">
        <v>0</v>
      </c>
      <c r="U17" s="25">
        <v>0</v>
      </c>
      <c r="V17" s="25">
        <v>0</v>
      </c>
      <c r="W17" s="25">
        <v>0</v>
      </c>
      <c r="X17" s="25">
        <v>0</v>
      </c>
      <c r="Y17" s="25">
        <v>0</v>
      </c>
      <c r="Z17" s="25">
        <v>0</v>
      </c>
      <c r="AA17" s="25">
        <v>0</v>
      </c>
      <c r="AB17" s="25">
        <v>0</v>
      </c>
      <c r="AC17" s="25">
        <v>0</v>
      </c>
      <c r="AD17" s="25">
        <v>0</v>
      </c>
      <c r="AE17" s="25">
        <v>0</v>
      </c>
      <c r="AF17" s="25">
        <v>0</v>
      </c>
      <c r="AG17" s="25">
        <v>0</v>
      </c>
      <c r="AH17" s="25">
        <v>0</v>
      </c>
      <c r="AI17" s="25">
        <v>0</v>
      </c>
      <c r="AJ17" s="25">
        <v>0</v>
      </c>
    </row>
    <row r="18" spans="1:36" x14ac:dyDescent="0.25">
      <c r="A18" s="77" t="s">
        <v>455</v>
      </c>
      <c r="B18" t="s">
        <v>305</v>
      </c>
      <c r="C18" s="25">
        <v>5</v>
      </c>
      <c r="D18" s="25">
        <v>5</v>
      </c>
      <c r="E18" s="25">
        <v>5</v>
      </c>
      <c r="F18" s="25">
        <v>5</v>
      </c>
      <c r="G18" s="25">
        <v>5</v>
      </c>
      <c r="H18" s="25">
        <v>5</v>
      </c>
      <c r="I18" s="25">
        <v>5</v>
      </c>
      <c r="J18" s="25">
        <v>5</v>
      </c>
      <c r="K18" s="25">
        <v>5</v>
      </c>
      <c r="L18" s="25">
        <v>5</v>
      </c>
      <c r="M18" s="25">
        <v>5</v>
      </c>
      <c r="N18" s="25">
        <v>5</v>
      </c>
      <c r="O18" s="25">
        <v>5</v>
      </c>
      <c r="P18" s="25">
        <v>5</v>
      </c>
      <c r="Q18" s="25">
        <v>5</v>
      </c>
      <c r="R18" s="25">
        <v>5</v>
      </c>
      <c r="S18" s="25">
        <v>5</v>
      </c>
      <c r="T18" s="25">
        <v>5</v>
      </c>
      <c r="U18" s="25">
        <v>5</v>
      </c>
      <c r="V18" s="25">
        <v>5</v>
      </c>
      <c r="W18" s="25">
        <v>5</v>
      </c>
      <c r="X18" s="25">
        <v>5</v>
      </c>
      <c r="Y18" s="25">
        <v>5</v>
      </c>
      <c r="Z18" s="25">
        <v>5</v>
      </c>
      <c r="AA18" s="25">
        <v>5</v>
      </c>
      <c r="AB18" s="25">
        <v>5</v>
      </c>
      <c r="AC18" s="25">
        <v>5</v>
      </c>
      <c r="AD18" s="25">
        <v>5</v>
      </c>
      <c r="AE18" s="25">
        <v>5</v>
      </c>
      <c r="AF18" s="25">
        <v>5</v>
      </c>
      <c r="AG18" s="25">
        <v>5</v>
      </c>
      <c r="AH18" s="25">
        <v>5</v>
      </c>
      <c r="AI18" s="25">
        <v>5</v>
      </c>
      <c r="AJ18" s="25">
        <v>5</v>
      </c>
    </row>
    <row r="19" spans="1:36" x14ac:dyDescent="0.25">
      <c r="A19" s="77" t="s">
        <v>456</v>
      </c>
      <c r="B19" t="s">
        <v>305</v>
      </c>
      <c r="C19" s="25">
        <v>0</v>
      </c>
      <c r="D19" s="25">
        <v>0</v>
      </c>
      <c r="E19" s="25">
        <v>0</v>
      </c>
      <c r="F19" s="25">
        <v>0</v>
      </c>
      <c r="G19" s="25">
        <v>0</v>
      </c>
      <c r="H19" s="25">
        <v>0</v>
      </c>
      <c r="I19" s="25">
        <v>0</v>
      </c>
      <c r="J19" s="25">
        <v>0</v>
      </c>
      <c r="K19" s="25">
        <v>0</v>
      </c>
      <c r="L19" s="25">
        <v>0</v>
      </c>
      <c r="M19" s="25">
        <v>0</v>
      </c>
      <c r="N19" s="25">
        <v>0</v>
      </c>
      <c r="O19" s="25">
        <v>0</v>
      </c>
      <c r="P19" s="25">
        <v>0</v>
      </c>
      <c r="Q19" s="25">
        <v>0</v>
      </c>
      <c r="R19" s="25">
        <v>0</v>
      </c>
      <c r="S19" s="25">
        <v>0</v>
      </c>
      <c r="T19" s="25">
        <v>0</v>
      </c>
      <c r="U19" s="25">
        <v>0</v>
      </c>
      <c r="V19" s="25">
        <v>0</v>
      </c>
      <c r="W19" s="25">
        <v>0</v>
      </c>
      <c r="X19" s="25">
        <v>0</v>
      </c>
      <c r="Y19" s="25">
        <v>0</v>
      </c>
      <c r="Z19" s="25">
        <v>0</v>
      </c>
      <c r="AA19" s="25">
        <v>0</v>
      </c>
      <c r="AB19" s="25">
        <v>0</v>
      </c>
      <c r="AC19" s="25">
        <v>0</v>
      </c>
      <c r="AD19" s="25">
        <v>0</v>
      </c>
      <c r="AE19" s="25">
        <v>0</v>
      </c>
      <c r="AF19" s="25">
        <v>0</v>
      </c>
      <c r="AG19" s="25">
        <v>0</v>
      </c>
      <c r="AH19" s="25">
        <v>0</v>
      </c>
      <c r="AI19" s="25">
        <v>0</v>
      </c>
      <c r="AJ19" s="25">
        <v>0</v>
      </c>
    </row>
    <row r="20" spans="1:36" x14ac:dyDescent="0.25">
      <c r="A20" s="77" t="s">
        <v>457</v>
      </c>
      <c r="B20" t="s">
        <v>305</v>
      </c>
      <c r="C20" s="25">
        <v>0</v>
      </c>
      <c r="D20" s="25">
        <v>0</v>
      </c>
      <c r="E20" s="25">
        <v>0</v>
      </c>
      <c r="F20" s="25">
        <v>0</v>
      </c>
      <c r="G20" s="25">
        <v>0</v>
      </c>
      <c r="H20" s="25">
        <v>0</v>
      </c>
      <c r="I20" s="25">
        <v>0</v>
      </c>
      <c r="J20" s="25">
        <v>0</v>
      </c>
      <c r="K20" s="25">
        <v>0</v>
      </c>
      <c r="L20" s="25">
        <v>0</v>
      </c>
      <c r="M20" s="25">
        <v>0</v>
      </c>
      <c r="N20" s="25">
        <v>0</v>
      </c>
      <c r="O20" s="25">
        <v>0</v>
      </c>
      <c r="P20" s="25">
        <v>0</v>
      </c>
      <c r="Q20" s="25">
        <v>0</v>
      </c>
      <c r="R20" s="25">
        <v>0</v>
      </c>
      <c r="S20" s="25">
        <v>0</v>
      </c>
      <c r="T20" s="25">
        <v>0</v>
      </c>
      <c r="U20" s="25">
        <v>0</v>
      </c>
      <c r="V20" s="25">
        <v>0</v>
      </c>
      <c r="W20" s="25">
        <v>0</v>
      </c>
      <c r="X20" s="25">
        <v>0</v>
      </c>
      <c r="Y20" s="25">
        <v>0</v>
      </c>
      <c r="Z20" s="25">
        <v>0</v>
      </c>
      <c r="AA20" s="25">
        <v>0</v>
      </c>
      <c r="AB20" s="25">
        <v>0</v>
      </c>
      <c r="AC20" s="25">
        <v>0</v>
      </c>
      <c r="AD20" s="25">
        <v>0</v>
      </c>
      <c r="AE20" s="25">
        <v>0</v>
      </c>
      <c r="AF20" s="25">
        <v>0</v>
      </c>
      <c r="AG20" s="25">
        <v>0</v>
      </c>
      <c r="AH20" s="25">
        <v>0</v>
      </c>
      <c r="AI20" s="25">
        <v>0</v>
      </c>
      <c r="AJ20" s="25">
        <v>0</v>
      </c>
    </row>
    <row r="21" spans="1:36" x14ac:dyDescent="0.25">
      <c r="A21" s="77" t="s">
        <v>458</v>
      </c>
      <c r="B21" t="s">
        <v>305</v>
      </c>
      <c r="C21" s="25">
        <v>0</v>
      </c>
      <c r="D21" s="25">
        <v>0</v>
      </c>
      <c r="E21" s="25">
        <v>0</v>
      </c>
      <c r="F21" s="25">
        <v>0</v>
      </c>
      <c r="G21" s="25">
        <v>0</v>
      </c>
      <c r="H21" s="25">
        <v>0</v>
      </c>
      <c r="I21" s="25">
        <v>0</v>
      </c>
      <c r="J21" s="25">
        <v>0</v>
      </c>
      <c r="K21" s="25">
        <v>0</v>
      </c>
      <c r="L21" s="25">
        <v>0</v>
      </c>
      <c r="M21" s="25">
        <v>0</v>
      </c>
      <c r="N21" s="25">
        <v>0</v>
      </c>
      <c r="O21" s="25">
        <v>0</v>
      </c>
      <c r="P21" s="25">
        <v>0</v>
      </c>
      <c r="Q21" s="25">
        <v>0</v>
      </c>
      <c r="R21" s="25">
        <v>0</v>
      </c>
      <c r="S21" s="25">
        <v>0</v>
      </c>
      <c r="T21" s="25">
        <v>0</v>
      </c>
      <c r="U21" s="25">
        <v>0</v>
      </c>
      <c r="V21" s="25">
        <v>0</v>
      </c>
      <c r="W21" s="25">
        <v>0</v>
      </c>
      <c r="X21" s="25">
        <v>0</v>
      </c>
      <c r="Y21" s="25">
        <v>0</v>
      </c>
      <c r="Z21" s="25">
        <v>0</v>
      </c>
      <c r="AA21" s="25">
        <v>0</v>
      </c>
      <c r="AB21" s="25">
        <v>0</v>
      </c>
      <c r="AC21" s="25">
        <v>0</v>
      </c>
      <c r="AD21" s="25">
        <v>0</v>
      </c>
      <c r="AE21" s="25">
        <v>0</v>
      </c>
      <c r="AF21" s="25">
        <v>0</v>
      </c>
      <c r="AG21" s="25">
        <v>0</v>
      </c>
      <c r="AH21" s="25">
        <v>0</v>
      </c>
      <c r="AI21" s="25">
        <v>0</v>
      </c>
      <c r="AJ21" s="25">
        <v>0</v>
      </c>
    </row>
    <row r="22" spans="1:36" x14ac:dyDescent="0.25">
      <c r="A22" s="77" t="s">
        <v>752</v>
      </c>
      <c r="B22" t="s">
        <v>305</v>
      </c>
      <c r="C22" s="25">
        <v>0</v>
      </c>
      <c r="D22" s="25">
        <v>0</v>
      </c>
      <c r="E22" s="25">
        <v>0</v>
      </c>
      <c r="F22" s="25">
        <v>0</v>
      </c>
      <c r="G22" s="25">
        <v>0</v>
      </c>
      <c r="H22" s="25">
        <v>0</v>
      </c>
      <c r="I22" s="25">
        <v>0</v>
      </c>
      <c r="J22" s="25">
        <v>0</v>
      </c>
      <c r="K22" s="25">
        <v>0</v>
      </c>
      <c r="L22" s="25">
        <v>0</v>
      </c>
      <c r="M22" s="25">
        <v>0</v>
      </c>
      <c r="N22" s="25">
        <v>0</v>
      </c>
      <c r="O22" s="25">
        <v>0</v>
      </c>
      <c r="P22" s="25">
        <v>0</v>
      </c>
      <c r="Q22" s="25">
        <v>0</v>
      </c>
      <c r="R22" s="25">
        <v>0</v>
      </c>
      <c r="S22" s="25">
        <v>0</v>
      </c>
      <c r="T22" s="25">
        <v>0</v>
      </c>
      <c r="U22" s="25">
        <v>0</v>
      </c>
      <c r="V22" s="25">
        <v>0</v>
      </c>
      <c r="W22" s="25">
        <v>0</v>
      </c>
      <c r="X22" s="25">
        <v>0</v>
      </c>
      <c r="Y22" s="25">
        <v>0</v>
      </c>
      <c r="Z22" s="25">
        <v>0</v>
      </c>
      <c r="AA22" s="25">
        <v>0</v>
      </c>
      <c r="AB22" s="25">
        <v>0</v>
      </c>
      <c r="AC22" s="25">
        <v>0</v>
      </c>
      <c r="AD22" s="25">
        <v>0</v>
      </c>
      <c r="AE22" s="25">
        <v>0</v>
      </c>
      <c r="AF22" s="25">
        <v>0</v>
      </c>
      <c r="AG22" s="25">
        <v>0</v>
      </c>
      <c r="AH22" s="25">
        <v>0</v>
      </c>
      <c r="AI22" s="25">
        <v>0</v>
      </c>
      <c r="AJ22" s="25">
        <v>0</v>
      </c>
    </row>
    <row r="23" spans="1:36" s="78" customFormat="1" x14ac:dyDescent="0.25">
      <c r="A23" s="78" t="s">
        <v>780</v>
      </c>
      <c r="C23" s="79">
        <f>+SUM(C12:C22)</f>
        <v>100</v>
      </c>
      <c r="D23" s="79">
        <f t="shared" ref="D23:AJ23" si="0">+SUM(D12:D22)</f>
        <v>100</v>
      </c>
      <c r="E23" s="79">
        <f t="shared" si="0"/>
        <v>100</v>
      </c>
      <c r="F23" s="79">
        <f t="shared" si="0"/>
        <v>100</v>
      </c>
      <c r="G23" s="79">
        <f t="shared" si="0"/>
        <v>100</v>
      </c>
      <c r="H23" s="79">
        <f t="shared" si="0"/>
        <v>100</v>
      </c>
      <c r="I23" s="79">
        <f t="shared" si="0"/>
        <v>100</v>
      </c>
      <c r="J23" s="79">
        <f t="shared" si="0"/>
        <v>100</v>
      </c>
      <c r="K23" s="79">
        <f t="shared" si="0"/>
        <v>100</v>
      </c>
      <c r="L23" s="79">
        <f t="shared" si="0"/>
        <v>100</v>
      </c>
      <c r="M23" s="79">
        <f t="shared" si="0"/>
        <v>100</v>
      </c>
      <c r="N23" s="79">
        <f t="shared" si="0"/>
        <v>100</v>
      </c>
      <c r="O23" s="79">
        <f t="shared" si="0"/>
        <v>100</v>
      </c>
      <c r="P23" s="79">
        <f t="shared" si="0"/>
        <v>100</v>
      </c>
      <c r="Q23" s="79">
        <f t="shared" si="0"/>
        <v>100</v>
      </c>
      <c r="R23" s="79">
        <f t="shared" si="0"/>
        <v>100</v>
      </c>
      <c r="S23" s="79">
        <f t="shared" si="0"/>
        <v>100</v>
      </c>
      <c r="T23" s="79">
        <f t="shared" si="0"/>
        <v>100</v>
      </c>
      <c r="U23" s="79">
        <f t="shared" si="0"/>
        <v>100</v>
      </c>
      <c r="V23" s="79">
        <f t="shared" si="0"/>
        <v>100</v>
      </c>
      <c r="W23" s="79">
        <f t="shared" si="0"/>
        <v>100</v>
      </c>
      <c r="X23" s="79">
        <f t="shared" si="0"/>
        <v>100</v>
      </c>
      <c r="Y23" s="79">
        <f t="shared" si="0"/>
        <v>100</v>
      </c>
      <c r="Z23" s="79">
        <f t="shared" si="0"/>
        <v>100</v>
      </c>
      <c r="AA23" s="79">
        <f t="shared" si="0"/>
        <v>100</v>
      </c>
      <c r="AB23" s="79">
        <f t="shared" si="0"/>
        <v>100</v>
      </c>
      <c r="AC23" s="79">
        <f t="shared" si="0"/>
        <v>100</v>
      </c>
      <c r="AD23" s="79">
        <f t="shared" si="0"/>
        <v>100</v>
      </c>
      <c r="AE23" s="79">
        <f t="shared" si="0"/>
        <v>100</v>
      </c>
      <c r="AF23" s="79">
        <f t="shared" si="0"/>
        <v>100</v>
      </c>
      <c r="AG23" s="79">
        <f t="shared" si="0"/>
        <v>100</v>
      </c>
      <c r="AH23" s="79">
        <f t="shared" si="0"/>
        <v>100</v>
      </c>
      <c r="AI23" s="79">
        <f t="shared" si="0"/>
        <v>100</v>
      </c>
      <c r="AJ23" s="79">
        <f t="shared" si="0"/>
        <v>100</v>
      </c>
    </row>
    <row r="24" spans="1:36" x14ac:dyDescent="0.25">
      <c r="A24" t="s">
        <v>459</v>
      </c>
      <c r="B24" t="s">
        <v>305</v>
      </c>
      <c r="C24" s="25">
        <v>11</v>
      </c>
      <c r="D24" s="25">
        <v>11</v>
      </c>
      <c r="E24" s="25">
        <v>11</v>
      </c>
      <c r="F24" s="25">
        <v>11</v>
      </c>
      <c r="G24" s="25">
        <v>11</v>
      </c>
      <c r="H24" s="25">
        <v>11</v>
      </c>
      <c r="I24" s="25">
        <v>11</v>
      </c>
      <c r="J24" s="25">
        <v>11</v>
      </c>
      <c r="K24" s="25">
        <v>11</v>
      </c>
      <c r="L24" s="25">
        <v>11</v>
      </c>
      <c r="M24" s="25">
        <v>11</v>
      </c>
      <c r="N24" s="25">
        <v>11</v>
      </c>
      <c r="O24" s="25">
        <v>11</v>
      </c>
      <c r="P24" s="25">
        <v>11</v>
      </c>
      <c r="Q24" s="25">
        <v>11</v>
      </c>
      <c r="R24" s="25">
        <v>11</v>
      </c>
      <c r="S24" s="25">
        <v>11</v>
      </c>
      <c r="T24" s="25">
        <v>11</v>
      </c>
      <c r="U24" s="25">
        <v>11</v>
      </c>
      <c r="V24" s="25">
        <v>11</v>
      </c>
      <c r="W24" s="25">
        <v>11</v>
      </c>
      <c r="X24" s="25">
        <v>11</v>
      </c>
      <c r="Y24" s="25">
        <v>11</v>
      </c>
      <c r="Z24" s="25">
        <v>11</v>
      </c>
      <c r="AA24" s="25">
        <v>11</v>
      </c>
      <c r="AB24" s="25">
        <v>11</v>
      </c>
      <c r="AC24" s="25">
        <v>11</v>
      </c>
      <c r="AD24" s="25">
        <v>11</v>
      </c>
      <c r="AE24" s="25">
        <v>11</v>
      </c>
      <c r="AF24" s="25">
        <v>11</v>
      </c>
      <c r="AG24" s="25">
        <v>11</v>
      </c>
      <c r="AH24" s="25">
        <v>11</v>
      </c>
      <c r="AI24" s="25">
        <v>11</v>
      </c>
      <c r="AJ24" s="25">
        <v>11</v>
      </c>
    </row>
    <row r="25" spans="1:36" x14ac:dyDescent="0.25">
      <c r="A25" t="s">
        <v>460</v>
      </c>
      <c r="B25" t="s">
        <v>305</v>
      </c>
      <c r="C25" s="25">
        <v>0</v>
      </c>
      <c r="D25" s="25">
        <v>0</v>
      </c>
      <c r="E25" s="25">
        <v>0</v>
      </c>
      <c r="F25" s="25">
        <v>0</v>
      </c>
      <c r="G25" s="25">
        <v>0</v>
      </c>
      <c r="H25" s="25">
        <v>0</v>
      </c>
      <c r="I25" s="25">
        <v>0</v>
      </c>
      <c r="J25" s="25">
        <v>0</v>
      </c>
      <c r="K25" s="25">
        <v>0</v>
      </c>
      <c r="L25" s="25">
        <v>0</v>
      </c>
      <c r="M25" s="25">
        <v>0</v>
      </c>
      <c r="N25" s="25">
        <v>0</v>
      </c>
      <c r="O25" s="25">
        <v>0</v>
      </c>
      <c r="P25" s="25">
        <v>0</v>
      </c>
      <c r="Q25" s="25">
        <v>0</v>
      </c>
      <c r="R25" s="25">
        <v>0</v>
      </c>
      <c r="S25" s="25">
        <v>0</v>
      </c>
      <c r="T25" s="25">
        <v>0</v>
      </c>
      <c r="U25" s="25">
        <v>0</v>
      </c>
      <c r="V25" s="25">
        <v>0</v>
      </c>
      <c r="W25" s="25">
        <v>0</v>
      </c>
      <c r="X25" s="25">
        <v>0</v>
      </c>
      <c r="Y25" s="25">
        <v>0</v>
      </c>
      <c r="Z25" s="25">
        <v>0</v>
      </c>
      <c r="AA25" s="25">
        <v>0</v>
      </c>
      <c r="AB25" s="25">
        <v>0</v>
      </c>
      <c r="AC25" s="25">
        <v>0</v>
      </c>
      <c r="AD25" s="25">
        <v>0</v>
      </c>
      <c r="AE25" s="25">
        <v>0</v>
      </c>
      <c r="AF25" s="25">
        <v>0</v>
      </c>
      <c r="AG25" s="25">
        <v>0</v>
      </c>
      <c r="AH25" s="25">
        <v>0</v>
      </c>
      <c r="AI25" s="25">
        <v>0</v>
      </c>
      <c r="AJ25" s="25">
        <v>0</v>
      </c>
    </row>
    <row r="26" spans="1:36" x14ac:dyDescent="0.25">
      <c r="A26" t="s">
        <v>461</v>
      </c>
      <c r="B26" t="s">
        <v>305</v>
      </c>
      <c r="C26" s="25">
        <v>8</v>
      </c>
      <c r="D26" s="25">
        <v>8</v>
      </c>
      <c r="E26" s="25">
        <v>8</v>
      </c>
      <c r="F26" s="25">
        <v>8</v>
      </c>
      <c r="G26" s="25">
        <v>8</v>
      </c>
      <c r="H26" s="25">
        <v>8</v>
      </c>
      <c r="I26" s="25">
        <v>8</v>
      </c>
      <c r="J26" s="25">
        <v>8</v>
      </c>
      <c r="K26" s="25">
        <v>8</v>
      </c>
      <c r="L26" s="25">
        <v>8</v>
      </c>
      <c r="M26" s="25">
        <v>8</v>
      </c>
      <c r="N26" s="25">
        <v>8</v>
      </c>
      <c r="O26" s="25">
        <v>8</v>
      </c>
      <c r="P26" s="25">
        <v>8</v>
      </c>
      <c r="Q26" s="25">
        <v>8</v>
      </c>
      <c r="R26" s="25">
        <v>8</v>
      </c>
      <c r="S26" s="25">
        <v>8</v>
      </c>
      <c r="T26" s="25">
        <v>8</v>
      </c>
      <c r="U26" s="25">
        <v>8</v>
      </c>
      <c r="V26" s="25">
        <v>8</v>
      </c>
      <c r="W26" s="25">
        <v>8</v>
      </c>
      <c r="X26" s="25">
        <v>8</v>
      </c>
      <c r="Y26" s="25">
        <v>8</v>
      </c>
      <c r="Z26" s="25">
        <v>8</v>
      </c>
      <c r="AA26" s="25">
        <v>8</v>
      </c>
      <c r="AB26" s="25">
        <v>8</v>
      </c>
      <c r="AC26" s="25">
        <v>8</v>
      </c>
      <c r="AD26" s="25">
        <v>8</v>
      </c>
      <c r="AE26" s="25">
        <v>8</v>
      </c>
      <c r="AF26" s="25">
        <v>8</v>
      </c>
      <c r="AG26" s="25">
        <v>8</v>
      </c>
      <c r="AH26" s="25">
        <v>8</v>
      </c>
      <c r="AI26" s="25">
        <v>8</v>
      </c>
      <c r="AJ26" s="25">
        <v>8</v>
      </c>
    </row>
    <row r="27" spans="1:36" x14ac:dyDescent="0.25">
      <c r="A27" t="s">
        <v>462</v>
      </c>
      <c r="B27" t="s">
        <v>305</v>
      </c>
      <c r="C27" s="25">
        <v>10</v>
      </c>
      <c r="D27" s="25">
        <v>10</v>
      </c>
      <c r="E27" s="25">
        <v>10</v>
      </c>
      <c r="F27" s="25">
        <v>10</v>
      </c>
      <c r="G27" s="25">
        <v>10</v>
      </c>
      <c r="H27" s="25">
        <v>10</v>
      </c>
      <c r="I27" s="25">
        <v>10</v>
      </c>
      <c r="J27" s="25">
        <v>10</v>
      </c>
      <c r="K27" s="25">
        <v>10</v>
      </c>
      <c r="L27" s="25">
        <v>10</v>
      </c>
      <c r="M27" s="25">
        <v>10</v>
      </c>
      <c r="N27" s="25">
        <v>10</v>
      </c>
      <c r="O27" s="25">
        <v>10</v>
      </c>
      <c r="P27" s="25">
        <v>10</v>
      </c>
      <c r="Q27" s="25">
        <v>10</v>
      </c>
      <c r="R27" s="25">
        <v>10</v>
      </c>
      <c r="S27" s="25">
        <v>10</v>
      </c>
      <c r="T27" s="25">
        <v>10</v>
      </c>
      <c r="U27" s="25">
        <v>10</v>
      </c>
      <c r="V27" s="25">
        <v>10</v>
      </c>
      <c r="W27" s="25">
        <v>10</v>
      </c>
      <c r="X27" s="25">
        <v>10</v>
      </c>
      <c r="Y27" s="25">
        <v>10</v>
      </c>
      <c r="Z27" s="25">
        <v>10</v>
      </c>
      <c r="AA27" s="25">
        <v>10</v>
      </c>
      <c r="AB27" s="25">
        <v>10</v>
      </c>
      <c r="AC27" s="25">
        <v>10</v>
      </c>
      <c r="AD27" s="25">
        <v>10</v>
      </c>
      <c r="AE27" s="25">
        <v>10</v>
      </c>
      <c r="AF27" s="25">
        <v>10</v>
      </c>
      <c r="AG27" s="25">
        <v>10</v>
      </c>
      <c r="AH27" s="25">
        <v>10</v>
      </c>
      <c r="AI27" s="25">
        <v>10</v>
      </c>
      <c r="AJ27" s="25">
        <v>10</v>
      </c>
    </row>
    <row r="28" spans="1:36" x14ac:dyDescent="0.25">
      <c r="A28" t="s">
        <v>463</v>
      </c>
      <c r="B28" t="s">
        <v>305</v>
      </c>
      <c r="C28" s="25">
        <v>3</v>
      </c>
      <c r="D28" s="25">
        <v>3</v>
      </c>
      <c r="E28" s="25">
        <v>3</v>
      </c>
      <c r="F28" s="25">
        <v>3</v>
      </c>
      <c r="G28" s="25">
        <v>3</v>
      </c>
      <c r="H28" s="25">
        <v>3</v>
      </c>
      <c r="I28" s="25">
        <v>3</v>
      </c>
      <c r="J28" s="25">
        <v>3</v>
      </c>
      <c r="K28" s="25">
        <v>3</v>
      </c>
      <c r="L28" s="25">
        <v>3</v>
      </c>
      <c r="M28" s="25">
        <v>3</v>
      </c>
      <c r="N28" s="25">
        <v>3</v>
      </c>
      <c r="O28" s="25">
        <v>3</v>
      </c>
      <c r="P28" s="25">
        <v>3</v>
      </c>
      <c r="Q28" s="25">
        <v>3</v>
      </c>
      <c r="R28" s="25">
        <v>3</v>
      </c>
      <c r="S28" s="25">
        <v>3</v>
      </c>
      <c r="T28" s="25">
        <v>3</v>
      </c>
      <c r="U28" s="25">
        <v>3</v>
      </c>
      <c r="V28" s="25">
        <v>3</v>
      </c>
      <c r="W28" s="25">
        <v>3</v>
      </c>
      <c r="X28" s="25">
        <v>3</v>
      </c>
      <c r="Y28" s="25">
        <v>3</v>
      </c>
      <c r="Z28" s="25">
        <v>3</v>
      </c>
      <c r="AA28" s="25">
        <v>3</v>
      </c>
      <c r="AB28" s="25">
        <v>3</v>
      </c>
      <c r="AC28" s="25">
        <v>3</v>
      </c>
      <c r="AD28" s="25">
        <v>3</v>
      </c>
      <c r="AE28" s="25">
        <v>3</v>
      </c>
      <c r="AF28" s="25">
        <v>3</v>
      </c>
      <c r="AG28" s="25">
        <v>3</v>
      </c>
      <c r="AH28" s="25">
        <v>3</v>
      </c>
      <c r="AI28" s="25">
        <v>3</v>
      </c>
      <c r="AJ28" s="25">
        <v>3</v>
      </c>
    </row>
    <row r="29" spans="1:36" x14ac:dyDescent="0.25">
      <c r="A29" t="s">
        <v>464</v>
      </c>
      <c r="B29" t="s">
        <v>305</v>
      </c>
      <c r="C29" s="25">
        <v>0</v>
      </c>
      <c r="D29" s="25">
        <v>0</v>
      </c>
      <c r="E29" s="25">
        <v>0</v>
      </c>
      <c r="F29" s="25">
        <v>0</v>
      </c>
      <c r="G29" s="25">
        <v>0</v>
      </c>
      <c r="H29" s="25">
        <v>0</v>
      </c>
      <c r="I29" s="25">
        <v>0</v>
      </c>
      <c r="J29" s="25">
        <v>0</v>
      </c>
      <c r="K29" s="25">
        <v>0</v>
      </c>
      <c r="L29" s="25">
        <v>0</v>
      </c>
      <c r="M29" s="25">
        <v>0</v>
      </c>
      <c r="N29" s="25">
        <v>0</v>
      </c>
      <c r="O29" s="25">
        <v>0</v>
      </c>
      <c r="P29" s="25">
        <v>0</v>
      </c>
      <c r="Q29" s="25">
        <v>0</v>
      </c>
      <c r="R29" s="25">
        <v>0</v>
      </c>
      <c r="S29" s="25">
        <v>0</v>
      </c>
      <c r="T29" s="25">
        <v>0</v>
      </c>
      <c r="U29" s="25">
        <v>0</v>
      </c>
      <c r="V29" s="25">
        <v>0</v>
      </c>
      <c r="W29" s="25">
        <v>0</v>
      </c>
      <c r="X29" s="25">
        <v>0</v>
      </c>
      <c r="Y29" s="25">
        <v>0</v>
      </c>
      <c r="Z29" s="25">
        <v>0</v>
      </c>
      <c r="AA29" s="25">
        <v>0</v>
      </c>
      <c r="AB29" s="25">
        <v>0</v>
      </c>
      <c r="AC29" s="25">
        <v>0</v>
      </c>
      <c r="AD29" s="25">
        <v>0</v>
      </c>
      <c r="AE29" s="25">
        <v>0</v>
      </c>
      <c r="AF29" s="25">
        <v>0</v>
      </c>
      <c r="AG29" s="25">
        <v>0</v>
      </c>
      <c r="AH29" s="25">
        <v>0</v>
      </c>
      <c r="AI29" s="25">
        <v>0</v>
      </c>
      <c r="AJ29" s="25">
        <v>0</v>
      </c>
    </row>
    <row r="30" spans="1:36" x14ac:dyDescent="0.25">
      <c r="A30" t="s">
        <v>465</v>
      </c>
      <c r="B30" t="s">
        <v>305</v>
      </c>
      <c r="C30" s="25">
        <v>8</v>
      </c>
      <c r="D30" s="25">
        <v>8</v>
      </c>
      <c r="E30" s="25">
        <v>8</v>
      </c>
      <c r="F30" s="25">
        <v>8</v>
      </c>
      <c r="G30" s="25">
        <v>8</v>
      </c>
      <c r="H30" s="25">
        <v>8</v>
      </c>
      <c r="I30" s="25">
        <v>8</v>
      </c>
      <c r="J30" s="25">
        <v>8</v>
      </c>
      <c r="K30" s="25">
        <v>8</v>
      </c>
      <c r="L30" s="25">
        <v>8</v>
      </c>
      <c r="M30" s="25">
        <v>8</v>
      </c>
      <c r="N30" s="25">
        <v>8</v>
      </c>
      <c r="O30" s="25">
        <v>8</v>
      </c>
      <c r="P30" s="25">
        <v>8</v>
      </c>
      <c r="Q30" s="25">
        <v>8</v>
      </c>
      <c r="R30" s="25">
        <v>8</v>
      </c>
      <c r="S30" s="25">
        <v>8</v>
      </c>
      <c r="T30" s="25">
        <v>8</v>
      </c>
      <c r="U30" s="25">
        <v>8</v>
      </c>
      <c r="V30" s="25">
        <v>8</v>
      </c>
      <c r="W30" s="25">
        <v>8</v>
      </c>
      <c r="X30" s="25">
        <v>8</v>
      </c>
      <c r="Y30" s="25">
        <v>8</v>
      </c>
      <c r="Z30" s="25">
        <v>8</v>
      </c>
      <c r="AA30" s="25">
        <v>8</v>
      </c>
      <c r="AB30" s="25">
        <v>8</v>
      </c>
      <c r="AC30" s="25">
        <v>8</v>
      </c>
      <c r="AD30" s="25">
        <v>8</v>
      </c>
      <c r="AE30" s="25">
        <v>8</v>
      </c>
      <c r="AF30" s="25">
        <v>8</v>
      </c>
      <c r="AG30" s="25">
        <v>8</v>
      </c>
      <c r="AH30" s="25">
        <v>8</v>
      </c>
      <c r="AI30" s="25">
        <v>8</v>
      </c>
      <c r="AJ30" s="25">
        <v>8</v>
      </c>
    </row>
    <row r="31" spans="1:36" x14ac:dyDescent="0.25">
      <c r="A31" t="s">
        <v>466</v>
      </c>
      <c r="B31" t="s">
        <v>305</v>
      </c>
      <c r="C31" s="25">
        <v>0</v>
      </c>
      <c r="D31" s="25">
        <v>0</v>
      </c>
      <c r="E31" s="25">
        <v>0</v>
      </c>
      <c r="F31" s="25">
        <v>0</v>
      </c>
      <c r="G31" s="25">
        <v>0</v>
      </c>
      <c r="H31" s="25">
        <v>0</v>
      </c>
      <c r="I31" s="25">
        <v>0</v>
      </c>
      <c r="J31" s="25">
        <v>0</v>
      </c>
      <c r="K31" s="25">
        <v>0</v>
      </c>
      <c r="L31" s="25">
        <v>0</v>
      </c>
      <c r="M31" s="25">
        <v>0</v>
      </c>
      <c r="N31" s="25">
        <v>0</v>
      </c>
      <c r="O31" s="25">
        <v>0</v>
      </c>
      <c r="P31" s="25">
        <v>0</v>
      </c>
      <c r="Q31" s="25">
        <v>0</v>
      </c>
      <c r="R31" s="25">
        <v>0</v>
      </c>
      <c r="S31" s="25">
        <v>0</v>
      </c>
      <c r="T31" s="25">
        <v>0</v>
      </c>
      <c r="U31" s="25">
        <v>0</v>
      </c>
      <c r="V31" s="25">
        <v>0</v>
      </c>
      <c r="W31" s="25">
        <v>0</v>
      </c>
      <c r="X31" s="25">
        <v>0</v>
      </c>
      <c r="Y31" s="25">
        <v>0</v>
      </c>
      <c r="Z31" s="25">
        <v>0</v>
      </c>
      <c r="AA31" s="25">
        <v>0</v>
      </c>
      <c r="AB31" s="25">
        <v>0</v>
      </c>
      <c r="AC31" s="25">
        <v>0</v>
      </c>
      <c r="AD31" s="25">
        <v>0</v>
      </c>
      <c r="AE31" s="25">
        <v>0</v>
      </c>
      <c r="AF31" s="25">
        <v>0</v>
      </c>
      <c r="AG31" s="25">
        <v>0</v>
      </c>
      <c r="AH31" s="25">
        <v>0</v>
      </c>
      <c r="AI31" s="25">
        <v>0</v>
      </c>
      <c r="AJ31" s="25">
        <v>0</v>
      </c>
    </row>
    <row r="32" spans="1:36" x14ac:dyDescent="0.25">
      <c r="A32" t="s">
        <v>467</v>
      </c>
      <c r="B32" t="s">
        <v>305</v>
      </c>
      <c r="C32" s="25">
        <v>0</v>
      </c>
      <c r="D32" s="25">
        <v>0</v>
      </c>
      <c r="E32" s="25">
        <v>0</v>
      </c>
      <c r="F32" s="25">
        <v>0</v>
      </c>
      <c r="G32" s="25">
        <v>0</v>
      </c>
      <c r="H32" s="25">
        <v>0</v>
      </c>
      <c r="I32" s="25">
        <v>0</v>
      </c>
      <c r="J32" s="25">
        <v>0</v>
      </c>
      <c r="K32" s="25">
        <v>0</v>
      </c>
      <c r="L32" s="25">
        <v>0</v>
      </c>
      <c r="M32" s="25">
        <v>0</v>
      </c>
      <c r="N32" s="25">
        <v>0</v>
      </c>
      <c r="O32" s="25">
        <v>0</v>
      </c>
      <c r="P32" s="25">
        <v>0</v>
      </c>
      <c r="Q32" s="25">
        <v>0</v>
      </c>
      <c r="R32" s="25">
        <v>0</v>
      </c>
      <c r="S32" s="25">
        <v>0</v>
      </c>
      <c r="T32" s="25">
        <v>0</v>
      </c>
      <c r="U32" s="25">
        <v>0</v>
      </c>
      <c r="V32" s="25">
        <v>0</v>
      </c>
      <c r="W32" s="25">
        <v>0</v>
      </c>
      <c r="X32" s="25">
        <v>0</v>
      </c>
      <c r="Y32" s="25">
        <v>0</v>
      </c>
      <c r="Z32" s="25">
        <v>0</v>
      </c>
      <c r="AA32" s="25">
        <v>0</v>
      </c>
      <c r="AB32" s="25">
        <v>0</v>
      </c>
      <c r="AC32" s="25">
        <v>0</v>
      </c>
      <c r="AD32" s="25">
        <v>0</v>
      </c>
      <c r="AE32" s="25">
        <v>0</v>
      </c>
      <c r="AF32" s="25">
        <v>0</v>
      </c>
      <c r="AG32" s="25">
        <v>0</v>
      </c>
      <c r="AH32" s="25">
        <v>0</v>
      </c>
      <c r="AI32" s="25">
        <v>0</v>
      </c>
      <c r="AJ32" s="25">
        <v>0</v>
      </c>
    </row>
    <row r="33" spans="1:36" x14ac:dyDescent="0.25">
      <c r="A33" t="s">
        <v>468</v>
      </c>
      <c r="B33" t="s">
        <v>305</v>
      </c>
      <c r="C33" s="25">
        <v>60</v>
      </c>
      <c r="D33" s="25">
        <v>60</v>
      </c>
      <c r="E33" s="25">
        <v>60</v>
      </c>
      <c r="F33" s="25">
        <v>60</v>
      </c>
      <c r="G33" s="25">
        <v>60</v>
      </c>
      <c r="H33" s="25">
        <v>60</v>
      </c>
      <c r="I33" s="25">
        <v>60</v>
      </c>
      <c r="J33" s="25">
        <v>60</v>
      </c>
      <c r="K33" s="25">
        <v>60</v>
      </c>
      <c r="L33" s="25">
        <v>60</v>
      </c>
      <c r="M33" s="25">
        <v>60</v>
      </c>
      <c r="N33" s="25">
        <v>60</v>
      </c>
      <c r="O33" s="25">
        <v>60</v>
      </c>
      <c r="P33" s="25">
        <v>60</v>
      </c>
      <c r="Q33" s="25">
        <v>60</v>
      </c>
      <c r="R33" s="25">
        <v>60</v>
      </c>
      <c r="S33" s="25">
        <v>60</v>
      </c>
      <c r="T33" s="25">
        <v>60</v>
      </c>
      <c r="U33" s="25">
        <v>60</v>
      </c>
      <c r="V33" s="25">
        <v>60</v>
      </c>
      <c r="W33" s="25">
        <v>60</v>
      </c>
      <c r="X33" s="25">
        <v>60</v>
      </c>
      <c r="Y33" s="25">
        <v>60</v>
      </c>
      <c r="Z33" s="25">
        <v>60</v>
      </c>
      <c r="AA33" s="25">
        <v>60</v>
      </c>
      <c r="AB33" s="25">
        <v>60</v>
      </c>
      <c r="AC33" s="25">
        <v>60</v>
      </c>
      <c r="AD33" s="25">
        <v>60</v>
      </c>
      <c r="AE33" s="25">
        <v>60</v>
      </c>
      <c r="AF33" s="25">
        <v>60</v>
      </c>
      <c r="AG33" s="25">
        <v>60</v>
      </c>
      <c r="AH33" s="25">
        <v>60</v>
      </c>
      <c r="AI33" s="25">
        <v>60</v>
      </c>
      <c r="AJ33" s="25">
        <v>60</v>
      </c>
    </row>
    <row r="34" spans="1:36" x14ac:dyDescent="0.25">
      <c r="A34" t="s">
        <v>753</v>
      </c>
      <c r="B34" t="s">
        <v>305</v>
      </c>
      <c r="C34" s="25">
        <v>0</v>
      </c>
      <c r="D34" s="25">
        <v>0</v>
      </c>
      <c r="E34" s="25">
        <v>0</v>
      </c>
      <c r="F34" s="25">
        <v>0</v>
      </c>
      <c r="G34" s="25">
        <v>0</v>
      </c>
      <c r="H34" s="25">
        <v>0</v>
      </c>
      <c r="I34" s="25">
        <v>0</v>
      </c>
      <c r="J34" s="25">
        <v>0</v>
      </c>
      <c r="K34" s="25">
        <v>0</v>
      </c>
      <c r="L34" s="25">
        <v>0</v>
      </c>
      <c r="M34" s="25">
        <v>0</v>
      </c>
      <c r="N34" s="25">
        <v>0</v>
      </c>
      <c r="O34" s="25">
        <v>0</v>
      </c>
      <c r="P34" s="25">
        <v>0</v>
      </c>
      <c r="Q34" s="25">
        <v>0</v>
      </c>
      <c r="R34" s="25">
        <v>0</v>
      </c>
      <c r="S34" s="25">
        <v>0</v>
      </c>
      <c r="T34" s="25">
        <v>0</v>
      </c>
      <c r="U34" s="25">
        <v>0</v>
      </c>
      <c r="V34" s="25">
        <v>0</v>
      </c>
      <c r="W34" s="25">
        <v>0</v>
      </c>
      <c r="X34" s="25">
        <v>0</v>
      </c>
      <c r="Y34" s="25">
        <v>0</v>
      </c>
      <c r="Z34" s="25">
        <v>0</v>
      </c>
      <c r="AA34" s="25">
        <v>0</v>
      </c>
      <c r="AB34" s="25">
        <v>0</v>
      </c>
      <c r="AC34" s="25">
        <v>0</v>
      </c>
      <c r="AD34" s="25">
        <v>0</v>
      </c>
      <c r="AE34" s="25">
        <v>0</v>
      </c>
      <c r="AF34" s="25">
        <v>0</v>
      </c>
      <c r="AG34" s="25">
        <v>0</v>
      </c>
      <c r="AH34" s="25">
        <v>0</v>
      </c>
      <c r="AI34" s="25">
        <v>0</v>
      </c>
      <c r="AJ34" s="25">
        <v>0</v>
      </c>
    </row>
    <row r="35" spans="1:36" s="78" customFormat="1" x14ac:dyDescent="0.25">
      <c r="A35" s="78" t="s">
        <v>780</v>
      </c>
      <c r="C35" s="79">
        <f>+SUM(C24:C34)</f>
        <v>100</v>
      </c>
      <c r="D35" s="79">
        <f t="shared" ref="D35" si="1">+SUM(D24:D34)</f>
        <v>100</v>
      </c>
      <c r="E35" s="79">
        <f t="shared" ref="E35" si="2">+SUM(E24:E34)</f>
        <v>100</v>
      </c>
      <c r="F35" s="79">
        <f t="shared" ref="F35" si="3">+SUM(F24:F34)</f>
        <v>100</v>
      </c>
      <c r="G35" s="79">
        <f t="shared" ref="G35" si="4">+SUM(G24:G34)</f>
        <v>100</v>
      </c>
      <c r="H35" s="79">
        <f t="shared" ref="H35" si="5">+SUM(H24:H34)</f>
        <v>100</v>
      </c>
      <c r="I35" s="79">
        <f t="shared" ref="I35" si="6">+SUM(I24:I34)</f>
        <v>100</v>
      </c>
      <c r="J35" s="79">
        <f t="shared" ref="J35" si="7">+SUM(J24:J34)</f>
        <v>100</v>
      </c>
      <c r="K35" s="79">
        <f t="shared" ref="K35" si="8">+SUM(K24:K34)</f>
        <v>100</v>
      </c>
      <c r="L35" s="79">
        <f t="shared" ref="L35" si="9">+SUM(L24:L34)</f>
        <v>100</v>
      </c>
      <c r="M35" s="79">
        <f t="shared" ref="M35" si="10">+SUM(M24:M34)</f>
        <v>100</v>
      </c>
      <c r="N35" s="79">
        <f t="shared" ref="N35" si="11">+SUM(N24:N34)</f>
        <v>100</v>
      </c>
      <c r="O35" s="79">
        <f t="shared" ref="O35" si="12">+SUM(O24:O34)</f>
        <v>100</v>
      </c>
      <c r="P35" s="79">
        <f t="shared" ref="P35" si="13">+SUM(P24:P34)</f>
        <v>100</v>
      </c>
      <c r="Q35" s="79">
        <f t="shared" ref="Q35" si="14">+SUM(Q24:Q34)</f>
        <v>100</v>
      </c>
      <c r="R35" s="79">
        <f t="shared" ref="R35" si="15">+SUM(R24:R34)</f>
        <v>100</v>
      </c>
      <c r="S35" s="79">
        <f t="shared" ref="S35" si="16">+SUM(S24:S34)</f>
        <v>100</v>
      </c>
      <c r="T35" s="79">
        <f t="shared" ref="T35" si="17">+SUM(T24:T34)</f>
        <v>100</v>
      </c>
      <c r="U35" s="79">
        <f t="shared" ref="U35" si="18">+SUM(U24:U34)</f>
        <v>100</v>
      </c>
      <c r="V35" s="79">
        <f t="shared" ref="V35" si="19">+SUM(V24:V34)</f>
        <v>100</v>
      </c>
      <c r="W35" s="79">
        <f t="shared" ref="W35" si="20">+SUM(W24:W34)</f>
        <v>100</v>
      </c>
      <c r="X35" s="79">
        <f t="shared" ref="X35" si="21">+SUM(X24:X34)</f>
        <v>100</v>
      </c>
      <c r="Y35" s="79">
        <f t="shared" ref="Y35" si="22">+SUM(Y24:Y34)</f>
        <v>100</v>
      </c>
      <c r="Z35" s="79">
        <f t="shared" ref="Z35" si="23">+SUM(Z24:Z34)</f>
        <v>100</v>
      </c>
      <c r="AA35" s="79">
        <f t="shared" ref="AA35" si="24">+SUM(AA24:AA34)</f>
        <v>100</v>
      </c>
      <c r="AB35" s="79">
        <f t="shared" ref="AB35" si="25">+SUM(AB24:AB34)</f>
        <v>100</v>
      </c>
      <c r="AC35" s="79">
        <f t="shared" ref="AC35" si="26">+SUM(AC24:AC34)</f>
        <v>100</v>
      </c>
      <c r="AD35" s="79">
        <f t="shared" ref="AD35" si="27">+SUM(AD24:AD34)</f>
        <v>100</v>
      </c>
      <c r="AE35" s="79">
        <f t="shared" ref="AE35" si="28">+SUM(AE24:AE34)</f>
        <v>100</v>
      </c>
      <c r="AF35" s="79">
        <f t="shared" ref="AF35" si="29">+SUM(AF24:AF34)</f>
        <v>100</v>
      </c>
      <c r="AG35" s="79">
        <f t="shared" ref="AG35" si="30">+SUM(AG24:AG34)</f>
        <v>100</v>
      </c>
      <c r="AH35" s="79">
        <f t="shared" ref="AH35" si="31">+SUM(AH24:AH34)</f>
        <v>100</v>
      </c>
      <c r="AI35" s="79">
        <f t="shared" ref="AI35" si="32">+SUM(AI24:AI34)</f>
        <v>100</v>
      </c>
      <c r="AJ35" s="79">
        <f t="shared" ref="AJ35" si="33">+SUM(AJ24:AJ34)</f>
        <v>100</v>
      </c>
    </row>
    <row r="36" spans="1:36" x14ac:dyDescent="0.25">
      <c r="A36" t="s">
        <v>469</v>
      </c>
      <c r="B36" t="s">
        <v>305</v>
      </c>
      <c r="C36" s="25">
        <v>0</v>
      </c>
      <c r="D36" s="25">
        <v>0</v>
      </c>
      <c r="E36" s="25">
        <v>0</v>
      </c>
      <c r="F36" s="25">
        <v>0</v>
      </c>
      <c r="G36" s="25">
        <v>0</v>
      </c>
      <c r="H36" s="25">
        <v>0</v>
      </c>
      <c r="I36" s="25">
        <v>0</v>
      </c>
      <c r="J36" s="25">
        <v>0</v>
      </c>
      <c r="K36" s="25">
        <v>0</v>
      </c>
      <c r="L36" s="25">
        <v>0</v>
      </c>
      <c r="M36" s="25">
        <v>0</v>
      </c>
      <c r="N36" s="25">
        <v>0</v>
      </c>
      <c r="O36" s="25">
        <v>0</v>
      </c>
      <c r="P36" s="25">
        <v>0</v>
      </c>
      <c r="Q36" s="25">
        <v>0</v>
      </c>
      <c r="R36" s="25">
        <v>0</v>
      </c>
      <c r="S36" s="25">
        <v>0</v>
      </c>
      <c r="T36" s="25">
        <v>0</v>
      </c>
      <c r="U36" s="25">
        <v>0</v>
      </c>
      <c r="V36" s="25">
        <v>0</v>
      </c>
      <c r="W36" s="25">
        <v>0</v>
      </c>
      <c r="X36" s="25">
        <v>0</v>
      </c>
      <c r="Y36" s="25">
        <v>0</v>
      </c>
      <c r="Z36" s="25">
        <v>0</v>
      </c>
      <c r="AA36" s="25">
        <v>0</v>
      </c>
      <c r="AB36" s="25">
        <v>0</v>
      </c>
      <c r="AC36" s="25">
        <v>0</v>
      </c>
      <c r="AD36" s="25">
        <v>0</v>
      </c>
      <c r="AE36" s="25">
        <v>0</v>
      </c>
      <c r="AF36" s="25">
        <v>0</v>
      </c>
      <c r="AG36" s="25">
        <v>0</v>
      </c>
      <c r="AH36" s="25">
        <v>0</v>
      </c>
      <c r="AI36" s="25">
        <v>0</v>
      </c>
      <c r="AJ36" s="25">
        <v>0</v>
      </c>
    </row>
    <row r="37" spans="1:36" x14ac:dyDescent="0.25">
      <c r="A37" t="s">
        <v>470</v>
      </c>
      <c r="B37" t="s">
        <v>305</v>
      </c>
      <c r="C37" s="25">
        <v>0</v>
      </c>
      <c r="D37" s="25">
        <v>0</v>
      </c>
      <c r="E37" s="25">
        <v>0</v>
      </c>
      <c r="F37" s="25">
        <v>0</v>
      </c>
      <c r="G37" s="25">
        <v>0</v>
      </c>
      <c r="H37" s="25">
        <v>0</v>
      </c>
      <c r="I37" s="25">
        <v>0</v>
      </c>
      <c r="J37" s="25">
        <v>0</v>
      </c>
      <c r="K37" s="25">
        <v>0</v>
      </c>
      <c r="L37" s="25">
        <v>0</v>
      </c>
      <c r="M37" s="25">
        <v>0</v>
      </c>
      <c r="N37" s="25">
        <v>0</v>
      </c>
      <c r="O37" s="25">
        <v>0</v>
      </c>
      <c r="P37" s="25">
        <v>0</v>
      </c>
      <c r="Q37" s="25">
        <v>0</v>
      </c>
      <c r="R37" s="25">
        <v>0</v>
      </c>
      <c r="S37" s="25">
        <v>0</v>
      </c>
      <c r="T37" s="25">
        <v>0</v>
      </c>
      <c r="U37" s="25">
        <v>0</v>
      </c>
      <c r="V37" s="25">
        <v>0</v>
      </c>
      <c r="W37" s="25">
        <v>0</v>
      </c>
      <c r="X37" s="25">
        <v>0</v>
      </c>
      <c r="Y37" s="25">
        <v>0</v>
      </c>
      <c r="Z37" s="25">
        <v>0</v>
      </c>
      <c r="AA37" s="25">
        <v>0</v>
      </c>
      <c r="AB37" s="25">
        <v>0</v>
      </c>
      <c r="AC37" s="25">
        <v>0</v>
      </c>
      <c r="AD37" s="25">
        <v>0</v>
      </c>
      <c r="AE37" s="25">
        <v>0</v>
      </c>
      <c r="AF37" s="25">
        <v>0</v>
      </c>
      <c r="AG37" s="25">
        <v>0</v>
      </c>
      <c r="AH37" s="25">
        <v>0</v>
      </c>
      <c r="AI37" s="25">
        <v>0</v>
      </c>
      <c r="AJ37" s="25">
        <v>0</v>
      </c>
    </row>
    <row r="38" spans="1:36" x14ac:dyDescent="0.25">
      <c r="A38" t="s">
        <v>471</v>
      </c>
      <c r="B38" t="s">
        <v>305</v>
      </c>
      <c r="C38" s="25">
        <v>0</v>
      </c>
      <c r="D38" s="25">
        <v>0</v>
      </c>
      <c r="E38" s="25">
        <v>0</v>
      </c>
      <c r="F38" s="25">
        <v>0</v>
      </c>
      <c r="G38" s="25">
        <v>0</v>
      </c>
      <c r="H38" s="25">
        <v>0</v>
      </c>
      <c r="I38" s="25">
        <v>0</v>
      </c>
      <c r="J38" s="25">
        <v>0</v>
      </c>
      <c r="K38" s="25">
        <v>0</v>
      </c>
      <c r="L38" s="25">
        <v>0</v>
      </c>
      <c r="M38" s="25">
        <v>0</v>
      </c>
      <c r="N38" s="25">
        <v>0</v>
      </c>
      <c r="O38" s="25">
        <v>0</v>
      </c>
      <c r="P38" s="25">
        <v>0</v>
      </c>
      <c r="Q38" s="25">
        <v>0</v>
      </c>
      <c r="R38" s="25">
        <v>0</v>
      </c>
      <c r="S38" s="25">
        <v>0</v>
      </c>
      <c r="T38" s="25">
        <v>0</v>
      </c>
      <c r="U38" s="25">
        <v>0</v>
      </c>
      <c r="V38" s="25">
        <v>0</v>
      </c>
      <c r="W38" s="25">
        <v>0</v>
      </c>
      <c r="X38" s="25">
        <v>0</v>
      </c>
      <c r="Y38" s="25">
        <v>0</v>
      </c>
      <c r="Z38" s="25">
        <v>0</v>
      </c>
      <c r="AA38" s="25">
        <v>0</v>
      </c>
      <c r="AB38" s="25">
        <v>0</v>
      </c>
      <c r="AC38" s="25">
        <v>0</v>
      </c>
      <c r="AD38" s="25">
        <v>0</v>
      </c>
      <c r="AE38" s="25">
        <v>0</v>
      </c>
      <c r="AF38" s="25">
        <v>0</v>
      </c>
      <c r="AG38" s="25">
        <v>0</v>
      </c>
      <c r="AH38" s="25">
        <v>0</v>
      </c>
      <c r="AI38" s="25">
        <v>0</v>
      </c>
      <c r="AJ38" s="25">
        <v>0</v>
      </c>
    </row>
    <row r="39" spans="1:36" x14ac:dyDescent="0.25">
      <c r="A39" t="s">
        <v>472</v>
      </c>
      <c r="B39" t="s">
        <v>305</v>
      </c>
      <c r="C39" s="25">
        <v>2</v>
      </c>
      <c r="D39" s="25">
        <v>2</v>
      </c>
      <c r="E39" s="25">
        <v>2</v>
      </c>
      <c r="F39" s="25">
        <v>2</v>
      </c>
      <c r="G39" s="25">
        <v>2</v>
      </c>
      <c r="H39" s="25">
        <v>2</v>
      </c>
      <c r="I39" s="25">
        <v>2</v>
      </c>
      <c r="J39" s="25">
        <v>2</v>
      </c>
      <c r="K39" s="25">
        <v>2</v>
      </c>
      <c r="L39" s="25">
        <v>2</v>
      </c>
      <c r="M39" s="25">
        <v>2</v>
      </c>
      <c r="N39" s="25">
        <v>2</v>
      </c>
      <c r="O39" s="25">
        <v>2</v>
      </c>
      <c r="P39" s="25">
        <v>2</v>
      </c>
      <c r="Q39" s="25">
        <v>2</v>
      </c>
      <c r="R39" s="25">
        <v>2</v>
      </c>
      <c r="S39" s="25">
        <v>2</v>
      </c>
      <c r="T39" s="25">
        <v>2</v>
      </c>
      <c r="U39" s="25">
        <v>2</v>
      </c>
      <c r="V39" s="25">
        <v>2</v>
      </c>
      <c r="W39" s="25">
        <v>2</v>
      </c>
      <c r="X39" s="25">
        <v>2</v>
      </c>
      <c r="Y39" s="25">
        <v>2</v>
      </c>
      <c r="Z39" s="25">
        <v>2</v>
      </c>
      <c r="AA39" s="25">
        <v>2</v>
      </c>
      <c r="AB39" s="25">
        <v>2</v>
      </c>
      <c r="AC39" s="25">
        <v>2</v>
      </c>
      <c r="AD39" s="25">
        <v>2</v>
      </c>
      <c r="AE39" s="25">
        <v>2</v>
      </c>
      <c r="AF39" s="25">
        <v>2</v>
      </c>
      <c r="AG39" s="25">
        <v>2</v>
      </c>
      <c r="AH39" s="25">
        <v>2</v>
      </c>
      <c r="AI39" s="25">
        <v>2</v>
      </c>
      <c r="AJ39" s="25">
        <v>2</v>
      </c>
    </row>
    <row r="40" spans="1:36" x14ac:dyDescent="0.25">
      <c r="A40" t="s">
        <v>473</v>
      </c>
      <c r="B40" t="s">
        <v>305</v>
      </c>
      <c r="C40" s="25">
        <v>1</v>
      </c>
      <c r="D40" s="25">
        <v>1</v>
      </c>
      <c r="E40" s="25">
        <v>1</v>
      </c>
      <c r="F40" s="25">
        <v>1</v>
      </c>
      <c r="G40" s="25">
        <v>1</v>
      </c>
      <c r="H40" s="25">
        <v>1</v>
      </c>
      <c r="I40" s="25">
        <v>1</v>
      </c>
      <c r="J40" s="25">
        <v>1</v>
      </c>
      <c r="K40" s="25">
        <v>1</v>
      </c>
      <c r="L40" s="25">
        <v>1</v>
      </c>
      <c r="M40" s="25">
        <v>1</v>
      </c>
      <c r="N40" s="25">
        <v>1</v>
      </c>
      <c r="O40" s="25">
        <v>1</v>
      </c>
      <c r="P40" s="25">
        <v>1</v>
      </c>
      <c r="Q40" s="25">
        <v>1</v>
      </c>
      <c r="R40" s="25">
        <v>1</v>
      </c>
      <c r="S40" s="25">
        <v>1</v>
      </c>
      <c r="T40" s="25">
        <v>1</v>
      </c>
      <c r="U40" s="25">
        <v>1</v>
      </c>
      <c r="V40" s="25">
        <v>1</v>
      </c>
      <c r="W40" s="25">
        <v>1</v>
      </c>
      <c r="X40" s="25">
        <v>1</v>
      </c>
      <c r="Y40" s="25">
        <v>1</v>
      </c>
      <c r="Z40" s="25">
        <v>1</v>
      </c>
      <c r="AA40" s="25">
        <v>1</v>
      </c>
      <c r="AB40" s="25">
        <v>1</v>
      </c>
      <c r="AC40" s="25">
        <v>1</v>
      </c>
      <c r="AD40" s="25">
        <v>1</v>
      </c>
      <c r="AE40" s="25">
        <v>1</v>
      </c>
      <c r="AF40" s="25">
        <v>1</v>
      </c>
      <c r="AG40" s="25">
        <v>1</v>
      </c>
      <c r="AH40" s="25">
        <v>1</v>
      </c>
      <c r="AI40" s="25">
        <v>1</v>
      </c>
      <c r="AJ40" s="25">
        <v>1</v>
      </c>
    </row>
    <row r="41" spans="1:36" x14ac:dyDescent="0.25">
      <c r="A41" t="s">
        <v>474</v>
      </c>
      <c r="B41" t="s">
        <v>305</v>
      </c>
      <c r="C41" s="25">
        <v>0</v>
      </c>
      <c r="D41" s="25">
        <v>0</v>
      </c>
      <c r="E41" s="25">
        <v>0</v>
      </c>
      <c r="F41" s="25">
        <v>0</v>
      </c>
      <c r="G41" s="25">
        <v>0</v>
      </c>
      <c r="H41" s="25">
        <v>0</v>
      </c>
      <c r="I41" s="25">
        <v>0</v>
      </c>
      <c r="J41" s="25">
        <v>0</v>
      </c>
      <c r="K41" s="25">
        <v>0</v>
      </c>
      <c r="L41" s="25">
        <v>0</v>
      </c>
      <c r="M41" s="25">
        <v>0</v>
      </c>
      <c r="N41" s="25">
        <v>0</v>
      </c>
      <c r="O41" s="25">
        <v>0</v>
      </c>
      <c r="P41" s="25">
        <v>0</v>
      </c>
      <c r="Q41" s="25">
        <v>0</v>
      </c>
      <c r="R41" s="25">
        <v>0</v>
      </c>
      <c r="S41" s="25">
        <v>0</v>
      </c>
      <c r="T41" s="25">
        <v>0</v>
      </c>
      <c r="U41" s="25">
        <v>0</v>
      </c>
      <c r="V41" s="25">
        <v>0</v>
      </c>
      <c r="W41" s="25">
        <v>0</v>
      </c>
      <c r="X41" s="25">
        <v>0</v>
      </c>
      <c r="Y41" s="25">
        <v>0</v>
      </c>
      <c r="Z41" s="25">
        <v>0</v>
      </c>
      <c r="AA41" s="25">
        <v>0</v>
      </c>
      <c r="AB41" s="25">
        <v>0</v>
      </c>
      <c r="AC41" s="25">
        <v>0</v>
      </c>
      <c r="AD41" s="25">
        <v>0</v>
      </c>
      <c r="AE41" s="25">
        <v>0</v>
      </c>
      <c r="AF41" s="25">
        <v>0</v>
      </c>
      <c r="AG41" s="25">
        <v>0</v>
      </c>
      <c r="AH41" s="25">
        <v>0</v>
      </c>
      <c r="AI41" s="25">
        <v>0</v>
      </c>
      <c r="AJ41" s="25">
        <v>0</v>
      </c>
    </row>
    <row r="42" spans="1:36" x14ac:dyDescent="0.25">
      <c r="A42" t="s">
        <v>475</v>
      </c>
      <c r="B42" t="s">
        <v>305</v>
      </c>
      <c r="C42" s="25">
        <v>2</v>
      </c>
      <c r="D42" s="25">
        <v>2</v>
      </c>
      <c r="E42" s="25">
        <v>2</v>
      </c>
      <c r="F42" s="25">
        <v>2</v>
      </c>
      <c r="G42" s="25">
        <v>2</v>
      </c>
      <c r="H42" s="25">
        <v>2</v>
      </c>
      <c r="I42" s="25">
        <v>2</v>
      </c>
      <c r="J42" s="25">
        <v>2</v>
      </c>
      <c r="K42" s="25">
        <v>2</v>
      </c>
      <c r="L42" s="25">
        <v>2</v>
      </c>
      <c r="M42" s="25">
        <v>2</v>
      </c>
      <c r="N42" s="25">
        <v>2</v>
      </c>
      <c r="O42" s="25">
        <v>2</v>
      </c>
      <c r="P42" s="25">
        <v>2</v>
      </c>
      <c r="Q42" s="25">
        <v>2</v>
      </c>
      <c r="R42" s="25">
        <v>2</v>
      </c>
      <c r="S42" s="25">
        <v>2</v>
      </c>
      <c r="T42" s="25">
        <v>2</v>
      </c>
      <c r="U42" s="25">
        <v>2</v>
      </c>
      <c r="V42" s="25">
        <v>2</v>
      </c>
      <c r="W42" s="25">
        <v>2</v>
      </c>
      <c r="X42" s="25">
        <v>2</v>
      </c>
      <c r="Y42" s="25">
        <v>2</v>
      </c>
      <c r="Z42" s="25">
        <v>2</v>
      </c>
      <c r="AA42" s="25">
        <v>2</v>
      </c>
      <c r="AB42" s="25">
        <v>2</v>
      </c>
      <c r="AC42" s="25">
        <v>2</v>
      </c>
      <c r="AD42" s="25">
        <v>2</v>
      </c>
      <c r="AE42" s="25">
        <v>2</v>
      </c>
      <c r="AF42" s="25">
        <v>2</v>
      </c>
      <c r="AG42" s="25">
        <v>2</v>
      </c>
      <c r="AH42" s="25">
        <v>2</v>
      </c>
      <c r="AI42" s="25">
        <v>2</v>
      </c>
      <c r="AJ42" s="25">
        <v>2</v>
      </c>
    </row>
    <row r="43" spans="1:36" x14ac:dyDescent="0.25">
      <c r="A43" t="s">
        <v>476</v>
      </c>
      <c r="B43" t="s">
        <v>305</v>
      </c>
      <c r="C43" s="25">
        <v>0</v>
      </c>
      <c r="D43" s="25">
        <v>0</v>
      </c>
      <c r="E43" s="25">
        <v>0</v>
      </c>
      <c r="F43" s="25">
        <v>0</v>
      </c>
      <c r="G43" s="25">
        <v>0</v>
      </c>
      <c r="H43" s="25">
        <v>0</v>
      </c>
      <c r="I43" s="25">
        <v>0</v>
      </c>
      <c r="J43" s="25">
        <v>0</v>
      </c>
      <c r="K43" s="25">
        <v>0</v>
      </c>
      <c r="L43" s="25">
        <v>0</v>
      </c>
      <c r="M43" s="25">
        <v>0</v>
      </c>
      <c r="N43" s="25">
        <v>0</v>
      </c>
      <c r="O43" s="25">
        <v>0</v>
      </c>
      <c r="P43" s="25">
        <v>0</v>
      </c>
      <c r="Q43" s="25">
        <v>0</v>
      </c>
      <c r="R43" s="25">
        <v>0</v>
      </c>
      <c r="S43" s="25">
        <v>0</v>
      </c>
      <c r="T43" s="25">
        <v>0</v>
      </c>
      <c r="U43" s="25">
        <v>0</v>
      </c>
      <c r="V43" s="25">
        <v>0</v>
      </c>
      <c r="W43" s="25">
        <v>0</v>
      </c>
      <c r="X43" s="25">
        <v>0</v>
      </c>
      <c r="Y43" s="25">
        <v>0</v>
      </c>
      <c r="Z43" s="25">
        <v>0</v>
      </c>
      <c r="AA43" s="25">
        <v>0</v>
      </c>
      <c r="AB43" s="25">
        <v>0</v>
      </c>
      <c r="AC43" s="25">
        <v>0</v>
      </c>
      <c r="AD43" s="25">
        <v>0</v>
      </c>
      <c r="AE43" s="25">
        <v>0</v>
      </c>
      <c r="AF43" s="25">
        <v>0</v>
      </c>
      <c r="AG43" s="25">
        <v>0</v>
      </c>
      <c r="AH43" s="25">
        <v>0</v>
      </c>
      <c r="AI43" s="25">
        <v>0</v>
      </c>
      <c r="AJ43" s="25">
        <v>0</v>
      </c>
    </row>
    <row r="44" spans="1:36" x14ac:dyDescent="0.25">
      <c r="A44" t="s">
        <v>477</v>
      </c>
      <c r="B44" t="s">
        <v>305</v>
      </c>
      <c r="C44" s="25">
        <v>0</v>
      </c>
      <c r="D44" s="25">
        <v>0</v>
      </c>
      <c r="E44" s="25">
        <v>0</v>
      </c>
      <c r="F44" s="25">
        <v>0</v>
      </c>
      <c r="G44" s="25">
        <v>0</v>
      </c>
      <c r="H44" s="25">
        <v>0</v>
      </c>
      <c r="I44" s="25">
        <v>0</v>
      </c>
      <c r="J44" s="25">
        <v>0</v>
      </c>
      <c r="K44" s="25">
        <v>0</v>
      </c>
      <c r="L44" s="25">
        <v>0</v>
      </c>
      <c r="M44" s="25">
        <v>0</v>
      </c>
      <c r="N44" s="25">
        <v>0</v>
      </c>
      <c r="O44" s="25">
        <v>0</v>
      </c>
      <c r="P44" s="25">
        <v>0</v>
      </c>
      <c r="Q44" s="25">
        <v>0</v>
      </c>
      <c r="R44" s="25">
        <v>0</v>
      </c>
      <c r="S44" s="25">
        <v>0</v>
      </c>
      <c r="T44" s="25">
        <v>0</v>
      </c>
      <c r="U44" s="25">
        <v>0</v>
      </c>
      <c r="V44" s="25">
        <v>0</v>
      </c>
      <c r="W44" s="25">
        <v>0</v>
      </c>
      <c r="X44" s="25">
        <v>0</v>
      </c>
      <c r="Y44" s="25">
        <v>0</v>
      </c>
      <c r="Z44" s="25">
        <v>0</v>
      </c>
      <c r="AA44" s="25">
        <v>0</v>
      </c>
      <c r="AB44" s="25">
        <v>0</v>
      </c>
      <c r="AC44" s="25">
        <v>0</v>
      </c>
      <c r="AD44" s="25">
        <v>0</v>
      </c>
      <c r="AE44" s="25">
        <v>0</v>
      </c>
      <c r="AF44" s="25">
        <v>0</v>
      </c>
      <c r="AG44" s="25">
        <v>0</v>
      </c>
      <c r="AH44" s="25">
        <v>0</v>
      </c>
      <c r="AI44" s="25">
        <v>0</v>
      </c>
      <c r="AJ44" s="25">
        <v>0</v>
      </c>
    </row>
    <row r="45" spans="1:36" x14ac:dyDescent="0.25">
      <c r="A45" t="s">
        <v>478</v>
      </c>
      <c r="B45" t="s">
        <v>305</v>
      </c>
      <c r="C45" s="25">
        <v>95</v>
      </c>
      <c r="D45" s="25">
        <v>95</v>
      </c>
      <c r="E45" s="25">
        <v>95</v>
      </c>
      <c r="F45" s="25">
        <v>95</v>
      </c>
      <c r="G45" s="25">
        <v>95</v>
      </c>
      <c r="H45" s="25">
        <v>95</v>
      </c>
      <c r="I45" s="25">
        <v>95</v>
      </c>
      <c r="J45" s="25">
        <v>95</v>
      </c>
      <c r="K45" s="25">
        <v>95</v>
      </c>
      <c r="L45" s="25">
        <v>95</v>
      </c>
      <c r="M45" s="25">
        <v>95</v>
      </c>
      <c r="N45" s="25">
        <v>95</v>
      </c>
      <c r="O45" s="25">
        <v>95</v>
      </c>
      <c r="P45" s="25">
        <v>95</v>
      </c>
      <c r="Q45" s="25">
        <v>95</v>
      </c>
      <c r="R45" s="25">
        <v>95</v>
      </c>
      <c r="S45" s="25">
        <v>95</v>
      </c>
      <c r="T45" s="25">
        <v>95</v>
      </c>
      <c r="U45" s="25">
        <v>95</v>
      </c>
      <c r="V45" s="25">
        <v>95</v>
      </c>
      <c r="W45" s="25">
        <v>95</v>
      </c>
      <c r="X45" s="25">
        <v>95</v>
      </c>
      <c r="Y45" s="25">
        <v>95</v>
      </c>
      <c r="Z45" s="25">
        <v>95</v>
      </c>
      <c r="AA45" s="25">
        <v>95</v>
      </c>
      <c r="AB45" s="25">
        <v>95</v>
      </c>
      <c r="AC45" s="25">
        <v>95</v>
      </c>
      <c r="AD45" s="25">
        <v>95</v>
      </c>
      <c r="AE45" s="25">
        <v>95</v>
      </c>
      <c r="AF45" s="25">
        <v>95</v>
      </c>
      <c r="AG45" s="25">
        <v>95</v>
      </c>
      <c r="AH45" s="25">
        <v>95</v>
      </c>
      <c r="AI45" s="25">
        <v>95</v>
      </c>
      <c r="AJ45" s="25">
        <v>95</v>
      </c>
    </row>
    <row r="46" spans="1:36" x14ac:dyDescent="0.25">
      <c r="A46" t="s">
        <v>754</v>
      </c>
      <c r="B46" t="s">
        <v>305</v>
      </c>
      <c r="C46" s="25">
        <v>0</v>
      </c>
      <c r="D46" s="25">
        <v>0</v>
      </c>
      <c r="E46" s="25">
        <v>0</v>
      </c>
      <c r="F46" s="25">
        <v>0</v>
      </c>
      <c r="G46" s="25">
        <v>0</v>
      </c>
      <c r="H46" s="25">
        <v>0</v>
      </c>
      <c r="I46" s="25">
        <v>0</v>
      </c>
      <c r="J46" s="25">
        <v>0</v>
      </c>
      <c r="K46" s="25">
        <v>0</v>
      </c>
      <c r="L46" s="25">
        <v>0</v>
      </c>
      <c r="M46" s="25">
        <v>0</v>
      </c>
      <c r="N46" s="25">
        <v>0</v>
      </c>
      <c r="O46" s="25">
        <v>0</v>
      </c>
      <c r="P46" s="25">
        <v>0</v>
      </c>
      <c r="Q46" s="25">
        <v>0</v>
      </c>
      <c r="R46" s="25">
        <v>0</v>
      </c>
      <c r="S46" s="25">
        <v>0</v>
      </c>
      <c r="T46" s="25">
        <v>0</v>
      </c>
      <c r="U46" s="25">
        <v>0</v>
      </c>
      <c r="V46" s="25">
        <v>0</v>
      </c>
      <c r="W46" s="25">
        <v>0</v>
      </c>
      <c r="X46" s="25">
        <v>0</v>
      </c>
      <c r="Y46" s="25">
        <v>0</v>
      </c>
      <c r="Z46" s="25">
        <v>0</v>
      </c>
      <c r="AA46" s="25">
        <v>0</v>
      </c>
      <c r="AB46" s="25">
        <v>0</v>
      </c>
      <c r="AC46" s="25">
        <v>0</v>
      </c>
      <c r="AD46" s="25">
        <v>0</v>
      </c>
      <c r="AE46" s="25">
        <v>0</v>
      </c>
      <c r="AF46" s="25">
        <v>0</v>
      </c>
      <c r="AG46" s="25">
        <v>0</v>
      </c>
      <c r="AH46" s="25">
        <v>0</v>
      </c>
      <c r="AI46" s="25">
        <v>0</v>
      </c>
      <c r="AJ46" s="25">
        <v>0</v>
      </c>
    </row>
    <row r="47" spans="1:36" s="78" customFormat="1" x14ac:dyDescent="0.25">
      <c r="A47" s="78" t="s">
        <v>780</v>
      </c>
      <c r="C47" s="79">
        <f>+SUM(C36:C46)</f>
        <v>100</v>
      </c>
      <c r="D47" s="79">
        <f t="shared" ref="D47" si="34">+SUM(D36:D46)</f>
        <v>100</v>
      </c>
      <c r="E47" s="79">
        <f t="shared" ref="E47" si="35">+SUM(E36:E46)</f>
        <v>100</v>
      </c>
      <c r="F47" s="79">
        <f t="shared" ref="F47" si="36">+SUM(F36:F46)</f>
        <v>100</v>
      </c>
      <c r="G47" s="79">
        <f t="shared" ref="G47" si="37">+SUM(G36:G46)</f>
        <v>100</v>
      </c>
      <c r="H47" s="79">
        <f t="shared" ref="H47" si="38">+SUM(H36:H46)</f>
        <v>100</v>
      </c>
      <c r="I47" s="79">
        <f t="shared" ref="I47" si="39">+SUM(I36:I46)</f>
        <v>100</v>
      </c>
      <c r="J47" s="79">
        <f t="shared" ref="J47" si="40">+SUM(J36:J46)</f>
        <v>100</v>
      </c>
      <c r="K47" s="79">
        <f t="shared" ref="K47" si="41">+SUM(K36:K46)</f>
        <v>100</v>
      </c>
      <c r="L47" s="79">
        <f t="shared" ref="L47" si="42">+SUM(L36:L46)</f>
        <v>100</v>
      </c>
      <c r="M47" s="79">
        <f t="shared" ref="M47" si="43">+SUM(M36:M46)</f>
        <v>100</v>
      </c>
      <c r="N47" s="79">
        <f t="shared" ref="N47" si="44">+SUM(N36:N46)</f>
        <v>100</v>
      </c>
      <c r="O47" s="79">
        <f t="shared" ref="O47" si="45">+SUM(O36:O46)</f>
        <v>100</v>
      </c>
      <c r="P47" s="79">
        <f t="shared" ref="P47" si="46">+SUM(P36:P46)</f>
        <v>100</v>
      </c>
      <c r="Q47" s="79">
        <f t="shared" ref="Q47" si="47">+SUM(Q36:Q46)</f>
        <v>100</v>
      </c>
      <c r="R47" s="79">
        <f t="shared" ref="R47" si="48">+SUM(R36:R46)</f>
        <v>100</v>
      </c>
      <c r="S47" s="79">
        <f t="shared" ref="S47" si="49">+SUM(S36:S46)</f>
        <v>100</v>
      </c>
      <c r="T47" s="79">
        <f t="shared" ref="T47" si="50">+SUM(T36:T46)</f>
        <v>100</v>
      </c>
      <c r="U47" s="79">
        <f t="shared" ref="U47" si="51">+SUM(U36:U46)</f>
        <v>100</v>
      </c>
      <c r="V47" s="79">
        <f t="shared" ref="V47" si="52">+SUM(V36:V46)</f>
        <v>100</v>
      </c>
      <c r="W47" s="79">
        <f t="shared" ref="W47" si="53">+SUM(W36:W46)</f>
        <v>100</v>
      </c>
      <c r="X47" s="79">
        <f t="shared" ref="X47" si="54">+SUM(X36:X46)</f>
        <v>100</v>
      </c>
      <c r="Y47" s="79">
        <f t="shared" ref="Y47" si="55">+SUM(Y36:Y46)</f>
        <v>100</v>
      </c>
      <c r="Z47" s="79">
        <f t="shared" ref="Z47" si="56">+SUM(Z36:Z46)</f>
        <v>100</v>
      </c>
      <c r="AA47" s="79">
        <f t="shared" ref="AA47" si="57">+SUM(AA36:AA46)</f>
        <v>100</v>
      </c>
      <c r="AB47" s="79">
        <f t="shared" ref="AB47" si="58">+SUM(AB36:AB46)</f>
        <v>100</v>
      </c>
      <c r="AC47" s="79">
        <f t="shared" ref="AC47" si="59">+SUM(AC36:AC46)</f>
        <v>100</v>
      </c>
      <c r="AD47" s="79">
        <f t="shared" ref="AD47" si="60">+SUM(AD36:AD46)</f>
        <v>100</v>
      </c>
      <c r="AE47" s="79">
        <f t="shared" ref="AE47" si="61">+SUM(AE36:AE46)</f>
        <v>100</v>
      </c>
      <c r="AF47" s="79">
        <f t="shared" ref="AF47" si="62">+SUM(AF36:AF46)</f>
        <v>100</v>
      </c>
      <c r="AG47" s="79">
        <f t="shared" ref="AG47" si="63">+SUM(AG36:AG46)</f>
        <v>100</v>
      </c>
      <c r="AH47" s="79">
        <f t="shared" ref="AH47" si="64">+SUM(AH36:AH46)</f>
        <v>100</v>
      </c>
      <c r="AI47" s="79">
        <f t="shared" ref="AI47" si="65">+SUM(AI36:AI46)</f>
        <v>100</v>
      </c>
      <c r="AJ47" s="79">
        <f t="shared" ref="AJ47" si="66">+SUM(AJ36:AJ46)</f>
        <v>100</v>
      </c>
    </row>
    <row r="48" spans="1:36" s="76" customFormat="1" ht="15.75" x14ac:dyDescent="0.25">
      <c r="A48" s="74" t="s">
        <v>772</v>
      </c>
      <c r="B48" s="75"/>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c r="AJ48" s="74"/>
    </row>
    <row r="49" spans="1:36" x14ac:dyDescent="0.25">
      <c r="A49" t="s">
        <v>479</v>
      </c>
      <c r="B49" t="s">
        <v>305</v>
      </c>
      <c r="C49" s="25">
        <v>0</v>
      </c>
      <c r="D49" s="25">
        <v>0</v>
      </c>
      <c r="E49" s="25">
        <v>0</v>
      </c>
      <c r="F49" s="25">
        <v>0</v>
      </c>
      <c r="G49" s="25">
        <v>0</v>
      </c>
      <c r="H49" s="25">
        <v>0</v>
      </c>
      <c r="I49" s="25">
        <v>0</v>
      </c>
      <c r="J49" s="25">
        <v>0</v>
      </c>
      <c r="K49" s="25">
        <v>0</v>
      </c>
      <c r="L49" s="25">
        <v>0</v>
      </c>
      <c r="M49" s="25">
        <v>0</v>
      </c>
      <c r="N49" s="25">
        <v>0</v>
      </c>
      <c r="O49" s="25">
        <v>0</v>
      </c>
      <c r="P49" s="25">
        <v>0</v>
      </c>
      <c r="Q49" s="25">
        <v>0</v>
      </c>
      <c r="R49" s="25">
        <v>0</v>
      </c>
      <c r="S49" s="25">
        <v>0</v>
      </c>
      <c r="T49" s="25">
        <v>0</v>
      </c>
      <c r="U49" s="25">
        <v>0</v>
      </c>
      <c r="V49" s="25">
        <v>0</v>
      </c>
      <c r="W49" s="25">
        <v>0</v>
      </c>
      <c r="X49" s="25">
        <v>0</v>
      </c>
      <c r="Y49" s="25">
        <v>0</v>
      </c>
      <c r="Z49" s="25">
        <v>0</v>
      </c>
      <c r="AA49" s="25">
        <v>0</v>
      </c>
      <c r="AB49" s="25">
        <v>0</v>
      </c>
      <c r="AC49" s="25">
        <v>0</v>
      </c>
      <c r="AD49" s="25">
        <v>0</v>
      </c>
      <c r="AE49" s="25">
        <v>0</v>
      </c>
      <c r="AF49" s="25">
        <v>0</v>
      </c>
      <c r="AG49" s="25">
        <v>0</v>
      </c>
      <c r="AH49" s="25">
        <v>0</v>
      </c>
      <c r="AI49" s="25">
        <v>0</v>
      </c>
      <c r="AJ49" s="25">
        <v>0</v>
      </c>
    </row>
    <row r="50" spans="1:36" x14ac:dyDescent="0.25">
      <c r="A50" t="s">
        <v>480</v>
      </c>
      <c r="B50" t="s">
        <v>305</v>
      </c>
      <c r="C50" s="25">
        <v>0</v>
      </c>
      <c r="D50" s="25">
        <v>0</v>
      </c>
      <c r="E50" s="25">
        <v>0</v>
      </c>
      <c r="F50" s="25">
        <v>0</v>
      </c>
      <c r="G50" s="25">
        <v>0</v>
      </c>
      <c r="H50" s="25">
        <v>0</v>
      </c>
      <c r="I50" s="25">
        <v>0</v>
      </c>
      <c r="J50" s="25">
        <v>0</v>
      </c>
      <c r="K50" s="25">
        <v>0</v>
      </c>
      <c r="L50" s="25">
        <v>0</v>
      </c>
      <c r="M50" s="25">
        <v>0</v>
      </c>
      <c r="N50" s="25">
        <v>0</v>
      </c>
      <c r="O50" s="25">
        <v>0</v>
      </c>
      <c r="P50" s="25">
        <v>0</v>
      </c>
      <c r="Q50" s="25">
        <v>0</v>
      </c>
      <c r="R50" s="25">
        <v>0</v>
      </c>
      <c r="S50" s="25">
        <v>0</v>
      </c>
      <c r="T50" s="25">
        <v>0</v>
      </c>
      <c r="U50" s="25">
        <v>0</v>
      </c>
      <c r="V50" s="25">
        <v>0</v>
      </c>
      <c r="W50" s="25">
        <v>0</v>
      </c>
      <c r="X50" s="25">
        <v>0</v>
      </c>
      <c r="Y50" s="25">
        <v>0</v>
      </c>
      <c r="Z50" s="25">
        <v>0</v>
      </c>
      <c r="AA50" s="25">
        <v>0</v>
      </c>
      <c r="AB50" s="25">
        <v>0</v>
      </c>
      <c r="AC50" s="25">
        <v>0</v>
      </c>
      <c r="AD50" s="25">
        <v>0</v>
      </c>
      <c r="AE50" s="25">
        <v>0</v>
      </c>
      <c r="AF50" s="25">
        <v>0</v>
      </c>
      <c r="AG50" s="25">
        <v>0</v>
      </c>
      <c r="AH50" s="25">
        <v>0</v>
      </c>
      <c r="AI50" s="25">
        <v>0</v>
      </c>
      <c r="AJ50" s="25">
        <v>0</v>
      </c>
    </row>
    <row r="51" spans="1:36" x14ac:dyDescent="0.25">
      <c r="A51" t="s">
        <v>481</v>
      </c>
      <c r="B51" t="s">
        <v>305</v>
      </c>
      <c r="C51" s="25">
        <v>2.5</v>
      </c>
      <c r="D51" s="25">
        <v>2.5</v>
      </c>
      <c r="E51" s="25">
        <v>2.5</v>
      </c>
      <c r="F51" s="25">
        <v>2.5</v>
      </c>
      <c r="G51" s="25">
        <v>2.5</v>
      </c>
      <c r="H51" s="25">
        <v>2.5</v>
      </c>
      <c r="I51" s="25">
        <v>2.5</v>
      </c>
      <c r="J51" s="25">
        <v>2.5</v>
      </c>
      <c r="K51" s="25">
        <v>2.5</v>
      </c>
      <c r="L51" s="25">
        <v>2.5</v>
      </c>
      <c r="M51" s="25">
        <v>2.5</v>
      </c>
      <c r="N51" s="25">
        <v>2.5</v>
      </c>
      <c r="O51" s="25">
        <v>2.5</v>
      </c>
      <c r="P51" s="25">
        <v>2.5</v>
      </c>
      <c r="Q51" s="25">
        <v>2.5</v>
      </c>
      <c r="R51" s="25">
        <v>2.5</v>
      </c>
      <c r="S51" s="25">
        <v>2.5</v>
      </c>
      <c r="T51" s="25">
        <v>2.5</v>
      </c>
      <c r="U51" s="25">
        <v>2.5</v>
      </c>
      <c r="V51" s="25">
        <v>2.5</v>
      </c>
      <c r="W51" s="25">
        <v>2.5</v>
      </c>
      <c r="X51" s="25">
        <v>2.5</v>
      </c>
      <c r="Y51" s="25">
        <v>2.5</v>
      </c>
      <c r="Z51" s="25">
        <v>2.5</v>
      </c>
      <c r="AA51" s="25">
        <v>2.5</v>
      </c>
      <c r="AB51" s="25">
        <v>2.5</v>
      </c>
      <c r="AC51" s="25">
        <v>2.5</v>
      </c>
      <c r="AD51" s="25">
        <v>2.5</v>
      </c>
      <c r="AE51" s="25">
        <v>2.5</v>
      </c>
      <c r="AF51" s="25">
        <v>2.5</v>
      </c>
      <c r="AG51" s="25">
        <v>2.5</v>
      </c>
      <c r="AH51" s="25">
        <v>2.5</v>
      </c>
      <c r="AI51" s="25">
        <v>2.5</v>
      </c>
      <c r="AJ51" s="25">
        <v>2.5</v>
      </c>
    </row>
    <row r="52" spans="1:36" x14ac:dyDescent="0.25">
      <c r="A52" t="s">
        <v>482</v>
      </c>
      <c r="B52" t="s">
        <v>305</v>
      </c>
      <c r="C52" s="25">
        <v>0</v>
      </c>
      <c r="D52" s="25">
        <v>0</v>
      </c>
      <c r="E52" s="25">
        <v>0</v>
      </c>
      <c r="F52" s="25">
        <v>0</v>
      </c>
      <c r="G52" s="25">
        <v>0</v>
      </c>
      <c r="H52" s="25">
        <v>0</v>
      </c>
      <c r="I52" s="25">
        <v>0</v>
      </c>
      <c r="J52" s="25">
        <v>0</v>
      </c>
      <c r="K52" s="25">
        <v>0</v>
      </c>
      <c r="L52" s="25">
        <v>0</v>
      </c>
      <c r="M52" s="25">
        <v>0</v>
      </c>
      <c r="N52" s="25">
        <v>0</v>
      </c>
      <c r="O52" s="25">
        <v>0</v>
      </c>
      <c r="P52" s="25">
        <v>0</v>
      </c>
      <c r="Q52" s="25">
        <v>0</v>
      </c>
      <c r="R52" s="25">
        <v>0</v>
      </c>
      <c r="S52" s="25">
        <v>0</v>
      </c>
      <c r="T52" s="25">
        <v>0</v>
      </c>
      <c r="U52" s="25">
        <v>0</v>
      </c>
      <c r="V52" s="25">
        <v>0</v>
      </c>
      <c r="W52" s="25">
        <v>0</v>
      </c>
      <c r="X52" s="25">
        <v>0</v>
      </c>
      <c r="Y52" s="25">
        <v>0</v>
      </c>
      <c r="Z52" s="25">
        <v>0</v>
      </c>
      <c r="AA52" s="25">
        <v>0</v>
      </c>
      <c r="AB52" s="25">
        <v>0</v>
      </c>
      <c r="AC52" s="25">
        <v>0</v>
      </c>
      <c r="AD52" s="25">
        <v>0</v>
      </c>
      <c r="AE52" s="25">
        <v>0</v>
      </c>
      <c r="AF52" s="25">
        <v>0</v>
      </c>
      <c r="AG52" s="25">
        <v>0</v>
      </c>
      <c r="AH52" s="25">
        <v>0</v>
      </c>
      <c r="AI52" s="25">
        <v>0</v>
      </c>
      <c r="AJ52" s="25">
        <v>0</v>
      </c>
    </row>
    <row r="53" spans="1:36" x14ac:dyDescent="0.25">
      <c r="A53" t="s">
        <v>483</v>
      </c>
      <c r="B53" t="s">
        <v>305</v>
      </c>
      <c r="C53" s="25">
        <v>0</v>
      </c>
      <c r="D53" s="25">
        <v>0</v>
      </c>
      <c r="E53" s="25">
        <v>0</v>
      </c>
      <c r="F53" s="25">
        <v>0</v>
      </c>
      <c r="G53" s="25">
        <v>0</v>
      </c>
      <c r="H53" s="25">
        <v>0</v>
      </c>
      <c r="I53" s="25">
        <v>0</v>
      </c>
      <c r="J53" s="25">
        <v>0</v>
      </c>
      <c r="K53" s="25">
        <v>0</v>
      </c>
      <c r="L53" s="25">
        <v>0</v>
      </c>
      <c r="M53" s="25">
        <v>0</v>
      </c>
      <c r="N53" s="25">
        <v>0</v>
      </c>
      <c r="O53" s="25">
        <v>0</v>
      </c>
      <c r="P53" s="25">
        <v>0</v>
      </c>
      <c r="Q53" s="25">
        <v>0</v>
      </c>
      <c r="R53" s="25">
        <v>0</v>
      </c>
      <c r="S53" s="25">
        <v>0</v>
      </c>
      <c r="T53" s="25">
        <v>0</v>
      </c>
      <c r="U53" s="25">
        <v>0</v>
      </c>
      <c r="V53" s="25">
        <v>0</v>
      </c>
      <c r="W53" s="25">
        <v>0</v>
      </c>
      <c r="X53" s="25">
        <v>0</v>
      </c>
      <c r="Y53" s="25">
        <v>0</v>
      </c>
      <c r="Z53" s="25">
        <v>0</v>
      </c>
      <c r="AA53" s="25">
        <v>0</v>
      </c>
      <c r="AB53" s="25">
        <v>0</v>
      </c>
      <c r="AC53" s="25">
        <v>0</v>
      </c>
      <c r="AD53" s="25">
        <v>0</v>
      </c>
      <c r="AE53" s="25">
        <v>0</v>
      </c>
      <c r="AF53" s="25">
        <v>0</v>
      </c>
      <c r="AG53" s="25">
        <v>0</v>
      </c>
      <c r="AH53" s="25">
        <v>0</v>
      </c>
      <c r="AI53" s="25">
        <v>0</v>
      </c>
      <c r="AJ53" s="25">
        <v>0</v>
      </c>
    </row>
    <row r="54" spans="1:36" x14ac:dyDescent="0.25">
      <c r="A54" t="s">
        <v>484</v>
      </c>
      <c r="B54" t="s">
        <v>305</v>
      </c>
      <c r="C54" s="25">
        <v>2.5</v>
      </c>
      <c r="D54" s="25">
        <v>2.5</v>
      </c>
      <c r="E54" s="25">
        <v>2.5</v>
      </c>
      <c r="F54" s="25">
        <v>2.5</v>
      </c>
      <c r="G54" s="25">
        <v>2.5</v>
      </c>
      <c r="H54" s="25">
        <v>2.5</v>
      </c>
      <c r="I54" s="25">
        <v>2.5</v>
      </c>
      <c r="J54" s="25">
        <v>2.5</v>
      </c>
      <c r="K54" s="25">
        <v>2.5</v>
      </c>
      <c r="L54" s="25">
        <v>2.5</v>
      </c>
      <c r="M54" s="25">
        <v>2.5</v>
      </c>
      <c r="N54" s="25">
        <v>2.5</v>
      </c>
      <c r="O54" s="25">
        <v>2.5</v>
      </c>
      <c r="P54" s="25">
        <v>2.5</v>
      </c>
      <c r="Q54" s="25">
        <v>2.5</v>
      </c>
      <c r="R54" s="25">
        <v>2.5</v>
      </c>
      <c r="S54" s="25">
        <v>2.5</v>
      </c>
      <c r="T54" s="25">
        <v>2.5</v>
      </c>
      <c r="U54" s="25">
        <v>2.5</v>
      </c>
      <c r="V54" s="25">
        <v>2.5</v>
      </c>
      <c r="W54" s="25">
        <v>2.5</v>
      </c>
      <c r="X54" s="25">
        <v>2.5</v>
      </c>
      <c r="Y54" s="25">
        <v>2.5</v>
      </c>
      <c r="Z54" s="25">
        <v>2.5</v>
      </c>
      <c r="AA54" s="25">
        <v>2.5</v>
      </c>
      <c r="AB54" s="25">
        <v>2.5</v>
      </c>
      <c r="AC54" s="25">
        <v>2.5</v>
      </c>
      <c r="AD54" s="25">
        <v>2.5</v>
      </c>
      <c r="AE54" s="25">
        <v>2.5</v>
      </c>
      <c r="AF54" s="25">
        <v>2.5</v>
      </c>
      <c r="AG54" s="25">
        <v>2.5</v>
      </c>
      <c r="AH54" s="25">
        <v>2.5</v>
      </c>
      <c r="AI54" s="25">
        <v>2.5</v>
      </c>
      <c r="AJ54" s="25">
        <v>2.5</v>
      </c>
    </row>
    <row r="55" spans="1:36" x14ac:dyDescent="0.25">
      <c r="A55" t="s">
        <v>485</v>
      </c>
      <c r="B55" t="s">
        <v>305</v>
      </c>
      <c r="C55" s="25">
        <v>0</v>
      </c>
      <c r="D55" s="25">
        <v>0</v>
      </c>
      <c r="E55" s="25">
        <v>0</v>
      </c>
      <c r="F55" s="25">
        <v>0</v>
      </c>
      <c r="G55" s="25">
        <v>0</v>
      </c>
      <c r="H55" s="25">
        <v>0</v>
      </c>
      <c r="I55" s="25">
        <v>0</v>
      </c>
      <c r="J55" s="25">
        <v>0</v>
      </c>
      <c r="K55" s="25">
        <v>0</v>
      </c>
      <c r="L55" s="25">
        <v>0</v>
      </c>
      <c r="M55" s="25">
        <v>0</v>
      </c>
      <c r="N55" s="25">
        <v>0</v>
      </c>
      <c r="O55" s="25">
        <v>0</v>
      </c>
      <c r="P55" s="25">
        <v>0</v>
      </c>
      <c r="Q55" s="25">
        <v>0</v>
      </c>
      <c r="R55" s="25">
        <v>0</v>
      </c>
      <c r="S55" s="25">
        <v>0</v>
      </c>
      <c r="T55" s="25">
        <v>0</v>
      </c>
      <c r="U55" s="25">
        <v>0</v>
      </c>
      <c r="V55" s="25">
        <v>0</v>
      </c>
      <c r="W55" s="25">
        <v>0</v>
      </c>
      <c r="X55" s="25">
        <v>0</v>
      </c>
      <c r="Y55" s="25">
        <v>0</v>
      </c>
      <c r="Z55" s="25">
        <v>0</v>
      </c>
      <c r="AA55" s="25">
        <v>0</v>
      </c>
      <c r="AB55" s="25">
        <v>0</v>
      </c>
      <c r="AC55" s="25">
        <v>0</v>
      </c>
      <c r="AD55" s="25">
        <v>0</v>
      </c>
      <c r="AE55" s="25">
        <v>0</v>
      </c>
      <c r="AF55" s="25">
        <v>0</v>
      </c>
      <c r="AG55" s="25">
        <v>0</v>
      </c>
      <c r="AH55" s="25">
        <v>0</v>
      </c>
      <c r="AI55" s="25">
        <v>0</v>
      </c>
      <c r="AJ55" s="25">
        <v>0</v>
      </c>
    </row>
    <row r="56" spans="1:36" x14ac:dyDescent="0.25">
      <c r="A56" t="s">
        <v>486</v>
      </c>
      <c r="B56" t="s">
        <v>305</v>
      </c>
      <c r="C56" s="25">
        <v>0</v>
      </c>
      <c r="D56" s="25">
        <v>0</v>
      </c>
      <c r="E56" s="25">
        <v>0</v>
      </c>
      <c r="F56" s="25">
        <v>0</v>
      </c>
      <c r="G56" s="25">
        <v>0</v>
      </c>
      <c r="H56" s="25">
        <v>0</v>
      </c>
      <c r="I56" s="25">
        <v>0</v>
      </c>
      <c r="J56" s="25">
        <v>0</v>
      </c>
      <c r="K56" s="25">
        <v>0</v>
      </c>
      <c r="L56" s="25">
        <v>0</v>
      </c>
      <c r="M56" s="25">
        <v>0</v>
      </c>
      <c r="N56" s="25">
        <v>0</v>
      </c>
      <c r="O56" s="25">
        <v>0</v>
      </c>
      <c r="P56" s="25">
        <v>0</v>
      </c>
      <c r="Q56" s="25">
        <v>0</v>
      </c>
      <c r="R56" s="25">
        <v>0</v>
      </c>
      <c r="S56" s="25">
        <v>0</v>
      </c>
      <c r="T56" s="25">
        <v>0</v>
      </c>
      <c r="U56" s="25">
        <v>0</v>
      </c>
      <c r="V56" s="25">
        <v>0</v>
      </c>
      <c r="W56" s="25">
        <v>0</v>
      </c>
      <c r="X56" s="25">
        <v>0</v>
      </c>
      <c r="Y56" s="25">
        <v>0</v>
      </c>
      <c r="Z56" s="25">
        <v>0</v>
      </c>
      <c r="AA56" s="25">
        <v>0</v>
      </c>
      <c r="AB56" s="25">
        <v>0</v>
      </c>
      <c r="AC56" s="25">
        <v>0</v>
      </c>
      <c r="AD56" s="25">
        <v>0</v>
      </c>
      <c r="AE56" s="25">
        <v>0</v>
      </c>
      <c r="AF56" s="25">
        <v>0</v>
      </c>
      <c r="AG56" s="25">
        <v>0</v>
      </c>
      <c r="AH56" s="25">
        <v>0</v>
      </c>
      <c r="AI56" s="25">
        <v>0</v>
      </c>
      <c r="AJ56" s="25">
        <v>0</v>
      </c>
    </row>
    <row r="57" spans="1:36" x14ac:dyDescent="0.25">
      <c r="A57" t="s">
        <v>487</v>
      </c>
      <c r="B57" t="s">
        <v>305</v>
      </c>
      <c r="C57" s="25">
        <v>0</v>
      </c>
      <c r="D57" s="25">
        <v>0</v>
      </c>
      <c r="E57" s="25">
        <v>0</v>
      </c>
      <c r="F57" s="25">
        <v>0</v>
      </c>
      <c r="G57" s="25">
        <v>0</v>
      </c>
      <c r="H57" s="25">
        <v>0</v>
      </c>
      <c r="I57" s="25">
        <v>0</v>
      </c>
      <c r="J57" s="25">
        <v>0</v>
      </c>
      <c r="K57" s="25">
        <v>0</v>
      </c>
      <c r="L57" s="25">
        <v>0</v>
      </c>
      <c r="M57" s="25">
        <v>0</v>
      </c>
      <c r="N57" s="25">
        <v>0</v>
      </c>
      <c r="O57" s="25">
        <v>0</v>
      </c>
      <c r="P57" s="25">
        <v>0</v>
      </c>
      <c r="Q57" s="25">
        <v>0</v>
      </c>
      <c r="R57" s="25">
        <v>0</v>
      </c>
      <c r="S57" s="25">
        <v>0</v>
      </c>
      <c r="T57" s="25">
        <v>0</v>
      </c>
      <c r="U57" s="25">
        <v>0</v>
      </c>
      <c r="V57" s="25">
        <v>0</v>
      </c>
      <c r="W57" s="25">
        <v>0</v>
      </c>
      <c r="X57" s="25">
        <v>0</v>
      </c>
      <c r="Y57" s="25">
        <v>0</v>
      </c>
      <c r="Z57" s="25">
        <v>0</v>
      </c>
      <c r="AA57" s="25">
        <v>0</v>
      </c>
      <c r="AB57" s="25">
        <v>0</v>
      </c>
      <c r="AC57" s="25">
        <v>0</v>
      </c>
      <c r="AD57" s="25">
        <v>0</v>
      </c>
      <c r="AE57" s="25">
        <v>0</v>
      </c>
      <c r="AF57" s="25">
        <v>0</v>
      </c>
      <c r="AG57" s="25">
        <v>0</v>
      </c>
      <c r="AH57" s="25">
        <v>0</v>
      </c>
      <c r="AI57" s="25">
        <v>0</v>
      </c>
      <c r="AJ57" s="25">
        <v>0</v>
      </c>
    </row>
    <row r="58" spans="1:36" s="55" customFormat="1" x14ac:dyDescent="0.25">
      <c r="A58" t="s">
        <v>488</v>
      </c>
      <c r="B58" t="s">
        <v>305</v>
      </c>
      <c r="C58" s="25">
        <v>95</v>
      </c>
      <c r="D58" s="25">
        <v>95</v>
      </c>
      <c r="E58" s="25">
        <v>95</v>
      </c>
      <c r="F58" s="25">
        <v>95</v>
      </c>
      <c r="G58" s="25">
        <v>95</v>
      </c>
      <c r="H58" s="25">
        <v>95</v>
      </c>
      <c r="I58" s="25">
        <v>95</v>
      </c>
      <c r="J58" s="25">
        <v>95</v>
      </c>
      <c r="K58" s="25">
        <v>95</v>
      </c>
      <c r="L58" s="25">
        <v>95</v>
      </c>
      <c r="M58" s="25">
        <v>95</v>
      </c>
      <c r="N58" s="25">
        <v>95</v>
      </c>
      <c r="O58" s="25">
        <v>95</v>
      </c>
      <c r="P58" s="25">
        <v>95</v>
      </c>
      <c r="Q58" s="25">
        <v>95</v>
      </c>
      <c r="R58" s="25">
        <v>95</v>
      </c>
      <c r="S58" s="25">
        <v>95</v>
      </c>
      <c r="T58" s="25">
        <v>95</v>
      </c>
      <c r="U58" s="25">
        <v>95</v>
      </c>
      <c r="V58" s="25">
        <v>95</v>
      </c>
      <c r="W58" s="25">
        <v>95</v>
      </c>
      <c r="X58" s="25">
        <v>95</v>
      </c>
      <c r="Y58" s="25">
        <v>95</v>
      </c>
      <c r="Z58" s="25">
        <v>95</v>
      </c>
      <c r="AA58" s="25">
        <v>95</v>
      </c>
      <c r="AB58" s="25">
        <v>95</v>
      </c>
      <c r="AC58" s="25">
        <v>95</v>
      </c>
      <c r="AD58" s="25">
        <v>95</v>
      </c>
      <c r="AE58" s="25">
        <v>95</v>
      </c>
      <c r="AF58" s="25">
        <v>95</v>
      </c>
      <c r="AG58" s="25">
        <v>95</v>
      </c>
      <c r="AH58" s="25">
        <v>95</v>
      </c>
      <c r="AI58" s="25">
        <v>95</v>
      </c>
      <c r="AJ58" s="25">
        <v>95</v>
      </c>
    </row>
    <row r="59" spans="1:36" s="55" customFormat="1" x14ac:dyDescent="0.25">
      <c r="A59" t="s">
        <v>770</v>
      </c>
      <c r="B59" t="s">
        <v>305</v>
      </c>
      <c r="C59" s="25">
        <v>0</v>
      </c>
      <c r="D59" s="25">
        <v>0</v>
      </c>
      <c r="E59" s="25">
        <v>0</v>
      </c>
      <c r="F59" s="25">
        <v>0</v>
      </c>
      <c r="G59" s="25">
        <v>0</v>
      </c>
      <c r="H59" s="25">
        <v>0</v>
      </c>
      <c r="I59" s="25">
        <v>0</v>
      </c>
      <c r="J59" s="25">
        <v>0</v>
      </c>
      <c r="K59" s="25">
        <v>0</v>
      </c>
      <c r="L59" s="25">
        <v>0</v>
      </c>
      <c r="M59" s="25">
        <v>0</v>
      </c>
      <c r="N59" s="25">
        <v>0</v>
      </c>
      <c r="O59" s="25">
        <v>0</v>
      </c>
      <c r="P59" s="25">
        <v>0</v>
      </c>
      <c r="Q59" s="25">
        <v>0</v>
      </c>
      <c r="R59" s="25">
        <v>0</v>
      </c>
      <c r="S59" s="25">
        <v>0</v>
      </c>
      <c r="T59" s="25">
        <v>0</v>
      </c>
      <c r="U59" s="25">
        <v>0</v>
      </c>
      <c r="V59" s="25">
        <v>0</v>
      </c>
      <c r="W59" s="25">
        <v>0</v>
      </c>
      <c r="X59" s="25">
        <v>0</v>
      </c>
      <c r="Y59" s="25">
        <v>0</v>
      </c>
      <c r="Z59" s="25">
        <v>0</v>
      </c>
      <c r="AA59" s="25">
        <v>0</v>
      </c>
      <c r="AB59" s="25">
        <v>0</v>
      </c>
      <c r="AC59" s="25">
        <v>0</v>
      </c>
      <c r="AD59" s="25">
        <v>0</v>
      </c>
      <c r="AE59" s="25">
        <v>0</v>
      </c>
      <c r="AF59" s="25">
        <v>0</v>
      </c>
      <c r="AG59" s="25">
        <v>0</v>
      </c>
      <c r="AH59" s="25">
        <v>0</v>
      </c>
      <c r="AI59" s="25">
        <v>0</v>
      </c>
      <c r="AJ59" s="25">
        <v>0</v>
      </c>
    </row>
    <row r="60" spans="1:36" s="78" customFormat="1" x14ac:dyDescent="0.25">
      <c r="A60" s="78" t="s">
        <v>780</v>
      </c>
      <c r="C60" s="79">
        <f>+SUM(C49:C59)</f>
        <v>100</v>
      </c>
      <c r="D60" s="79">
        <f t="shared" ref="D60" si="67">+SUM(D49:D59)</f>
        <v>100</v>
      </c>
      <c r="E60" s="79">
        <f t="shared" ref="E60" si="68">+SUM(E49:E59)</f>
        <v>100</v>
      </c>
      <c r="F60" s="79">
        <f t="shared" ref="F60" si="69">+SUM(F49:F59)</f>
        <v>100</v>
      </c>
      <c r="G60" s="79">
        <f t="shared" ref="G60" si="70">+SUM(G49:G59)</f>
        <v>100</v>
      </c>
      <c r="H60" s="79">
        <f t="shared" ref="H60" si="71">+SUM(H49:H59)</f>
        <v>100</v>
      </c>
      <c r="I60" s="79">
        <f t="shared" ref="I60" si="72">+SUM(I49:I59)</f>
        <v>100</v>
      </c>
      <c r="J60" s="79">
        <f t="shared" ref="J60" si="73">+SUM(J49:J59)</f>
        <v>100</v>
      </c>
      <c r="K60" s="79">
        <f t="shared" ref="K60" si="74">+SUM(K49:K59)</f>
        <v>100</v>
      </c>
      <c r="L60" s="79">
        <f t="shared" ref="L60" si="75">+SUM(L49:L59)</f>
        <v>100</v>
      </c>
      <c r="M60" s="79">
        <f t="shared" ref="M60" si="76">+SUM(M49:M59)</f>
        <v>100</v>
      </c>
      <c r="N60" s="79">
        <f t="shared" ref="N60" si="77">+SUM(N49:N59)</f>
        <v>100</v>
      </c>
      <c r="O60" s="79">
        <f t="shared" ref="O60" si="78">+SUM(O49:O59)</f>
        <v>100</v>
      </c>
      <c r="P60" s="79">
        <f t="shared" ref="P60" si="79">+SUM(P49:P59)</f>
        <v>100</v>
      </c>
      <c r="Q60" s="79">
        <f t="shared" ref="Q60" si="80">+SUM(Q49:Q59)</f>
        <v>100</v>
      </c>
      <c r="R60" s="79">
        <f t="shared" ref="R60" si="81">+SUM(R49:R59)</f>
        <v>100</v>
      </c>
      <c r="S60" s="79">
        <f t="shared" ref="S60" si="82">+SUM(S49:S59)</f>
        <v>100</v>
      </c>
      <c r="T60" s="79">
        <f t="shared" ref="T60" si="83">+SUM(T49:T59)</f>
        <v>100</v>
      </c>
      <c r="U60" s="79">
        <f t="shared" ref="U60" si="84">+SUM(U49:U59)</f>
        <v>100</v>
      </c>
      <c r="V60" s="79">
        <f t="shared" ref="V60" si="85">+SUM(V49:V59)</f>
        <v>100</v>
      </c>
      <c r="W60" s="79">
        <f t="shared" ref="W60" si="86">+SUM(W49:W59)</f>
        <v>100</v>
      </c>
      <c r="X60" s="79">
        <f t="shared" ref="X60" si="87">+SUM(X49:X59)</f>
        <v>100</v>
      </c>
      <c r="Y60" s="79">
        <f t="shared" ref="Y60" si="88">+SUM(Y49:Y59)</f>
        <v>100</v>
      </c>
      <c r="Z60" s="79">
        <f t="shared" ref="Z60" si="89">+SUM(Z49:Z59)</f>
        <v>100</v>
      </c>
      <c r="AA60" s="79">
        <f t="shared" ref="AA60" si="90">+SUM(AA49:AA59)</f>
        <v>100</v>
      </c>
      <c r="AB60" s="79">
        <f t="shared" ref="AB60" si="91">+SUM(AB49:AB59)</f>
        <v>100</v>
      </c>
      <c r="AC60" s="79">
        <f t="shared" ref="AC60" si="92">+SUM(AC49:AC59)</f>
        <v>100</v>
      </c>
      <c r="AD60" s="79">
        <f t="shared" ref="AD60" si="93">+SUM(AD49:AD59)</f>
        <v>100</v>
      </c>
      <c r="AE60" s="79">
        <f t="shared" ref="AE60" si="94">+SUM(AE49:AE59)</f>
        <v>100</v>
      </c>
      <c r="AF60" s="79">
        <f t="shared" ref="AF60" si="95">+SUM(AF49:AF59)</f>
        <v>100</v>
      </c>
      <c r="AG60" s="79">
        <f t="shared" ref="AG60" si="96">+SUM(AG49:AG59)</f>
        <v>100</v>
      </c>
      <c r="AH60" s="79">
        <f t="shared" ref="AH60" si="97">+SUM(AH49:AH59)</f>
        <v>100</v>
      </c>
      <c r="AI60" s="79">
        <f t="shared" ref="AI60" si="98">+SUM(AI49:AI59)</f>
        <v>100</v>
      </c>
      <c r="AJ60" s="79">
        <f t="shared" ref="AJ60" si="99">+SUM(AJ49:AJ59)</f>
        <v>100</v>
      </c>
    </row>
    <row r="61" spans="1:36" s="52" customFormat="1" x14ac:dyDescent="0.25">
      <c r="A61" t="s">
        <v>489</v>
      </c>
      <c r="B61" t="s">
        <v>305</v>
      </c>
      <c r="C61" s="25">
        <v>0</v>
      </c>
      <c r="D61" s="25">
        <v>0</v>
      </c>
      <c r="E61" s="25">
        <v>0</v>
      </c>
      <c r="F61" s="25">
        <v>0</v>
      </c>
      <c r="G61" s="25">
        <v>0</v>
      </c>
      <c r="H61" s="25">
        <v>0</v>
      </c>
      <c r="I61" s="25">
        <v>0</v>
      </c>
      <c r="J61" s="25">
        <v>0</v>
      </c>
      <c r="K61" s="25">
        <v>0</v>
      </c>
      <c r="L61" s="25">
        <v>0</v>
      </c>
      <c r="M61" s="25">
        <v>0</v>
      </c>
      <c r="N61" s="25">
        <v>0</v>
      </c>
      <c r="O61" s="25">
        <v>0</v>
      </c>
      <c r="P61" s="25">
        <v>0</v>
      </c>
      <c r="Q61" s="25">
        <v>0</v>
      </c>
      <c r="R61" s="25">
        <v>0</v>
      </c>
      <c r="S61" s="25">
        <v>0</v>
      </c>
      <c r="T61" s="25">
        <v>0</v>
      </c>
      <c r="U61" s="25">
        <v>0</v>
      </c>
      <c r="V61" s="25">
        <v>0</v>
      </c>
      <c r="W61" s="25">
        <v>0</v>
      </c>
      <c r="X61" s="25">
        <v>0</v>
      </c>
      <c r="Y61" s="25">
        <v>0</v>
      </c>
      <c r="Z61" s="25">
        <v>0</v>
      </c>
      <c r="AA61" s="25">
        <v>0</v>
      </c>
      <c r="AB61" s="25">
        <v>0</v>
      </c>
      <c r="AC61" s="25">
        <v>0</v>
      </c>
      <c r="AD61" s="25">
        <v>0</v>
      </c>
      <c r="AE61" s="25">
        <v>0</v>
      </c>
      <c r="AF61" s="25">
        <v>0</v>
      </c>
      <c r="AG61" s="25">
        <v>0</v>
      </c>
      <c r="AH61" s="25">
        <v>0</v>
      </c>
      <c r="AI61" s="25">
        <v>0</v>
      </c>
      <c r="AJ61" s="25">
        <v>0</v>
      </c>
    </row>
    <row r="62" spans="1:36" x14ac:dyDescent="0.25">
      <c r="A62" t="s">
        <v>490</v>
      </c>
      <c r="B62" t="s">
        <v>305</v>
      </c>
      <c r="C62" s="25">
        <v>0</v>
      </c>
      <c r="D62" s="25">
        <v>0</v>
      </c>
      <c r="E62" s="25">
        <v>0</v>
      </c>
      <c r="F62" s="25">
        <v>0</v>
      </c>
      <c r="G62" s="25">
        <v>0</v>
      </c>
      <c r="H62" s="25">
        <v>0</v>
      </c>
      <c r="I62" s="25">
        <v>0</v>
      </c>
      <c r="J62" s="25">
        <v>0</v>
      </c>
      <c r="K62" s="25">
        <v>0</v>
      </c>
      <c r="L62" s="25">
        <v>0</v>
      </c>
      <c r="M62" s="25">
        <v>0</v>
      </c>
      <c r="N62" s="25">
        <v>0</v>
      </c>
      <c r="O62" s="25">
        <v>0</v>
      </c>
      <c r="P62" s="25">
        <v>0</v>
      </c>
      <c r="Q62" s="25">
        <v>0</v>
      </c>
      <c r="R62" s="25">
        <v>0</v>
      </c>
      <c r="S62" s="25">
        <v>0</v>
      </c>
      <c r="T62" s="25">
        <v>0</v>
      </c>
      <c r="U62" s="25">
        <v>0</v>
      </c>
      <c r="V62" s="25">
        <v>0</v>
      </c>
      <c r="W62" s="25">
        <v>0</v>
      </c>
      <c r="X62" s="25">
        <v>0</v>
      </c>
      <c r="Y62" s="25">
        <v>0</v>
      </c>
      <c r="Z62" s="25">
        <v>0</v>
      </c>
      <c r="AA62" s="25">
        <v>0</v>
      </c>
      <c r="AB62" s="25">
        <v>0</v>
      </c>
      <c r="AC62" s="25">
        <v>0</v>
      </c>
      <c r="AD62" s="25">
        <v>0</v>
      </c>
      <c r="AE62" s="25">
        <v>0</v>
      </c>
      <c r="AF62" s="25">
        <v>0</v>
      </c>
      <c r="AG62" s="25">
        <v>0</v>
      </c>
      <c r="AH62" s="25">
        <v>0</v>
      </c>
      <c r="AI62" s="25">
        <v>0</v>
      </c>
      <c r="AJ62" s="25">
        <v>0</v>
      </c>
    </row>
    <row r="63" spans="1:36" x14ac:dyDescent="0.25">
      <c r="A63" t="s">
        <v>491</v>
      </c>
      <c r="B63" t="s">
        <v>305</v>
      </c>
      <c r="C63" s="25">
        <v>5</v>
      </c>
      <c r="D63" s="25">
        <v>5</v>
      </c>
      <c r="E63" s="25">
        <v>5</v>
      </c>
      <c r="F63" s="25">
        <v>5</v>
      </c>
      <c r="G63" s="25">
        <v>5</v>
      </c>
      <c r="H63" s="25">
        <v>5</v>
      </c>
      <c r="I63" s="25">
        <v>5</v>
      </c>
      <c r="J63" s="25">
        <v>5</v>
      </c>
      <c r="K63" s="25">
        <v>5</v>
      </c>
      <c r="L63" s="25">
        <v>5</v>
      </c>
      <c r="M63" s="25">
        <v>5</v>
      </c>
      <c r="N63" s="25">
        <v>5</v>
      </c>
      <c r="O63" s="25">
        <v>5</v>
      </c>
      <c r="P63" s="25">
        <v>5</v>
      </c>
      <c r="Q63" s="25">
        <v>5</v>
      </c>
      <c r="R63" s="25">
        <v>5</v>
      </c>
      <c r="S63" s="25">
        <v>5</v>
      </c>
      <c r="T63" s="25">
        <v>5</v>
      </c>
      <c r="U63" s="25">
        <v>5</v>
      </c>
      <c r="V63" s="25">
        <v>5</v>
      </c>
      <c r="W63" s="25">
        <v>5</v>
      </c>
      <c r="X63" s="25">
        <v>5</v>
      </c>
      <c r="Y63" s="25">
        <v>5</v>
      </c>
      <c r="Z63" s="25">
        <v>5</v>
      </c>
      <c r="AA63" s="25">
        <v>5</v>
      </c>
      <c r="AB63" s="25">
        <v>5</v>
      </c>
      <c r="AC63" s="25">
        <v>5</v>
      </c>
      <c r="AD63" s="25">
        <v>5</v>
      </c>
      <c r="AE63" s="25">
        <v>5</v>
      </c>
      <c r="AF63" s="25">
        <v>5</v>
      </c>
      <c r="AG63" s="25">
        <v>5</v>
      </c>
      <c r="AH63" s="25">
        <v>5</v>
      </c>
      <c r="AI63" s="25">
        <v>5</v>
      </c>
      <c r="AJ63" s="25">
        <v>5</v>
      </c>
    </row>
    <row r="64" spans="1:36" s="52" customFormat="1" x14ac:dyDescent="0.25">
      <c r="A64" t="s">
        <v>492</v>
      </c>
      <c r="B64" t="s">
        <v>305</v>
      </c>
      <c r="C64" s="25">
        <v>0</v>
      </c>
      <c r="D64" s="25">
        <v>0</v>
      </c>
      <c r="E64" s="25">
        <v>0</v>
      </c>
      <c r="F64" s="25">
        <v>0</v>
      </c>
      <c r="G64" s="25">
        <v>0</v>
      </c>
      <c r="H64" s="25">
        <v>0</v>
      </c>
      <c r="I64" s="25">
        <v>0</v>
      </c>
      <c r="J64" s="25">
        <v>0</v>
      </c>
      <c r="K64" s="25">
        <v>0</v>
      </c>
      <c r="L64" s="25">
        <v>0</v>
      </c>
      <c r="M64" s="25">
        <v>0</v>
      </c>
      <c r="N64" s="25">
        <v>0</v>
      </c>
      <c r="O64" s="25">
        <v>0</v>
      </c>
      <c r="P64" s="25">
        <v>0</v>
      </c>
      <c r="Q64" s="25">
        <v>0</v>
      </c>
      <c r="R64" s="25">
        <v>0</v>
      </c>
      <c r="S64" s="25">
        <v>0</v>
      </c>
      <c r="T64" s="25">
        <v>0</v>
      </c>
      <c r="U64" s="25">
        <v>0</v>
      </c>
      <c r="V64" s="25">
        <v>0</v>
      </c>
      <c r="W64" s="25">
        <v>0</v>
      </c>
      <c r="X64" s="25">
        <v>0</v>
      </c>
      <c r="Y64" s="25">
        <v>0</v>
      </c>
      <c r="Z64" s="25">
        <v>0</v>
      </c>
      <c r="AA64" s="25">
        <v>0</v>
      </c>
      <c r="AB64" s="25">
        <v>0</v>
      </c>
      <c r="AC64" s="25">
        <v>0</v>
      </c>
      <c r="AD64" s="25">
        <v>0</v>
      </c>
      <c r="AE64" s="25">
        <v>0</v>
      </c>
      <c r="AF64" s="25">
        <v>0</v>
      </c>
      <c r="AG64" s="25">
        <v>0</v>
      </c>
      <c r="AH64" s="25">
        <v>0</v>
      </c>
      <c r="AI64" s="25">
        <v>0</v>
      </c>
      <c r="AJ64" s="25">
        <v>0</v>
      </c>
    </row>
    <row r="65" spans="1:36" x14ac:dyDescent="0.25">
      <c r="A65" t="s">
        <v>493</v>
      </c>
      <c r="B65" t="s">
        <v>305</v>
      </c>
      <c r="C65" s="25">
        <v>0</v>
      </c>
      <c r="D65" s="25">
        <v>0</v>
      </c>
      <c r="E65" s="25">
        <v>0</v>
      </c>
      <c r="F65" s="25">
        <v>0</v>
      </c>
      <c r="G65" s="25">
        <v>0</v>
      </c>
      <c r="H65" s="25">
        <v>0</v>
      </c>
      <c r="I65" s="25">
        <v>0</v>
      </c>
      <c r="J65" s="25">
        <v>0</v>
      </c>
      <c r="K65" s="25">
        <v>0</v>
      </c>
      <c r="L65" s="25">
        <v>0</v>
      </c>
      <c r="M65" s="25">
        <v>0</v>
      </c>
      <c r="N65" s="25">
        <v>0</v>
      </c>
      <c r="O65" s="25">
        <v>0</v>
      </c>
      <c r="P65" s="25">
        <v>0</v>
      </c>
      <c r="Q65" s="25">
        <v>0</v>
      </c>
      <c r="R65" s="25">
        <v>0</v>
      </c>
      <c r="S65" s="25">
        <v>0</v>
      </c>
      <c r="T65" s="25">
        <v>0</v>
      </c>
      <c r="U65" s="25">
        <v>0</v>
      </c>
      <c r="V65" s="25">
        <v>0</v>
      </c>
      <c r="W65" s="25">
        <v>0</v>
      </c>
      <c r="X65" s="25">
        <v>0</v>
      </c>
      <c r="Y65" s="25">
        <v>0</v>
      </c>
      <c r="Z65" s="25">
        <v>0</v>
      </c>
      <c r="AA65" s="25">
        <v>0</v>
      </c>
      <c r="AB65" s="25">
        <v>0</v>
      </c>
      <c r="AC65" s="25">
        <v>0</v>
      </c>
      <c r="AD65" s="25">
        <v>0</v>
      </c>
      <c r="AE65" s="25">
        <v>0</v>
      </c>
      <c r="AF65" s="25">
        <v>0</v>
      </c>
      <c r="AG65" s="25">
        <v>0</v>
      </c>
      <c r="AH65" s="25">
        <v>0</v>
      </c>
      <c r="AI65" s="25">
        <v>0</v>
      </c>
      <c r="AJ65" s="25">
        <v>0</v>
      </c>
    </row>
    <row r="66" spans="1:36" x14ac:dyDescent="0.25">
      <c r="A66" t="s">
        <v>494</v>
      </c>
      <c r="B66" t="s">
        <v>305</v>
      </c>
      <c r="C66" s="25">
        <v>0</v>
      </c>
      <c r="D66" s="25">
        <v>0</v>
      </c>
      <c r="E66" s="25">
        <v>0</v>
      </c>
      <c r="F66" s="25">
        <v>0</v>
      </c>
      <c r="G66" s="25">
        <v>0</v>
      </c>
      <c r="H66" s="25">
        <v>0</v>
      </c>
      <c r="I66" s="25">
        <v>0</v>
      </c>
      <c r="J66" s="25">
        <v>0</v>
      </c>
      <c r="K66" s="25">
        <v>0</v>
      </c>
      <c r="L66" s="25">
        <v>0</v>
      </c>
      <c r="M66" s="25">
        <v>0</v>
      </c>
      <c r="N66" s="25">
        <v>0</v>
      </c>
      <c r="O66" s="25">
        <v>0</v>
      </c>
      <c r="P66" s="25">
        <v>0</v>
      </c>
      <c r="Q66" s="25">
        <v>0</v>
      </c>
      <c r="R66" s="25">
        <v>0</v>
      </c>
      <c r="S66" s="25">
        <v>0</v>
      </c>
      <c r="T66" s="25">
        <v>0</v>
      </c>
      <c r="U66" s="25">
        <v>0</v>
      </c>
      <c r="V66" s="25">
        <v>0</v>
      </c>
      <c r="W66" s="25">
        <v>0</v>
      </c>
      <c r="X66" s="25">
        <v>0</v>
      </c>
      <c r="Y66" s="25">
        <v>0</v>
      </c>
      <c r="Z66" s="25">
        <v>0</v>
      </c>
      <c r="AA66" s="25">
        <v>0</v>
      </c>
      <c r="AB66" s="25">
        <v>0</v>
      </c>
      <c r="AC66" s="25">
        <v>0</v>
      </c>
      <c r="AD66" s="25">
        <v>0</v>
      </c>
      <c r="AE66" s="25">
        <v>0</v>
      </c>
      <c r="AF66" s="25">
        <v>0</v>
      </c>
      <c r="AG66" s="25">
        <v>0</v>
      </c>
      <c r="AH66" s="25">
        <v>0</v>
      </c>
      <c r="AI66" s="25">
        <v>0</v>
      </c>
      <c r="AJ66" s="25">
        <v>0</v>
      </c>
    </row>
    <row r="67" spans="1:36" s="55" customFormat="1" x14ac:dyDescent="0.25">
      <c r="A67" t="s">
        <v>495</v>
      </c>
      <c r="B67" t="s">
        <v>305</v>
      </c>
      <c r="C67" s="25">
        <v>5</v>
      </c>
      <c r="D67" s="25">
        <v>5</v>
      </c>
      <c r="E67" s="25">
        <v>5</v>
      </c>
      <c r="F67" s="25">
        <v>5</v>
      </c>
      <c r="G67" s="25">
        <v>5</v>
      </c>
      <c r="H67" s="25">
        <v>5</v>
      </c>
      <c r="I67" s="25">
        <v>5</v>
      </c>
      <c r="J67" s="25">
        <v>5</v>
      </c>
      <c r="K67" s="25">
        <v>5</v>
      </c>
      <c r="L67" s="25">
        <v>5</v>
      </c>
      <c r="M67" s="25">
        <v>5</v>
      </c>
      <c r="N67" s="25">
        <v>5</v>
      </c>
      <c r="O67" s="25">
        <v>5</v>
      </c>
      <c r="P67" s="25">
        <v>5</v>
      </c>
      <c r="Q67" s="25">
        <v>5</v>
      </c>
      <c r="R67" s="25">
        <v>5</v>
      </c>
      <c r="S67" s="25">
        <v>5</v>
      </c>
      <c r="T67" s="25">
        <v>5</v>
      </c>
      <c r="U67" s="25">
        <v>5</v>
      </c>
      <c r="V67" s="25">
        <v>5</v>
      </c>
      <c r="W67" s="25">
        <v>5</v>
      </c>
      <c r="X67" s="25">
        <v>5</v>
      </c>
      <c r="Y67" s="25">
        <v>5</v>
      </c>
      <c r="Z67" s="25">
        <v>5</v>
      </c>
      <c r="AA67" s="25">
        <v>5</v>
      </c>
      <c r="AB67" s="25">
        <v>5</v>
      </c>
      <c r="AC67" s="25">
        <v>5</v>
      </c>
      <c r="AD67" s="25">
        <v>5</v>
      </c>
      <c r="AE67" s="25">
        <v>5</v>
      </c>
      <c r="AF67" s="25">
        <v>5</v>
      </c>
      <c r="AG67" s="25">
        <v>5</v>
      </c>
      <c r="AH67" s="25">
        <v>5</v>
      </c>
      <c r="AI67" s="25">
        <v>5</v>
      </c>
      <c r="AJ67" s="25">
        <v>5</v>
      </c>
    </row>
    <row r="68" spans="1:36" x14ac:dyDescent="0.25">
      <c r="A68" t="s">
        <v>496</v>
      </c>
      <c r="B68" t="s">
        <v>305</v>
      </c>
      <c r="C68" s="25">
        <v>0</v>
      </c>
      <c r="D68" s="25">
        <v>0</v>
      </c>
      <c r="E68" s="25">
        <v>0</v>
      </c>
      <c r="F68" s="25">
        <v>0</v>
      </c>
      <c r="G68" s="25">
        <v>0</v>
      </c>
      <c r="H68" s="25">
        <v>0</v>
      </c>
      <c r="I68" s="25">
        <v>0</v>
      </c>
      <c r="J68" s="25">
        <v>0</v>
      </c>
      <c r="K68" s="25">
        <v>0</v>
      </c>
      <c r="L68" s="25">
        <v>0</v>
      </c>
      <c r="M68" s="25">
        <v>0</v>
      </c>
      <c r="N68" s="25">
        <v>0</v>
      </c>
      <c r="O68" s="25">
        <v>0</v>
      </c>
      <c r="P68" s="25">
        <v>0</v>
      </c>
      <c r="Q68" s="25">
        <v>0</v>
      </c>
      <c r="R68" s="25">
        <v>0</v>
      </c>
      <c r="S68" s="25">
        <v>0</v>
      </c>
      <c r="T68" s="25">
        <v>0</v>
      </c>
      <c r="U68" s="25">
        <v>0</v>
      </c>
      <c r="V68" s="25">
        <v>0</v>
      </c>
      <c r="W68" s="25">
        <v>0</v>
      </c>
      <c r="X68" s="25">
        <v>0</v>
      </c>
      <c r="Y68" s="25">
        <v>0</v>
      </c>
      <c r="Z68" s="25">
        <v>0</v>
      </c>
      <c r="AA68" s="25">
        <v>0</v>
      </c>
      <c r="AB68" s="25">
        <v>0</v>
      </c>
      <c r="AC68" s="25">
        <v>0</v>
      </c>
      <c r="AD68" s="25">
        <v>0</v>
      </c>
      <c r="AE68" s="25">
        <v>0</v>
      </c>
      <c r="AF68" s="25">
        <v>0</v>
      </c>
      <c r="AG68" s="25">
        <v>0</v>
      </c>
      <c r="AH68" s="25">
        <v>0</v>
      </c>
      <c r="AI68" s="25">
        <v>0</v>
      </c>
      <c r="AJ68" s="25">
        <v>0</v>
      </c>
    </row>
    <row r="69" spans="1:36" x14ac:dyDescent="0.25">
      <c r="A69" t="s">
        <v>497</v>
      </c>
      <c r="B69" t="s">
        <v>305</v>
      </c>
      <c r="C69" s="25">
        <v>0</v>
      </c>
      <c r="D69" s="25">
        <v>0</v>
      </c>
      <c r="E69" s="25">
        <v>0</v>
      </c>
      <c r="F69" s="25">
        <v>0</v>
      </c>
      <c r="G69" s="25">
        <v>0</v>
      </c>
      <c r="H69" s="25">
        <v>0</v>
      </c>
      <c r="I69" s="25">
        <v>0</v>
      </c>
      <c r="J69" s="25">
        <v>0</v>
      </c>
      <c r="K69" s="25">
        <v>0</v>
      </c>
      <c r="L69" s="25">
        <v>0</v>
      </c>
      <c r="M69" s="25">
        <v>0</v>
      </c>
      <c r="N69" s="25">
        <v>0</v>
      </c>
      <c r="O69" s="25">
        <v>0</v>
      </c>
      <c r="P69" s="25">
        <v>0</v>
      </c>
      <c r="Q69" s="25">
        <v>0</v>
      </c>
      <c r="R69" s="25">
        <v>0</v>
      </c>
      <c r="S69" s="25">
        <v>0</v>
      </c>
      <c r="T69" s="25">
        <v>0</v>
      </c>
      <c r="U69" s="25">
        <v>0</v>
      </c>
      <c r="V69" s="25">
        <v>0</v>
      </c>
      <c r="W69" s="25">
        <v>0</v>
      </c>
      <c r="X69" s="25">
        <v>0</v>
      </c>
      <c r="Y69" s="25">
        <v>0</v>
      </c>
      <c r="Z69" s="25">
        <v>0</v>
      </c>
      <c r="AA69" s="25">
        <v>0</v>
      </c>
      <c r="AB69" s="25">
        <v>0</v>
      </c>
      <c r="AC69" s="25">
        <v>0</v>
      </c>
      <c r="AD69" s="25">
        <v>0</v>
      </c>
      <c r="AE69" s="25">
        <v>0</v>
      </c>
      <c r="AF69" s="25">
        <v>0</v>
      </c>
      <c r="AG69" s="25">
        <v>0</v>
      </c>
      <c r="AH69" s="25">
        <v>0</v>
      </c>
      <c r="AI69" s="25">
        <v>0</v>
      </c>
      <c r="AJ69" s="25">
        <v>0</v>
      </c>
    </row>
    <row r="70" spans="1:36" s="55" customFormat="1" x14ac:dyDescent="0.25">
      <c r="A70" t="s">
        <v>498</v>
      </c>
      <c r="B70" t="s">
        <v>305</v>
      </c>
      <c r="C70" s="25">
        <v>90</v>
      </c>
      <c r="D70" s="25">
        <v>90</v>
      </c>
      <c r="E70" s="25">
        <v>90</v>
      </c>
      <c r="F70" s="25">
        <v>90</v>
      </c>
      <c r="G70" s="25">
        <v>90</v>
      </c>
      <c r="H70" s="25">
        <v>90</v>
      </c>
      <c r="I70" s="25">
        <v>90</v>
      </c>
      <c r="J70" s="25">
        <v>90</v>
      </c>
      <c r="K70" s="25">
        <v>90</v>
      </c>
      <c r="L70" s="25">
        <v>90</v>
      </c>
      <c r="M70" s="25">
        <v>90</v>
      </c>
      <c r="N70" s="25">
        <v>90</v>
      </c>
      <c r="O70" s="25">
        <v>90</v>
      </c>
      <c r="P70" s="25">
        <v>90</v>
      </c>
      <c r="Q70" s="25">
        <v>90</v>
      </c>
      <c r="R70" s="25">
        <v>90</v>
      </c>
      <c r="S70" s="25">
        <v>90</v>
      </c>
      <c r="T70" s="25">
        <v>90</v>
      </c>
      <c r="U70" s="25">
        <v>90</v>
      </c>
      <c r="V70" s="25">
        <v>90</v>
      </c>
      <c r="W70" s="25">
        <v>90</v>
      </c>
      <c r="X70" s="25">
        <v>90</v>
      </c>
      <c r="Y70" s="25">
        <v>90</v>
      </c>
      <c r="Z70" s="25">
        <v>90</v>
      </c>
      <c r="AA70" s="25">
        <v>90</v>
      </c>
      <c r="AB70" s="25">
        <v>90</v>
      </c>
      <c r="AC70" s="25">
        <v>90</v>
      </c>
      <c r="AD70" s="25">
        <v>90</v>
      </c>
      <c r="AE70" s="25">
        <v>90</v>
      </c>
      <c r="AF70" s="25">
        <v>90</v>
      </c>
      <c r="AG70" s="25">
        <v>90</v>
      </c>
      <c r="AH70" s="25">
        <v>90</v>
      </c>
      <c r="AI70" s="25">
        <v>90</v>
      </c>
      <c r="AJ70" s="25">
        <v>90</v>
      </c>
    </row>
    <row r="71" spans="1:36" x14ac:dyDescent="0.25">
      <c r="A71" t="s">
        <v>755</v>
      </c>
      <c r="B71" t="s">
        <v>305</v>
      </c>
      <c r="C71" s="25">
        <v>0</v>
      </c>
      <c r="D71" s="25">
        <v>0</v>
      </c>
      <c r="E71" s="25">
        <v>0</v>
      </c>
      <c r="F71" s="25">
        <v>0</v>
      </c>
      <c r="G71" s="25">
        <v>0</v>
      </c>
      <c r="H71" s="25">
        <v>0</v>
      </c>
      <c r="I71" s="25">
        <v>0</v>
      </c>
      <c r="J71" s="25">
        <v>0</v>
      </c>
      <c r="K71" s="25">
        <v>0</v>
      </c>
      <c r="L71" s="25">
        <v>0</v>
      </c>
      <c r="M71" s="25">
        <v>0</v>
      </c>
      <c r="N71" s="25">
        <v>0</v>
      </c>
      <c r="O71" s="25">
        <v>0</v>
      </c>
      <c r="P71" s="25">
        <v>0</v>
      </c>
      <c r="Q71" s="25">
        <v>0</v>
      </c>
      <c r="R71" s="25">
        <v>0</v>
      </c>
      <c r="S71" s="25">
        <v>0</v>
      </c>
      <c r="T71" s="25">
        <v>0</v>
      </c>
      <c r="U71" s="25">
        <v>0</v>
      </c>
      <c r="V71" s="25">
        <v>0</v>
      </c>
      <c r="W71" s="25">
        <v>0</v>
      </c>
      <c r="X71" s="25">
        <v>0</v>
      </c>
      <c r="Y71" s="25">
        <v>0</v>
      </c>
      <c r="Z71" s="25">
        <v>0</v>
      </c>
      <c r="AA71" s="25">
        <v>0</v>
      </c>
      <c r="AB71" s="25">
        <v>0</v>
      </c>
      <c r="AC71" s="25">
        <v>0</v>
      </c>
      <c r="AD71" s="25">
        <v>0</v>
      </c>
      <c r="AE71" s="25">
        <v>0</v>
      </c>
      <c r="AF71" s="25">
        <v>0</v>
      </c>
      <c r="AG71" s="25">
        <v>0</v>
      </c>
      <c r="AH71" s="25">
        <v>0</v>
      </c>
      <c r="AI71" s="25">
        <v>0</v>
      </c>
      <c r="AJ71" s="25">
        <v>0</v>
      </c>
    </row>
    <row r="72" spans="1:36" s="78" customFormat="1" x14ac:dyDescent="0.25">
      <c r="A72" s="78" t="s">
        <v>780</v>
      </c>
      <c r="C72" s="79">
        <f>+SUM(C61:C71)</f>
        <v>100</v>
      </c>
      <c r="D72" s="79">
        <f t="shared" ref="D72" si="100">+SUM(D61:D71)</f>
        <v>100</v>
      </c>
      <c r="E72" s="79">
        <f t="shared" ref="E72" si="101">+SUM(E61:E71)</f>
        <v>100</v>
      </c>
      <c r="F72" s="79">
        <f t="shared" ref="F72" si="102">+SUM(F61:F71)</f>
        <v>100</v>
      </c>
      <c r="G72" s="79">
        <f t="shared" ref="G72" si="103">+SUM(G61:G71)</f>
        <v>100</v>
      </c>
      <c r="H72" s="79">
        <f t="shared" ref="H72" si="104">+SUM(H61:H71)</f>
        <v>100</v>
      </c>
      <c r="I72" s="79">
        <f t="shared" ref="I72" si="105">+SUM(I61:I71)</f>
        <v>100</v>
      </c>
      <c r="J72" s="79">
        <f t="shared" ref="J72" si="106">+SUM(J61:J71)</f>
        <v>100</v>
      </c>
      <c r="K72" s="79">
        <f t="shared" ref="K72" si="107">+SUM(K61:K71)</f>
        <v>100</v>
      </c>
      <c r="L72" s="79">
        <f t="shared" ref="L72" si="108">+SUM(L61:L71)</f>
        <v>100</v>
      </c>
      <c r="M72" s="79">
        <f t="shared" ref="M72" si="109">+SUM(M61:M71)</f>
        <v>100</v>
      </c>
      <c r="N72" s="79">
        <f t="shared" ref="N72" si="110">+SUM(N61:N71)</f>
        <v>100</v>
      </c>
      <c r="O72" s="79">
        <f t="shared" ref="O72" si="111">+SUM(O61:O71)</f>
        <v>100</v>
      </c>
      <c r="P72" s="79">
        <f t="shared" ref="P72" si="112">+SUM(P61:P71)</f>
        <v>100</v>
      </c>
      <c r="Q72" s="79">
        <f t="shared" ref="Q72" si="113">+SUM(Q61:Q71)</f>
        <v>100</v>
      </c>
      <c r="R72" s="79">
        <f t="shared" ref="R72" si="114">+SUM(R61:R71)</f>
        <v>100</v>
      </c>
      <c r="S72" s="79">
        <f t="shared" ref="S72" si="115">+SUM(S61:S71)</f>
        <v>100</v>
      </c>
      <c r="T72" s="79">
        <f t="shared" ref="T72" si="116">+SUM(T61:T71)</f>
        <v>100</v>
      </c>
      <c r="U72" s="79">
        <f t="shared" ref="U72" si="117">+SUM(U61:U71)</f>
        <v>100</v>
      </c>
      <c r="V72" s="79">
        <f t="shared" ref="V72" si="118">+SUM(V61:V71)</f>
        <v>100</v>
      </c>
      <c r="W72" s="79">
        <f t="shared" ref="W72" si="119">+SUM(W61:W71)</f>
        <v>100</v>
      </c>
      <c r="X72" s="79">
        <f t="shared" ref="X72" si="120">+SUM(X61:X71)</f>
        <v>100</v>
      </c>
      <c r="Y72" s="79">
        <f t="shared" ref="Y72" si="121">+SUM(Y61:Y71)</f>
        <v>100</v>
      </c>
      <c r="Z72" s="79">
        <f t="shared" ref="Z72" si="122">+SUM(Z61:Z71)</f>
        <v>100</v>
      </c>
      <c r="AA72" s="79">
        <f t="shared" ref="AA72" si="123">+SUM(AA61:AA71)</f>
        <v>100</v>
      </c>
      <c r="AB72" s="79">
        <f t="shared" ref="AB72" si="124">+SUM(AB61:AB71)</f>
        <v>100</v>
      </c>
      <c r="AC72" s="79">
        <f t="shared" ref="AC72" si="125">+SUM(AC61:AC71)</f>
        <v>100</v>
      </c>
      <c r="AD72" s="79">
        <f t="shared" ref="AD72" si="126">+SUM(AD61:AD71)</f>
        <v>100</v>
      </c>
      <c r="AE72" s="79">
        <f t="shared" ref="AE72" si="127">+SUM(AE61:AE71)</f>
        <v>100</v>
      </c>
      <c r="AF72" s="79">
        <f t="shared" ref="AF72" si="128">+SUM(AF61:AF71)</f>
        <v>100</v>
      </c>
      <c r="AG72" s="79">
        <f t="shared" ref="AG72" si="129">+SUM(AG61:AG71)</f>
        <v>100</v>
      </c>
      <c r="AH72" s="79">
        <f t="shared" ref="AH72" si="130">+SUM(AH61:AH71)</f>
        <v>100</v>
      </c>
      <c r="AI72" s="79">
        <f t="shared" ref="AI72" si="131">+SUM(AI61:AI71)</f>
        <v>100</v>
      </c>
      <c r="AJ72" s="79">
        <f t="shared" ref="AJ72" si="132">+SUM(AJ61:AJ71)</f>
        <v>100</v>
      </c>
    </row>
    <row r="73" spans="1:36" x14ac:dyDescent="0.25">
      <c r="A73" s="77" t="s">
        <v>499</v>
      </c>
      <c r="B73" t="s">
        <v>305</v>
      </c>
      <c r="C73" s="25">
        <v>3</v>
      </c>
      <c r="D73" s="25">
        <v>3</v>
      </c>
      <c r="E73" s="25">
        <v>3</v>
      </c>
      <c r="F73" s="25">
        <v>3</v>
      </c>
      <c r="G73" s="25">
        <v>3</v>
      </c>
      <c r="H73" s="25">
        <v>3</v>
      </c>
      <c r="I73" s="25">
        <v>3</v>
      </c>
      <c r="J73" s="25">
        <v>3</v>
      </c>
      <c r="K73" s="25">
        <v>3</v>
      </c>
      <c r="L73" s="25">
        <v>3</v>
      </c>
      <c r="M73" s="25">
        <v>3</v>
      </c>
      <c r="N73" s="25">
        <v>3</v>
      </c>
      <c r="O73" s="25">
        <v>3</v>
      </c>
      <c r="P73" s="25">
        <v>3</v>
      </c>
      <c r="Q73" s="25">
        <v>3</v>
      </c>
      <c r="R73" s="25">
        <v>3</v>
      </c>
      <c r="S73" s="25">
        <v>3</v>
      </c>
      <c r="T73" s="25">
        <v>3</v>
      </c>
      <c r="U73" s="25">
        <v>3</v>
      </c>
      <c r="V73" s="25">
        <v>3</v>
      </c>
      <c r="W73" s="25">
        <v>3</v>
      </c>
      <c r="X73" s="25">
        <v>3</v>
      </c>
      <c r="Y73" s="25">
        <v>3</v>
      </c>
      <c r="Z73" s="25">
        <v>3</v>
      </c>
      <c r="AA73" s="25">
        <v>3</v>
      </c>
      <c r="AB73" s="25">
        <v>3</v>
      </c>
      <c r="AC73" s="25">
        <v>3</v>
      </c>
      <c r="AD73" s="25">
        <v>3</v>
      </c>
      <c r="AE73" s="25">
        <v>3</v>
      </c>
      <c r="AF73" s="25">
        <v>3</v>
      </c>
      <c r="AG73" s="25">
        <v>3</v>
      </c>
      <c r="AH73" s="25">
        <v>3</v>
      </c>
      <c r="AI73" s="25">
        <v>3</v>
      </c>
      <c r="AJ73" s="25">
        <v>3</v>
      </c>
    </row>
    <row r="74" spans="1:36" x14ac:dyDescent="0.25">
      <c r="A74" s="77" t="s">
        <v>500</v>
      </c>
      <c r="B74" t="s">
        <v>305</v>
      </c>
      <c r="C74" s="25">
        <v>3</v>
      </c>
      <c r="D74" s="25">
        <v>3</v>
      </c>
      <c r="E74" s="25">
        <v>3</v>
      </c>
      <c r="F74" s="25">
        <v>3</v>
      </c>
      <c r="G74" s="25">
        <v>3</v>
      </c>
      <c r="H74" s="25">
        <v>3</v>
      </c>
      <c r="I74" s="25">
        <v>3</v>
      </c>
      <c r="J74" s="25">
        <v>3</v>
      </c>
      <c r="K74" s="25">
        <v>3</v>
      </c>
      <c r="L74" s="25">
        <v>3</v>
      </c>
      <c r="M74" s="25">
        <v>3</v>
      </c>
      <c r="N74" s="25">
        <v>3</v>
      </c>
      <c r="O74" s="25">
        <v>3</v>
      </c>
      <c r="P74" s="25">
        <v>3</v>
      </c>
      <c r="Q74" s="25">
        <v>3</v>
      </c>
      <c r="R74" s="25">
        <v>3</v>
      </c>
      <c r="S74" s="25">
        <v>3</v>
      </c>
      <c r="T74" s="25">
        <v>3</v>
      </c>
      <c r="U74" s="25">
        <v>3</v>
      </c>
      <c r="V74" s="25">
        <v>3</v>
      </c>
      <c r="W74" s="25">
        <v>3</v>
      </c>
      <c r="X74" s="25">
        <v>3</v>
      </c>
      <c r="Y74" s="25">
        <v>3</v>
      </c>
      <c r="Z74" s="25">
        <v>3</v>
      </c>
      <c r="AA74" s="25">
        <v>3</v>
      </c>
      <c r="AB74" s="25">
        <v>3</v>
      </c>
      <c r="AC74" s="25">
        <v>3</v>
      </c>
      <c r="AD74" s="25">
        <v>3</v>
      </c>
      <c r="AE74" s="25">
        <v>3</v>
      </c>
      <c r="AF74" s="25">
        <v>3</v>
      </c>
      <c r="AG74" s="25">
        <v>3</v>
      </c>
      <c r="AH74" s="25">
        <v>3</v>
      </c>
      <c r="AI74" s="25">
        <v>3</v>
      </c>
      <c r="AJ74" s="25">
        <v>3</v>
      </c>
    </row>
    <row r="75" spans="1:36" x14ac:dyDescent="0.25">
      <c r="A75" s="77" t="s">
        <v>501</v>
      </c>
      <c r="B75" t="s">
        <v>305</v>
      </c>
      <c r="C75" s="25">
        <v>86</v>
      </c>
      <c r="D75" s="25">
        <v>86</v>
      </c>
      <c r="E75" s="25">
        <v>86</v>
      </c>
      <c r="F75" s="25">
        <v>86</v>
      </c>
      <c r="G75" s="25">
        <v>86</v>
      </c>
      <c r="H75" s="25">
        <v>86</v>
      </c>
      <c r="I75" s="25">
        <v>86</v>
      </c>
      <c r="J75" s="25">
        <v>86</v>
      </c>
      <c r="K75" s="25">
        <v>86</v>
      </c>
      <c r="L75" s="25">
        <v>86</v>
      </c>
      <c r="M75" s="25">
        <v>86</v>
      </c>
      <c r="N75" s="25">
        <v>86</v>
      </c>
      <c r="O75" s="25">
        <v>86</v>
      </c>
      <c r="P75" s="25">
        <v>86</v>
      </c>
      <c r="Q75" s="25">
        <v>86</v>
      </c>
      <c r="R75" s="25">
        <v>86</v>
      </c>
      <c r="S75" s="25">
        <v>86</v>
      </c>
      <c r="T75" s="25">
        <v>86</v>
      </c>
      <c r="U75" s="25">
        <v>86</v>
      </c>
      <c r="V75" s="25">
        <v>86</v>
      </c>
      <c r="W75" s="25">
        <v>86</v>
      </c>
      <c r="X75" s="25">
        <v>86</v>
      </c>
      <c r="Y75" s="25">
        <v>86</v>
      </c>
      <c r="Z75" s="25">
        <v>86</v>
      </c>
      <c r="AA75" s="25">
        <v>86</v>
      </c>
      <c r="AB75" s="25">
        <v>86</v>
      </c>
      <c r="AC75" s="25">
        <v>86</v>
      </c>
      <c r="AD75" s="25">
        <v>86</v>
      </c>
      <c r="AE75" s="25">
        <v>86</v>
      </c>
      <c r="AF75" s="25">
        <v>86</v>
      </c>
      <c r="AG75" s="25">
        <v>86</v>
      </c>
      <c r="AH75" s="25">
        <v>86</v>
      </c>
      <c r="AI75" s="25">
        <v>86</v>
      </c>
      <c r="AJ75" s="25">
        <v>86</v>
      </c>
    </row>
    <row r="76" spans="1:36" x14ac:dyDescent="0.25">
      <c r="A76" s="77" t="s">
        <v>502</v>
      </c>
      <c r="B76" t="s">
        <v>305</v>
      </c>
      <c r="C76" s="25">
        <v>0</v>
      </c>
      <c r="D76" s="25">
        <v>0</v>
      </c>
      <c r="E76" s="25">
        <v>0</v>
      </c>
      <c r="F76" s="25">
        <v>0</v>
      </c>
      <c r="G76" s="25">
        <v>0</v>
      </c>
      <c r="H76" s="25">
        <v>0</v>
      </c>
      <c r="I76" s="25">
        <v>0</v>
      </c>
      <c r="J76" s="25">
        <v>0</v>
      </c>
      <c r="K76" s="25">
        <v>0</v>
      </c>
      <c r="L76" s="25">
        <v>0</v>
      </c>
      <c r="M76" s="25">
        <v>0</v>
      </c>
      <c r="N76" s="25">
        <v>0</v>
      </c>
      <c r="O76" s="25">
        <v>0</v>
      </c>
      <c r="P76" s="25">
        <v>0</v>
      </c>
      <c r="Q76" s="25">
        <v>0</v>
      </c>
      <c r="R76" s="25">
        <v>0</v>
      </c>
      <c r="S76" s="25">
        <v>0</v>
      </c>
      <c r="T76" s="25">
        <v>0</v>
      </c>
      <c r="U76" s="25">
        <v>0</v>
      </c>
      <c r="V76" s="25">
        <v>0</v>
      </c>
      <c r="W76" s="25">
        <v>0</v>
      </c>
      <c r="X76" s="25">
        <v>0</v>
      </c>
      <c r="Y76" s="25">
        <v>0</v>
      </c>
      <c r="Z76" s="25">
        <v>0</v>
      </c>
      <c r="AA76" s="25">
        <v>0</v>
      </c>
      <c r="AB76" s="25">
        <v>0</v>
      </c>
      <c r="AC76" s="25">
        <v>0</v>
      </c>
      <c r="AD76" s="25">
        <v>0</v>
      </c>
      <c r="AE76" s="25">
        <v>0</v>
      </c>
      <c r="AF76" s="25">
        <v>0</v>
      </c>
      <c r="AG76" s="25">
        <v>0</v>
      </c>
      <c r="AH76" s="25">
        <v>0</v>
      </c>
      <c r="AI76" s="25">
        <v>0</v>
      </c>
      <c r="AJ76" s="25">
        <v>0</v>
      </c>
    </row>
    <row r="77" spans="1:36" x14ac:dyDescent="0.25">
      <c r="A77" s="77" t="s">
        <v>503</v>
      </c>
      <c r="B77" t="s">
        <v>305</v>
      </c>
      <c r="C77" s="25">
        <v>3</v>
      </c>
      <c r="D77" s="25">
        <v>3</v>
      </c>
      <c r="E77" s="25">
        <v>3</v>
      </c>
      <c r="F77" s="25">
        <v>3</v>
      </c>
      <c r="G77" s="25">
        <v>3</v>
      </c>
      <c r="H77" s="25">
        <v>3</v>
      </c>
      <c r="I77" s="25">
        <v>3</v>
      </c>
      <c r="J77" s="25">
        <v>3</v>
      </c>
      <c r="K77" s="25">
        <v>3</v>
      </c>
      <c r="L77" s="25">
        <v>3</v>
      </c>
      <c r="M77" s="25">
        <v>3</v>
      </c>
      <c r="N77" s="25">
        <v>3</v>
      </c>
      <c r="O77" s="25">
        <v>3</v>
      </c>
      <c r="P77" s="25">
        <v>3</v>
      </c>
      <c r="Q77" s="25">
        <v>3</v>
      </c>
      <c r="R77" s="25">
        <v>3</v>
      </c>
      <c r="S77" s="25">
        <v>3</v>
      </c>
      <c r="T77" s="25">
        <v>3</v>
      </c>
      <c r="U77" s="25">
        <v>3</v>
      </c>
      <c r="V77" s="25">
        <v>3</v>
      </c>
      <c r="W77" s="25">
        <v>3</v>
      </c>
      <c r="X77" s="25">
        <v>3</v>
      </c>
      <c r="Y77" s="25">
        <v>3</v>
      </c>
      <c r="Z77" s="25">
        <v>3</v>
      </c>
      <c r="AA77" s="25">
        <v>3</v>
      </c>
      <c r="AB77" s="25">
        <v>3</v>
      </c>
      <c r="AC77" s="25">
        <v>3</v>
      </c>
      <c r="AD77" s="25">
        <v>3</v>
      </c>
      <c r="AE77" s="25">
        <v>3</v>
      </c>
      <c r="AF77" s="25">
        <v>3</v>
      </c>
      <c r="AG77" s="25">
        <v>3</v>
      </c>
      <c r="AH77" s="25">
        <v>3</v>
      </c>
      <c r="AI77" s="25">
        <v>3</v>
      </c>
      <c r="AJ77" s="25">
        <v>3</v>
      </c>
    </row>
    <row r="78" spans="1:36" x14ac:dyDescent="0.25">
      <c r="A78" s="77" t="s">
        <v>504</v>
      </c>
      <c r="B78" t="s">
        <v>305</v>
      </c>
      <c r="C78" s="25">
        <v>5</v>
      </c>
      <c r="D78" s="25">
        <v>5</v>
      </c>
      <c r="E78" s="25">
        <v>5</v>
      </c>
      <c r="F78" s="25">
        <v>5</v>
      </c>
      <c r="G78" s="25">
        <v>5</v>
      </c>
      <c r="H78" s="25">
        <v>5</v>
      </c>
      <c r="I78" s="25">
        <v>5</v>
      </c>
      <c r="J78" s="25">
        <v>5</v>
      </c>
      <c r="K78" s="25">
        <v>5</v>
      </c>
      <c r="L78" s="25">
        <v>5</v>
      </c>
      <c r="M78" s="25">
        <v>5</v>
      </c>
      <c r="N78" s="25">
        <v>5</v>
      </c>
      <c r="O78" s="25">
        <v>5</v>
      </c>
      <c r="P78" s="25">
        <v>5</v>
      </c>
      <c r="Q78" s="25">
        <v>5</v>
      </c>
      <c r="R78" s="25">
        <v>5</v>
      </c>
      <c r="S78" s="25">
        <v>5</v>
      </c>
      <c r="T78" s="25">
        <v>5</v>
      </c>
      <c r="U78" s="25">
        <v>5</v>
      </c>
      <c r="V78" s="25">
        <v>5</v>
      </c>
      <c r="W78" s="25">
        <v>5</v>
      </c>
      <c r="X78" s="25">
        <v>5</v>
      </c>
      <c r="Y78" s="25">
        <v>5</v>
      </c>
      <c r="Z78" s="25">
        <v>5</v>
      </c>
      <c r="AA78" s="25">
        <v>5</v>
      </c>
      <c r="AB78" s="25">
        <v>5</v>
      </c>
      <c r="AC78" s="25">
        <v>5</v>
      </c>
      <c r="AD78" s="25">
        <v>5</v>
      </c>
      <c r="AE78" s="25">
        <v>5</v>
      </c>
      <c r="AF78" s="25">
        <v>5</v>
      </c>
      <c r="AG78" s="25">
        <v>5</v>
      </c>
      <c r="AH78" s="25">
        <v>5</v>
      </c>
      <c r="AI78" s="25">
        <v>5</v>
      </c>
      <c r="AJ78" s="25">
        <v>5</v>
      </c>
    </row>
    <row r="79" spans="1:36" x14ac:dyDescent="0.25">
      <c r="A79" s="77" t="s">
        <v>505</v>
      </c>
      <c r="B79" t="s">
        <v>305</v>
      </c>
      <c r="C79" s="25">
        <v>0</v>
      </c>
      <c r="D79" s="25">
        <v>0</v>
      </c>
      <c r="E79" s="25">
        <v>0</v>
      </c>
      <c r="F79" s="25">
        <v>0</v>
      </c>
      <c r="G79" s="25">
        <v>0</v>
      </c>
      <c r="H79" s="25">
        <v>0</v>
      </c>
      <c r="I79" s="25">
        <v>0</v>
      </c>
      <c r="J79" s="25">
        <v>0</v>
      </c>
      <c r="K79" s="25">
        <v>0</v>
      </c>
      <c r="L79" s="25">
        <v>0</v>
      </c>
      <c r="M79" s="25">
        <v>0</v>
      </c>
      <c r="N79" s="25">
        <v>0</v>
      </c>
      <c r="O79" s="25">
        <v>0</v>
      </c>
      <c r="P79" s="25">
        <v>0</v>
      </c>
      <c r="Q79" s="25">
        <v>0</v>
      </c>
      <c r="R79" s="25">
        <v>0</v>
      </c>
      <c r="S79" s="25">
        <v>0</v>
      </c>
      <c r="T79" s="25">
        <v>0</v>
      </c>
      <c r="U79" s="25">
        <v>0</v>
      </c>
      <c r="V79" s="25">
        <v>0</v>
      </c>
      <c r="W79" s="25">
        <v>0</v>
      </c>
      <c r="X79" s="25">
        <v>0</v>
      </c>
      <c r="Y79" s="25">
        <v>0</v>
      </c>
      <c r="Z79" s="25">
        <v>0</v>
      </c>
      <c r="AA79" s="25">
        <v>0</v>
      </c>
      <c r="AB79" s="25">
        <v>0</v>
      </c>
      <c r="AC79" s="25">
        <v>0</v>
      </c>
      <c r="AD79" s="25">
        <v>0</v>
      </c>
      <c r="AE79" s="25">
        <v>0</v>
      </c>
      <c r="AF79" s="25">
        <v>0</v>
      </c>
      <c r="AG79" s="25">
        <v>0</v>
      </c>
      <c r="AH79" s="25">
        <v>0</v>
      </c>
      <c r="AI79" s="25">
        <v>0</v>
      </c>
      <c r="AJ79" s="25">
        <v>0</v>
      </c>
    </row>
    <row r="80" spans="1:36" x14ac:dyDescent="0.25">
      <c r="A80" s="77" t="s">
        <v>506</v>
      </c>
      <c r="B80" t="s">
        <v>305</v>
      </c>
      <c r="C80" s="25">
        <v>0</v>
      </c>
      <c r="D80" s="25">
        <v>0</v>
      </c>
      <c r="E80" s="25">
        <v>0</v>
      </c>
      <c r="F80" s="25">
        <v>0</v>
      </c>
      <c r="G80" s="25">
        <v>0</v>
      </c>
      <c r="H80" s="25">
        <v>0</v>
      </c>
      <c r="I80" s="25">
        <v>0</v>
      </c>
      <c r="J80" s="25">
        <v>0</v>
      </c>
      <c r="K80" s="25">
        <v>0</v>
      </c>
      <c r="L80" s="25">
        <v>0</v>
      </c>
      <c r="M80" s="25">
        <v>0</v>
      </c>
      <c r="N80" s="25">
        <v>0</v>
      </c>
      <c r="O80" s="25">
        <v>0</v>
      </c>
      <c r="P80" s="25">
        <v>0</v>
      </c>
      <c r="Q80" s="25">
        <v>0</v>
      </c>
      <c r="R80" s="25">
        <v>0</v>
      </c>
      <c r="S80" s="25">
        <v>0</v>
      </c>
      <c r="T80" s="25">
        <v>0</v>
      </c>
      <c r="U80" s="25">
        <v>0</v>
      </c>
      <c r="V80" s="25">
        <v>0</v>
      </c>
      <c r="W80" s="25">
        <v>0</v>
      </c>
      <c r="X80" s="25">
        <v>0</v>
      </c>
      <c r="Y80" s="25">
        <v>0</v>
      </c>
      <c r="Z80" s="25">
        <v>0</v>
      </c>
      <c r="AA80" s="25">
        <v>0</v>
      </c>
      <c r="AB80" s="25">
        <v>0</v>
      </c>
      <c r="AC80" s="25">
        <v>0</v>
      </c>
      <c r="AD80" s="25">
        <v>0</v>
      </c>
      <c r="AE80" s="25">
        <v>0</v>
      </c>
      <c r="AF80" s="25">
        <v>0</v>
      </c>
      <c r="AG80" s="25">
        <v>0</v>
      </c>
      <c r="AH80" s="25">
        <v>0</v>
      </c>
      <c r="AI80" s="25">
        <v>0</v>
      </c>
      <c r="AJ80" s="25">
        <v>0</v>
      </c>
    </row>
    <row r="81" spans="1:36" x14ac:dyDescent="0.25">
      <c r="A81" s="77" t="s">
        <v>507</v>
      </c>
      <c r="B81" t="s">
        <v>305</v>
      </c>
      <c r="C81" s="25">
        <v>0</v>
      </c>
      <c r="D81" s="25">
        <v>0</v>
      </c>
      <c r="E81" s="25">
        <v>0</v>
      </c>
      <c r="F81" s="25">
        <v>0</v>
      </c>
      <c r="G81" s="25">
        <v>0</v>
      </c>
      <c r="H81" s="25">
        <v>0</v>
      </c>
      <c r="I81" s="25">
        <v>0</v>
      </c>
      <c r="J81" s="25">
        <v>0</v>
      </c>
      <c r="K81" s="25">
        <v>0</v>
      </c>
      <c r="L81" s="25">
        <v>0</v>
      </c>
      <c r="M81" s="25">
        <v>0</v>
      </c>
      <c r="N81" s="25">
        <v>0</v>
      </c>
      <c r="O81" s="25">
        <v>0</v>
      </c>
      <c r="P81" s="25">
        <v>0</v>
      </c>
      <c r="Q81" s="25">
        <v>0</v>
      </c>
      <c r="R81" s="25">
        <v>0</v>
      </c>
      <c r="S81" s="25">
        <v>0</v>
      </c>
      <c r="T81" s="25">
        <v>0</v>
      </c>
      <c r="U81" s="25">
        <v>0</v>
      </c>
      <c r="V81" s="25">
        <v>0</v>
      </c>
      <c r="W81" s="25">
        <v>0</v>
      </c>
      <c r="X81" s="25">
        <v>0</v>
      </c>
      <c r="Y81" s="25">
        <v>0</v>
      </c>
      <c r="Z81" s="25">
        <v>0</v>
      </c>
      <c r="AA81" s="25">
        <v>0</v>
      </c>
      <c r="AB81" s="25">
        <v>0</v>
      </c>
      <c r="AC81" s="25">
        <v>0</v>
      </c>
      <c r="AD81" s="25">
        <v>0</v>
      </c>
      <c r="AE81" s="25">
        <v>0</v>
      </c>
      <c r="AF81" s="25">
        <v>0</v>
      </c>
      <c r="AG81" s="25">
        <v>0</v>
      </c>
      <c r="AH81" s="25">
        <v>0</v>
      </c>
      <c r="AI81" s="25">
        <v>0</v>
      </c>
      <c r="AJ81" s="25">
        <v>0</v>
      </c>
    </row>
    <row r="82" spans="1:36" x14ac:dyDescent="0.25">
      <c r="A82" s="77" t="s">
        <v>508</v>
      </c>
      <c r="B82" t="s">
        <v>305</v>
      </c>
      <c r="C82" s="25">
        <v>0</v>
      </c>
      <c r="D82" s="25">
        <v>0</v>
      </c>
      <c r="E82" s="25">
        <v>0</v>
      </c>
      <c r="F82" s="25">
        <v>0</v>
      </c>
      <c r="G82" s="25">
        <v>0</v>
      </c>
      <c r="H82" s="25">
        <v>0</v>
      </c>
      <c r="I82" s="25">
        <v>0</v>
      </c>
      <c r="J82" s="25">
        <v>0</v>
      </c>
      <c r="K82" s="25">
        <v>0</v>
      </c>
      <c r="L82" s="25">
        <v>0</v>
      </c>
      <c r="M82" s="25">
        <v>0</v>
      </c>
      <c r="N82" s="25">
        <v>0</v>
      </c>
      <c r="O82" s="25">
        <v>0</v>
      </c>
      <c r="P82" s="25">
        <v>0</v>
      </c>
      <c r="Q82" s="25">
        <v>0</v>
      </c>
      <c r="R82" s="25">
        <v>0</v>
      </c>
      <c r="S82" s="25">
        <v>0</v>
      </c>
      <c r="T82" s="25">
        <v>0</v>
      </c>
      <c r="U82" s="25">
        <v>0</v>
      </c>
      <c r="V82" s="25">
        <v>0</v>
      </c>
      <c r="W82" s="25">
        <v>0</v>
      </c>
      <c r="X82" s="25">
        <v>0</v>
      </c>
      <c r="Y82" s="25">
        <v>0</v>
      </c>
      <c r="Z82" s="25">
        <v>0</v>
      </c>
      <c r="AA82" s="25">
        <v>0</v>
      </c>
      <c r="AB82" s="25">
        <v>0</v>
      </c>
      <c r="AC82" s="25">
        <v>0</v>
      </c>
      <c r="AD82" s="25">
        <v>0</v>
      </c>
      <c r="AE82" s="25">
        <v>0</v>
      </c>
      <c r="AF82" s="25">
        <v>0</v>
      </c>
      <c r="AG82" s="25">
        <v>0</v>
      </c>
      <c r="AH82" s="25">
        <v>0</v>
      </c>
      <c r="AI82" s="25">
        <v>0</v>
      </c>
      <c r="AJ82" s="25">
        <v>0</v>
      </c>
    </row>
    <row r="83" spans="1:36" x14ac:dyDescent="0.25">
      <c r="A83" s="77" t="s">
        <v>756</v>
      </c>
      <c r="B83" t="s">
        <v>305</v>
      </c>
      <c r="C83" s="25">
        <v>0</v>
      </c>
      <c r="D83" s="25">
        <v>0</v>
      </c>
      <c r="E83" s="25">
        <v>0</v>
      </c>
      <c r="F83" s="25">
        <v>0</v>
      </c>
      <c r="G83" s="25">
        <v>0</v>
      </c>
      <c r="H83" s="25">
        <v>0</v>
      </c>
      <c r="I83" s="25">
        <v>0</v>
      </c>
      <c r="J83" s="25">
        <v>0</v>
      </c>
      <c r="K83" s="25">
        <v>0</v>
      </c>
      <c r="L83" s="25">
        <v>0</v>
      </c>
      <c r="M83" s="25">
        <v>0</v>
      </c>
      <c r="N83" s="25">
        <v>0</v>
      </c>
      <c r="O83" s="25">
        <v>0</v>
      </c>
      <c r="P83" s="25">
        <v>0</v>
      </c>
      <c r="Q83" s="25">
        <v>0</v>
      </c>
      <c r="R83" s="25">
        <v>0</v>
      </c>
      <c r="S83" s="25">
        <v>0</v>
      </c>
      <c r="T83" s="25">
        <v>0</v>
      </c>
      <c r="U83" s="25">
        <v>0</v>
      </c>
      <c r="V83" s="25">
        <v>0</v>
      </c>
      <c r="W83" s="25">
        <v>0</v>
      </c>
      <c r="X83" s="25">
        <v>0</v>
      </c>
      <c r="Y83" s="25">
        <v>0</v>
      </c>
      <c r="Z83" s="25">
        <v>0</v>
      </c>
      <c r="AA83" s="25">
        <v>0</v>
      </c>
      <c r="AB83" s="25">
        <v>0</v>
      </c>
      <c r="AC83" s="25">
        <v>0</v>
      </c>
      <c r="AD83" s="25">
        <v>0</v>
      </c>
      <c r="AE83" s="25">
        <v>0</v>
      </c>
      <c r="AF83" s="25">
        <v>0</v>
      </c>
      <c r="AG83" s="25">
        <v>0</v>
      </c>
      <c r="AH83" s="25">
        <v>0</v>
      </c>
      <c r="AI83" s="25">
        <v>0</v>
      </c>
      <c r="AJ83" s="25">
        <v>0</v>
      </c>
    </row>
    <row r="84" spans="1:36" s="78" customFormat="1" x14ac:dyDescent="0.25">
      <c r="A84" s="78" t="s">
        <v>780</v>
      </c>
      <c r="C84" s="79">
        <f>+SUM(C73:C83)</f>
        <v>100</v>
      </c>
      <c r="D84" s="79">
        <f t="shared" ref="D84" si="133">+SUM(D73:D83)</f>
        <v>100</v>
      </c>
      <c r="E84" s="79">
        <f t="shared" ref="E84" si="134">+SUM(E73:E83)</f>
        <v>100</v>
      </c>
      <c r="F84" s="79">
        <f t="shared" ref="F84" si="135">+SUM(F73:F83)</f>
        <v>100</v>
      </c>
      <c r="G84" s="79">
        <f t="shared" ref="G84" si="136">+SUM(G73:G83)</f>
        <v>100</v>
      </c>
      <c r="H84" s="79">
        <f t="shared" ref="H84" si="137">+SUM(H73:H83)</f>
        <v>100</v>
      </c>
      <c r="I84" s="79">
        <f t="shared" ref="I84" si="138">+SUM(I73:I83)</f>
        <v>100</v>
      </c>
      <c r="J84" s="79">
        <f t="shared" ref="J84" si="139">+SUM(J73:J83)</f>
        <v>100</v>
      </c>
      <c r="K84" s="79">
        <f t="shared" ref="K84" si="140">+SUM(K73:K83)</f>
        <v>100</v>
      </c>
      <c r="L84" s="79">
        <f t="shared" ref="L84" si="141">+SUM(L73:L83)</f>
        <v>100</v>
      </c>
      <c r="M84" s="79">
        <f t="shared" ref="M84" si="142">+SUM(M73:M83)</f>
        <v>100</v>
      </c>
      <c r="N84" s="79">
        <f t="shared" ref="N84" si="143">+SUM(N73:N83)</f>
        <v>100</v>
      </c>
      <c r="O84" s="79">
        <f t="shared" ref="O84" si="144">+SUM(O73:O83)</f>
        <v>100</v>
      </c>
      <c r="P84" s="79">
        <f t="shared" ref="P84" si="145">+SUM(P73:P83)</f>
        <v>100</v>
      </c>
      <c r="Q84" s="79">
        <f t="shared" ref="Q84" si="146">+SUM(Q73:Q83)</f>
        <v>100</v>
      </c>
      <c r="R84" s="79">
        <f t="shared" ref="R84" si="147">+SUM(R73:R83)</f>
        <v>100</v>
      </c>
      <c r="S84" s="79">
        <f t="shared" ref="S84" si="148">+SUM(S73:S83)</f>
        <v>100</v>
      </c>
      <c r="T84" s="79">
        <f t="shared" ref="T84" si="149">+SUM(T73:T83)</f>
        <v>100</v>
      </c>
      <c r="U84" s="79">
        <f t="shared" ref="U84" si="150">+SUM(U73:U83)</f>
        <v>100</v>
      </c>
      <c r="V84" s="79">
        <f t="shared" ref="V84" si="151">+SUM(V73:V83)</f>
        <v>100</v>
      </c>
      <c r="W84" s="79">
        <f t="shared" ref="W84" si="152">+SUM(W73:W83)</f>
        <v>100</v>
      </c>
      <c r="X84" s="79">
        <f t="shared" ref="X84" si="153">+SUM(X73:X83)</f>
        <v>100</v>
      </c>
      <c r="Y84" s="79">
        <f t="shared" ref="Y84" si="154">+SUM(Y73:Y83)</f>
        <v>100</v>
      </c>
      <c r="Z84" s="79">
        <f t="shared" ref="Z84" si="155">+SUM(Z73:Z83)</f>
        <v>100</v>
      </c>
      <c r="AA84" s="79">
        <f t="shared" ref="AA84" si="156">+SUM(AA73:AA83)</f>
        <v>100</v>
      </c>
      <c r="AB84" s="79">
        <f t="shared" ref="AB84" si="157">+SUM(AB73:AB83)</f>
        <v>100</v>
      </c>
      <c r="AC84" s="79">
        <f t="shared" ref="AC84" si="158">+SUM(AC73:AC83)</f>
        <v>100</v>
      </c>
      <c r="AD84" s="79">
        <f t="shared" ref="AD84" si="159">+SUM(AD73:AD83)</f>
        <v>100</v>
      </c>
      <c r="AE84" s="79">
        <f t="shared" ref="AE84" si="160">+SUM(AE73:AE83)</f>
        <v>100</v>
      </c>
      <c r="AF84" s="79">
        <f t="shared" ref="AF84" si="161">+SUM(AF73:AF83)</f>
        <v>100</v>
      </c>
      <c r="AG84" s="79">
        <f t="shared" ref="AG84" si="162">+SUM(AG73:AG83)</f>
        <v>100</v>
      </c>
      <c r="AH84" s="79">
        <f t="shared" ref="AH84" si="163">+SUM(AH73:AH83)</f>
        <v>100</v>
      </c>
      <c r="AI84" s="79">
        <f t="shared" ref="AI84" si="164">+SUM(AI73:AI83)</f>
        <v>100</v>
      </c>
      <c r="AJ84" s="79">
        <f t="shared" ref="AJ84" si="165">+SUM(AJ73:AJ83)</f>
        <v>100</v>
      </c>
    </row>
    <row r="85" spans="1:36" s="76" customFormat="1" ht="15.75" x14ac:dyDescent="0.25">
      <c r="A85" s="74" t="s">
        <v>773</v>
      </c>
      <c r="B85" s="75"/>
      <c r="C85" s="74"/>
      <c r="D85" s="74"/>
      <c r="E85" s="74"/>
      <c r="F85" s="74"/>
      <c r="G85" s="74"/>
      <c r="H85" s="74"/>
      <c r="I85" s="74"/>
      <c r="J85" s="74"/>
      <c r="K85" s="74"/>
      <c r="L85" s="74"/>
      <c r="M85" s="74"/>
      <c r="N85" s="74"/>
      <c r="O85" s="74"/>
      <c r="P85" s="74"/>
      <c r="Q85" s="74"/>
      <c r="R85" s="74"/>
      <c r="S85" s="74"/>
      <c r="T85" s="74"/>
      <c r="U85" s="74"/>
      <c r="V85" s="74"/>
      <c r="W85" s="74"/>
      <c r="X85" s="74"/>
      <c r="Y85" s="74"/>
      <c r="Z85" s="74"/>
      <c r="AA85" s="74"/>
      <c r="AB85" s="74"/>
      <c r="AC85" s="74"/>
      <c r="AD85" s="74"/>
      <c r="AE85" s="74"/>
      <c r="AF85" s="74"/>
      <c r="AG85" s="74"/>
      <c r="AH85" s="74"/>
      <c r="AI85" s="74"/>
      <c r="AJ85" s="74"/>
    </row>
    <row r="86" spans="1:36" x14ac:dyDescent="0.25">
      <c r="A86" t="s">
        <v>509</v>
      </c>
      <c r="B86" t="s">
        <v>305</v>
      </c>
      <c r="C86" s="25">
        <v>0</v>
      </c>
      <c r="D86" s="25">
        <v>0</v>
      </c>
      <c r="E86" s="25">
        <v>0</v>
      </c>
      <c r="F86" s="25">
        <v>0</v>
      </c>
      <c r="G86" s="25">
        <v>0</v>
      </c>
      <c r="H86" s="25">
        <v>0</v>
      </c>
      <c r="I86" s="25">
        <v>0</v>
      </c>
      <c r="J86" s="25">
        <v>0</v>
      </c>
      <c r="K86" s="25">
        <v>0</v>
      </c>
      <c r="L86" s="25">
        <v>0</v>
      </c>
      <c r="M86" s="25">
        <v>0</v>
      </c>
      <c r="N86" s="25">
        <v>0</v>
      </c>
      <c r="O86" s="25">
        <v>0</v>
      </c>
      <c r="P86" s="25">
        <v>0</v>
      </c>
      <c r="Q86" s="25">
        <v>0</v>
      </c>
      <c r="R86" s="25">
        <v>0</v>
      </c>
      <c r="S86" s="25">
        <v>0</v>
      </c>
      <c r="T86" s="25">
        <v>0</v>
      </c>
      <c r="U86" s="25">
        <v>0</v>
      </c>
      <c r="V86" s="25">
        <v>0</v>
      </c>
      <c r="W86" s="25">
        <v>0</v>
      </c>
      <c r="X86" s="25">
        <v>0</v>
      </c>
      <c r="Y86" s="25">
        <v>0</v>
      </c>
      <c r="Z86" s="25">
        <v>0</v>
      </c>
      <c r="AA86" s="25">
        <v>0</v>
      </c>
      <c r="AB86" s="25">
        <v>0</v>
      </c>
      <c r="AC86" s="25">
        <v>0</v>
      </c>
      <c r="AD86" s="25">
        <v>0</v>
      </c>
      <c r="AE86" s="25">
        <v>0</v>
      </c>
      <c r="AF86" s="25">
        <v>0</v>
      </c>
      <c r="AG86" s="25">
        <v>0</v>
      </c>
      <c r="AH86" s="25">
        <v>0</v>
      </c>
      <c r="AI86" s="25">
        <v>0</v>
      </c>
      <c r="AJ86" s="25">
        <v>0</v>
      </c>
    </row>
    <row r="87" spans="1:36" x14ac:dyDescent="0.25">
      <c r="A87" t="s">
        <v>510</v>
      </c>
      <c r="B87" t="s">
        <v>305</v>
      </c>
      <c r="C87" s="25">
        <v>0</v>
      </c>
      <c r="D87" s="25">
        <v>0</v>
      </c>
      <c r="E87" s="25">
        <v>0</v>
      </c>
      <c r="F87" s="25">
        <v>0</v>
      </c>
      <c r="G87" s="25">
        <v>0</v>
      </c>
      <c r="H87" s="25">
        <v>0</v>
      </c>
      <c r="I87" s="25">
        <v>0</v>
      </c>
      <c r="J87" s="25">
        <v>0</v>
      </c>
      <c r="K87" s="25">
        <v>0</v>
      </c>
      <c r="L87" s="25">
        <v>0</v>
      </c>
      <c r="M87" s="25">
        <v>0</v>
      </c>
      <c r="N87" s="25">
        <v>0</v>
      </c>
      <c r="O87" s="25">
        <v>0</v>
      </c>
      <c r="P87" s="25">
        <v>0</v>
      </c>
      <c r="Q87" s="25">
        <v>0</v>
      </c>
      <c r="R87" s="25">
        <v>0</v>
      </c>
      <c r="S87" s="25">
        <v>0</v>
      </c>
      <c r="T87" s="25">
        <v>0</v>
      </c>
      <c r="U87" s="25">
        <v>0</v>
      </c>
      <c r="V87" s="25">
        <v>0</v>
      </c>
      <c r="W87" s="25">
        <v>0</v>
      </c>
      <c r="X87" s="25">
        <v>0</v>
      </c>
      <c r="Y87" s="25">
        <v>0</v>
      </c>
      <c r="Z87" s="25">
        <v>0</v>
      </c>
      <c r="AA87" s="25">
        <v>0</v>
      </c>
      <c r="AB87" s="25">
        <v>0</v>
      </c>
      <c r="AC87" s="25">
        <v>0</v>
      </c>
      <c r="AD87" s="25">
        <v>0</v>
      </c>
      <c r="AE87" s="25">
        <v>0</v>
      </c>
      <c r="AF87" s="25">
        <v>0</v>
      </c>
      <c r="AG87" s="25">
        <v>0</v>
      </c>
      <c r="AH87" s="25">
        <v>0</v>
      </c>
      <c r="AI87" s="25">
        <v>0</v>
      </c>
      <c r="AJ87" s="25">
        <v>0</v>
      </c>
    </row>
    <row r="88" spans="1:36" x14ac:dyDescent="0.25">
      <c r="A88" t="s">
        <v>511</v>
      </c>
      <c r="B88" t="s">
        <v>305</v>
      </c>
      <c r="C88" s="25">
        <v>1</v>
      </c>
      <c r="D88" s="25">
        <v>1</v>
      </c>
      <c r="E88" s="25">
        <v>1</v>
      </c>
      <c r="F88" s="25">
        <v>1</v>
      </c>
      <c r="G88" s="25">
        <v>1</v>
      </c>
      <c r="H88" s="25">
        <v>1</v>
      </c>
      <c r="I88" s="25">
        <v>1</v>
      </c>
      <c r="J88" s="25">
        <v>1</v>
      </c>
      <c r="K88" s="25">
        <v>1</v>
      </c>
      <c r="L88" s="25">
        <v>1</v>
      </c>
      <c r="M88" s="25">
        <v>1</v>
      </c>
      <c r="N88" s="25">
        <v>1</v>
      </c>
      <c r="O88" s="25">
        <v>1</v>
      </c>
      <c r="P88" s="25">
        <v>1</v>
      </c>
      <c r="Q88" s="25">
        <v>1</v>
      </c>
      <c r="R88" s="25">
        <v>1</v>
      </c>
      <c r="S88" s="25">
        <v>1</v>
      </c>
      <c r="T88" s="25">
        <v>1</v>
      </c>
      <c r="U88" s="25">
        <v>1</v>
      </c>
      <c r="V88" s="25">
        <v>1</v>
      </c>
      <c r="W88" s="25">
        <v>1</v>
      </c>
      <c r="X88" s="25">
        <v>1</v>
      </c>
      <c r="Y88" s="25">
        <v>1</v>
      </c>
      <c r="Z88" s="25">
        <v>1</v>
      </c>
      <c r="AA88" s="25">
        <v>1</v>
      </c>
      <c r="AB88" s="25">
        <v>1</v>
      </c>
      <c r="AC88" s="25">
        <v>1</v>
      </c>
      <c r="AD88" s="25">
        <v>1</v>
      </c>
      <c r="AE88" s="25">
        <v>1</v>
      </c>
      <c r="AF88" s="25">
        <v>1</v>
      </c>
      <c r="AG88" s="25">
        <v>1</v>
      </c>
      <c r="AH88" s="25">
        <v>1</v>
      </c>
      <c r="AI88" s="25">
        <v>1</v>
      </c>
      <c r="AJ88" s="25">
        <v>1</v>
      </c>
    </row>
    <row r="89" spans="1:36" x14ac:dyDescent="0.25">
      <c r="A89" t="s">
        <v>512</v>
      </c>
      <c r="B89" t="s">
        <v>305</v>
      </c>
      <c r="C89" s="25">
        <v>0</v>
      </c>
      <c r="D89" s="25">
        <v>0</v>
      </c>
      <c r="E89" s="25">
        <v>0</v>
      </c>
      <c r="F89" s="25">
        <v>0</v>
      </c>
      <c r="G89" s="25">
        <v>0</v>
      </c>
      <c r="H89" s="25">
        <v>0</v>
      </c>
      <c r="I89" s="25">
        <v>0</v>
      </c>
      <c r="J89" s="25">
        <v>0</v>
      </c>
      <c r="K89" s="25">
        <v>0</v>
      </c>
      <c r="L89" s="25">
        <v>0</v>
      </c>
      <c r="M89" s="25">
        <v>0</v>
      </c>
      <c r="N89" s="25">
        <v>0</v>
      </c>
      <c r="O89" s="25">
        <v>0</v>
      </c>
      <c r="P89" s="25">
        <v>0</v>
      </c>
      <c r="Q89" s="25">
        <v>0</v>
      </c>
      <c r="R89" s="25">
        <v>0</v>
      </c>
      <c r="S89" s="25">
        <v>0</v>
      </c>
      <c r="T89" s="25">
        <v>0</v>
      </c>
      <c r="U89" s="25">
        <v>0</v>
      </c>
      <c r="V89" s="25">
        <v>0</v>
      </c>
      <c r="W89" s="25">
        <v>0</v>
      </c>
      <c r="X89" s="25">
        <v>0</v>
      </c>
      <c r="Y89" s="25">
        <v>0</v>
      </c>
      <c r="Z89" s="25">
        <v>0</v>
      </c>
      <c r="AA89" s="25">
        <v>0</v>
      </c>
      <c r="AB89" s="25">
        <v>0</v>
      </c>
      <c r="AC89" s="25">
        <v>0</v>
      </c>
      <c r="AD89" s="25">
        <v>0</v>
      </c>
      <c r="AE89" s="25">
        <v>0</v>
      </c>
      <c r="AF89" s="25">
        <v>0</v>
      </c>
      <c r="AG89" s="25">
        <v>0</v>
      </c>
      <c r="AH89" s="25">
        <v>0</v>
      </c>
      <c r="AI89" s="25">
        <v>0</v>
      </c>
      <c r="AJ89" s="25">
        <v>0</v>
      </c>
    </row>
    <row r="90" spans="1:36" x14ac:dyDescent="0.25">
      <c r="A90" t="s">
        <v>513</v>
      </c>
      <c r="B90" t="s">
        <v>305</v>
      </c>
      <c r="C90" s="25">
        <v>0</v>
      </c>
      <c r="D90" s="25">
        <v>0</v>
      </c>
      <c r="E90" s="25">
        <v>0</v>
      </c>
      <c r="F90" s="25">
        <v>0</v>
      </c>
      <c r="G90" s="25">
        <v>0</v>
      </c>
      <c r="H90" s="25">
        <v>0</v>
      </c>
      <c r="I90" s="25">
        <v>0</v>
      </c>
      <c r="J90" s="25">
        <v>0</v>
      </c>
      <c r="K90" s="25">
        <v>0</v>
      </c>
      <c r="L90" s="25">
        <v>0</v>
      </c>
      <c r="M90" s="25">
        <v>0</v>
      </c>
      <c r="N90" s="25">
        <v>0</v>
      </c>
      <c r="O90" s="25">
        <v>0</v>
      </c>
      <c r="P90" s="25">
        <v>0</v>
      </c>
      <c r="Q90" s="25">
        <v>0</v>
      </c>
      <c r="R90" s="25">
        <v>0</v>
      </c>
      <c r="S90" s="25">
        <v>0</v>
      </c>
      <c r="T90" s="25">
        <v>0</v>
      </c>
      <c r="U90" s="25">
        <v>0</v>
      </c>
      <c r="V90" s="25">
        <v>0</v>
      </c>
      <c r="W90" s="25">
        <v>0</v>
      </c>
      <c r="X90" s="25">
        <v>0</v>
      </c>
      <c r="Y90" s="25">
        <v>0</v>
      </c>
      <c r="Z90" s="25">
        <v>0</v>
      </c>
      <c r="AA90" s="25">
        <v>0</v>
      </c>
      <c r="AB90" s="25">
        <v>0</v>
      </c>
      <c r="AC90" s="25">
        <v>0</v>
      </c>
      <c r="AD90" s="25">
        <v>0</v>
      </c>
      <c r="AE90" s="25">
        <v>0</v>
      </c>
      <c r="AF90" s="25">
        <v>0</v>
      </c>
      <c r="AG90" s="25">
        <v>0</v>
      </c>
      <c r="AH90" s="25">
        <v>0</v>
      </c>
      <c r="AI90" s="25">
        <v>0</v>
      </c>
      <c r="AJ90" s="25">
        <v>0</v>
      </c>
    </row>
    <row r="91" spans="1:36" x14ac:dyDescent="0.25">
      <c r="A91" t="s">
        <v>514</v>
      </c>
      <c r="B91" t="s">
        <v>305</v>
      </c>
      <c r="C91" s="25">
        <v>0</v>
      </c>
      <c r="D91" s="25">
        <v>0</v>
      </c>
      <c r="E91" s="25">
        <v>0</v>
      </c>
      <c r="F91" s="25">
        <v>0</v>
      </c>
      <c r="G91" s="25">
        <v>0</v>
      </c>
      <c r="H91" s="25">
        <v>0</v>
      </c>
      <c r="I91" s="25">
        <v>0</v>
      </c>
      <c r="J91" s="25">
        <v>0</v>
      </c>
      <c r="K91" s="25">
        <v>0</v>
      </c>
      <c r="L91" s="25">
        <v>0</v>
      </c>
      <c r="M91" s="25">
        <v>0</v>
      </c>
      <c r="N91" s="25">
        <v>0</v>
      </c>
      <c r="O91" s="25">
        <v>0</v>
      </c>
      <c r="P91" s="25">
        <v>0</v>
      </c>
      <c r="Q91" s="25">
        <v>0</v>
      </c>
      <c r="R91" s="25">
        <v>0</v>
      </c>
      <c r="S91" s="25">
        <v>0</v>
      </c>
      <c r="T91" s="25">
        <v>0</v>
      </c>
      <c r="U91" s="25">
        <v>0</v>
      </c>
      <c r="V91" s="25">
        <v>0</v>
      </c>
      <c r="W91" s="25">
        <v>0</v>
      </c>
      <c r="X91" s="25">
        <v>0</v>
      </c>
      <c r="Y91" s="25">
        <v>0</v>
      </c>
      <c r="Z91" s="25">
        <v>0</v>
      </c>
      <c r="AA91" s="25">
        <v>0</v>
      </c>
      <c r="AB91" s="25">
        <v>0</v>
      </c>
      <c r="AC91" s="25">
        <v>0</v>
      </c>
      <c r="AD91" s="25">
        <v>0</v>
      </c>
      <c r="AE91" s="25">
        <v>0</v>
      </c>
      <c r="AF91" s="25">
        <v>0</v>
      </c>
      <c r="AG91" s="25">
        <v>0</v>
      </c>
      <c r="AH91" s="25">
        <v>0</v>
      </c>
      <c r="AI91" s="25">
        <v>0</v>
      </c>
      <c r="AJ91" s="25">
        <v>0</v>
      </c>
    </row>
    <row r="92" spans="1:36" x14ac:dyDescent="0.25">
      <c r="A92" t="s">
        <v>515</v>
      </c>
      <c r="B92" t="s">
        <v>305</v>
      </c>
      <c r="C92" s="25">
        <v>0</v>
      </c>
      <c r="D92" s="25">
        <v>0</v>
      </c>
      <c r="E92" s="25">
        <v>0</v>
      </c>
      <c r="F92" s="25">
        <v>0</v>
      </c>
      <c r="G92" s="25">
        <v>0</v>
      </c>
      <c r="H92" s="25">
        <v>0</v>
      </c>
      <c r="I92" s="25">
        <v>0</v>
      </c>
      <c r="J92" s="25">
        <v>0</v>
      </c>
      <c r="K92" s="25">
        <v>0</v>
      </c>
      <c r="L92" s="25">
        <v>0</v>
      </c>
      <c r="M92" s="25">
        <v>0</v>
      </c>
      <c r="N92" s="25">
        <v>0</v>
      </c>
      <c r="O92" s="25">
        <v>0</v>
      </c>
      <c r="P92" s="25">
        <v>0</v>
      </c>
      <c r="Q92" s="25">
        <v>0</v>
      </c>
      <c r="R92" s="25">
        <v>0</v>
      </c>
      <c r="S92" s="25">
        <v>0</v>
      </c>
      <c r="T92" s="25">
        <v>0</v>
      </c>
      <c r="U92" s="25">
        <v>0</v>
      </c>
      <c r="V92" s="25">
        <v>0</v>
      </c>
      <c r="W92" s="25">
        <v>0</v>
      </c>
      <c r="X92" s="25">
        <v>0</v>
      </c>
      <c r="Y92" s="25">
        <v>0</v>
      </c>
      <c r="Z92" s="25">
        <v>0</v>
      </c>
      <c r="AA92" s="25">
        <v>0</v>
      </c>
      <c r="AB92" s="25">
        <v>0</v>
      </c>
      <c r="AC92" s="25">
        <v>0</v>
      </c>
      <c r="AD92" s="25">
        <v>0</v>
      </c>
      <c r="AE92" s="25">
        <v>0</v>
      </c>
      <c r="AF92" s="25">
        <v>0</v>
      </c>
      <c r="AG92" s="25">
        <v>0</v>
      </c>
      <c r="AH92" s="25">
        <v>0</v>
      </c>
      <c r="AI92" s="25">
        <v>0</v>
      </c>
      <c r="AJ92" s="25">
        <v>0</v>
      </c>
    </row>
    <row r="93" spans="1:36" x14ac:dyDescent="0.25">
      <c r="A93" t="s">
        <v>516</v>
      </c>
      <c r="B93" t="s">
        <v>305</v>
      </c>
      <c r="C93" s="25">
        <v>0</v>
      </c>
      <c r="D93" s="25">
        <v>0</v>
      </c>
      <c r="E93" s="25">
        <v>0</v>
      </c>
      <c r="F93" s="25">
        <v>0</v>
      </c>
      <c r="G93" s="25">
        <v>0</v>
      </c>
      <c r="H93" s="25">
        <v>0</v>
      </c>
      <c r="I93" s="25">
        <v>0</v>
      </c>
      <c r="J93" s="25">
        <v>0</v>
      </c>
      <c r="K93" s="25">
        <v>0</v>
      </c>
      <c r="L93" s="25">
        <v>0</v>
      </c>
      <c r="M93" s="25">
        <v>0</v>
      </c>
      <c r="N93" s="25">
        <v>0</v>
      </c>
      <c r="O93" s="25">
        <v>0</v>
      </c>
      <c r="P93" s="25">
        <v>0</v>
      </c>
      <c r="Q93" s="25">
        <v>0</v>
      </c>
      <c r="R93" s="25">
        <v>0</v>
      </c>
      <c r="S93" s="25">
        <v>0</v>
      </c>
      <c r="T93" s="25">
        <v>0</v>
      </c>
      <c r="U93" s="25">
        <v>0</v>
      </c>
      <c r="V93" s="25">
        <v>0</v>
      </c>
      <c r="W93" s="25">
        <v>0</v>
      </c>
      <c r="X93" s="25">
        <v>0</v>
      </c>
      <c r="Y93" s="25">
        <v>0</v>
      </c>
      <c r="Z93" s="25">
        <v>0</v>
      </c>
      <c r="AA93" s="25">
        <v>0</v>
      </c>
      <c r="AB93" s="25">
        <v>0</v>
      </c>
      <c r="AC93" s="25">
        <v>0</v>
      </c>
      <c r="AD93" s="25">
        <v>0</v>
      </c>
      <c r="AE93" s="25">
        <v>0</v>
      </c>
      <c r="AF93" s="25">
        <v>0</v>
      </c>
      <c r="AG93" s="25">
        <v>0</v>
      </c>
      <c r="AH93" s="25">
        <v>0</v>
      </c>
      <c r="AI93" s="25">
        <v>0</v>
      </c>
      <c r="AJ93" s="25">
        <v>0</v>
      </c>
    </row>
    <row r="94" spans="1:36" x14ac:dyDescent="0.25">
      <c r="A94" t="s">
        <v>517</v>
      </c>
      <c r="B94" t="s">
        <v>305</v>
      </c>
      <c r="C94" s="25">
        <v>0</v>
      </c>
      <c r="D94" s="25">
        <v>0</v>
      </c>
      <c r="E94" s="25">
        <v>0</v>
      </c>
      <c r="F94" s="25">
        <v>0</v>
      </c>
      <c r="G94" s="25">
        <v>0</v>
      </c>
      <c r="H94" s="25">
        <v>0</v>
      </c>
      <c r="I94" s="25">
        <v>0</v>
      </c>
      <c r="J94" s="25">
        <v>0</v>
      </c>
      <c r="K94" s="25">
        <v>0</v>
      </c>
      <c r="L94" s="25">
        <v>0</v>
      </c>
      <c r="M94" s="25">
        <v>0</v>
      </c>
      <c r="N94" s="25">
        <v>0</v>
      </c>
      <c r="O94" s="25">
        <v>0</v>
      </c>
      <c r="P94" s="25">
        <v>0</v>
      </c>
      <c r="Q94" s="25">
        <v>0</v>
      </c>
      <c r="R94" s="25">
        <v>0</v>
      </c>
      <c r="S94" s="25">
        <v>0</v>
      </c>
      <c r="T94" s="25">
        <v>0</v>
      </c>
      <c r="U94" s="25">
        <v>0</v>
      </c>
      <c r="V94" s="25">
        <v>0</v>
      </c>
      <c r="W94" s="25">
        <v>0</v>
      </c>
      <c r="X94" s="25">
        <v>0</v>
      </c>
      <c r="Y94" s="25">
        <v>0</v>
      </c>
      <c r="Z94" s="25">
        <v>0</v>
      </c>
      <c r="AA94" s="25">
        <v>0</v>
      </c>
      <c r="AB94" s="25">
        <v>0</v>
      </c>
      <c r="AC94" s="25">
        <v>0</v>
      </c>
      <c r="AD94" s="25">
        <v>0</v>
      </c>
      <c r="AE94" s="25">
        <v>0</v>
      </c>
      <c r="AF94" s="25">
        <v>0</v>
      </c>
      <c r="AG94" s="25">
        <v>0</v>
      </c>
      <c r="AH94" s="25">
        <v>0</v>
      </c>
      <c r="AI94" s="25">
        <v>0</v>
      </c>
      <c r="AJ94" s="25">
        <v>0</v>
      </c>
    </row>
    <row r="95" spans="1:36" x14ac:dyDescent="0.25">
      <c r="A95" t="s">
        <v>518</v>
      </c>
      <c r="B95" t="s">
        <v>305</v>
      </c>
      <c r="C95" s="25">
        <v>99</v>
      </c>
      <c r="D95" s="25">
        <v>99</v>
      </c>
      <c r="E95" s="25">
        <v>99</v>
      </c>
      <c r="F95" s="25">
        <v>99</v>
      </c>
      <c r="G95" s="25">
        <v>99</v>
      </c>
      <c r="H95" s="25">
        <v>99</v>
      </c>
      <c r="I95" s="25">
        <v>99</v>
      </c>
      <c r="J95" s="25">
        <v>99</v>
      </c>
      <c r="K95" s="25">
        <v>99</v>
      </c>
      <c r="L95" s="25">
        <v>99</v>
      </c>
      <c r="M95" s="25">
        <v>99</v>
      </c>
      <c r="N95" s="25">
        <v>99</v>
      </c>
      <c r="O95" s="25">
        <v>99</v>
      </c>
      <c r="P95" s="25">
        <v>99</v>
      </c>
      <c r="Q95" s="25">
        <v>99</v>
      </c>
      <c r="R95" s="25">
        <v>99</v>
      </c>
      <c r="S95" s="25">
        <v>99</v>
      </c>
      <c r="T95" s="25">
        <v>99</v>
      </c>
      <c r="U95" s="25">
        <v>99</v>
      </c>
      <c r="V95" s="25">
        <v>99</v>
      </c>
      <c r="W95" s="25">
        <v>99</v>
      </c>
      <c r="X95" s="25">
        <v>99</v>
      </c>
      <c r="Y95" s="25">
        <v>99</v>
      </c>
      <c r="Z95" s="25">
        <v>99</v>
      </c>
      <c r="AA95" s="25">
        <v>99</v>
      </c>
      <c r="AB95" s="25">
        <v>99</v>
      </c>
      <c r="AC95" s="25">
        <v>99</v>
      </c>
      <c r="AD95" s="25">
        <v>99</v>
      </c>
      <c r="AE95" s="25">
        <v>99</v>
      </c>
      <c r="AF95" s="25">
        <v>99</v>
      </c>
      <c r="AG95" s="25">
        <v>99</v>
      </c>
      <c r="AH95" s="25">
        <v>99</v>
      </c>
      <c r="AI95" s="25">
        <v>99</v>
      </c>
      <c r="AJ95" s="25">
        <v>99</v>
      </c>
    </row>
    <row r="96" spans="1:36" x14ac:dyDescent="0.25">
      <c r="A96" t="s">
        <v>757</v>
      </c>
      <c r="B96" t="s">
        <v>305</v>
      </c>
      <c r="C96" s="25">
        <v>0</v>
      </c>
      <c r="D96" s="25">
        <v>0</v>
      </c>
      <c r="E96" s="25">
        <v>0</v>
      </c>
      <c r="F96" s="25">
        <v>0</v>
      </c>
      <c r="G96" s="25">
        <v>0</v>
      </c>
      <c r="H96" s="25">
        <v>0</v>
      </c>
      <c r="I96" s="25">
        <v>0</v>
      </c>
      <c r="J96" s="25">
        <v>0</v>
      </c>
      <c r="K96" s="25">
        <v>0</v>
      </c>
      <c r="L96" s="25">
        <v>0</v>
      </c>
      <c r="M96" s="25">
        <v>0</v>
      </c>
      <c r="N96" s="25">
        <v>0</v>
      </c>
      <c r="O96" s="25">
        <v>0</v>
      </c>
      <c r="P96" s="25">
        <v>0</v>
      </c>
      <c r="Q96" s="25">
        <v>0</v>
      </c>
      <c r="R96" s="25">
        <v>0</v>
      </c>
      <c r="S96" s="25">
        <v>0</v>
      </c>
      <c r="T96" s="25">
        <v>0</v>
      </c>
      <c r="U96" s="25">
        <v>0</v>
      </c>
      <c r="V96" s="25">
        <v>0</v>
      </c>
      <c r="W96" s="25">
        <v>0</v>
      </c>
      <c r="X96" s="25">
        <v>0</v>
      </c>
      <c r="Y96" s="25">
        <v>0</v>
      </c>
      <c r="Z96" s="25">
        <v>0</v>
      </c>
      <c r="AA96" s="25">
        <v>0</v>
      </c>
      <c r="AB96" s="25">
        <v>0</v>
      </c>
      <c r="AC96" s="25">
        <v>0</v>
      </c>
      <c r="AD96" s="25">
        <v>0</v>
      </c>
      <c r="AE96" s="25">
        <v>0</v>
      </c>
      <c r="AF96" s="25">
        <v>0</v>
      </c>
      <c r="AG96" s="25">
        <v>0</v>
      </c>
      <c r="AH96" s="25">
        <v>0</v>
      </c>
      <c r="AI96" s="25">
        <v>0</v>
      </c>
      <c r="AJ96" s="25">
        <v>0</v>
      </c>
    </row>
    <row r="97" spans="1:36" x14ac:dyDescent="0.25">
      <c r="A97" t="s">
        <v>519</v>
      </c>
      <c r="B97" t="s">
        <v>305</v>
      </c>
      <c r="C97" s="25">
        <v>0</v>
      </c>
      <c r="D97" s="25">
        <v>0</v>
      </c>
      <c r="E97" s="25">
        <v>0</v>
      </c>
      <c r="F97" s="25">
        <v>0</v>
      </c>
      <c r="G97" s="25">
        <v>0</v>
      </c>
      <c r="H97" s="25">
        <v>0</v>
      </c>
      <c r="I97" s="25">
        <v>0</v>
      </c>
      <c r="J97" s="25">
        <v>0</v>
      </c>
      <c r="K97" s="25">
        <v>0</v>
      </c>
      <c r="L97" s="25">
        <v>0</v>
      </c>
      <c r="M97" s="25">
        <v>0</v>
      </c>
      <c r="N97" s="25">
        <v>0</v>
      </c>
      <c r="O97" s="25">
        <v>0</v>
      </c>
      <c r="P97" s="25">
        <v>0</v>
      </c>
      <c r="Q97" s="25">
        <v>0</v>
      </c>
      <c r="R97" s="25">
        <v>0</v>
      </c>
      <c r="S97" s="25">
        <v>0</v>
      </c>
      <c r="T97" s="25">
        <v>0</v>
      </c>
      <c r="U97" s="25">
        <v>0</v>
      </c>
      <c r="V97" s="25">
        <v>0</v>
      </c>
      <c r="W97" s="25">
        <v>0</v>
      </c>
      <c r="X97" s="25">
        <v>0</v>
      </c>
      <c r="Y97" s="25">
        <v>0</v>
      </c>
      <c r="Z97" s="25">
        <v>0</v>
      </c>
      <c r="AA97" s="25">
        <v>0</v>
      </c>
      <c r="AB97" s="25">
        <v>0</v>
      </c>
      <c r="AC97" s="25">
        <v>0</v>
      </c>
      <c r="AD97" s="25">
        <v>0</v>
      </c>
      <c r="AE97" s="25">
        <v>0</v>
      </c>
      <c r="AF97" s="25">
        <v>0</v>
      </c>
      <c r="AG97" s="25">
        <v>0</v>
      </c>
      <c r="AH97" s="25">
        <v>0</v>
      </c>
      <c r="AI97" s="25">
        <v>0</v>
      </c>
      <c r="AJ97" s="25">
        <v>0</v>
      </c>
    </row>
    <row r="98" spans="1:36" x14ac:dyDescent="0.25">
      <c r="A98" t="s">
        <v>520</v>
      </c>
      <c r="B98" t="s">
        <v>305</v>
      </c>
      <c r="C98" s="25">
        <v>0</v>
      </c>
      <c r="D98" s="25">
        <v>0</v>
      </c>
      <c r="E98" s="25">
        <v>0</v>
      </c>
      <c r="F98" s="25">
        <v>0</v>
      </c>
      <c r="G98" s="25">
        <v>0</v>
      </c>
      <c r="H98" s="25">
        <v>0</v>
      </c>
      <c r="I98" s="25">
        <v>0</v>
      </c>
      <c r="J98" s="25">
        <v>0</v>
      </c>
      <c r="K98" s="25">
        <v>0</v>
      </c>
      <c r="L98" s="25">
        <v>0</v>
      </c>
      <c r="M98" s="25">
        <v>0</v>
      </c>
      <c r="N98" s="25">
        <v>0</v>
      </c>
      <c r="O98" s="25">
        <v>0</v>
      </c>
      <c r="P98" s="25">
        <v>0</v>
      </c>
      <c r="Q98" s="25">
        <v>0</v>
      </c>
      <c r="R98" s="25">
        <v>0</v>
      </c>
      <c r="S98" s="25">
        <v>0</v>
      </c>
      <c r="T98" s="25">
        <v>0</v>
      </c>
      <c r="U98" s="25">
        <v>0</v>
      </c>
      <c r="V98" s="25">
        <v>0</v>
      </c>
      <c r="W98" s="25">
        <v>0</v>
      </c>
      <c r="X98" s="25">
        <v>0</v>
      </c>
      <c r="Y98" s="25">
        <v>0</v>
      </c>
      <c r="Z98" s="25">
        <v>0</v>
      </c>
      <c r="AA98" s="25">
        <v>0</v>
      </c>
      <c r="AB98" s="25">
        <v>0</v>
      </c>
      <c r="AC98" s="25">
        <v>0</v>
      </c>
      <c r="AD98" s="25">
        <v>0</v>
      </c>
      <c r="AE98" s="25">
        <v>0</v>
      </c>
      <c r="AF98" s="25">
        <v>0</v>
      </c>
      <c r="AG98" s="25">
        <v>0</v>
      </c>
      <c r="AH98" s="25">
        <v>0</v>
      </c>
      <c r="AI98" s="25">
        <v>0</v>
      </c>
      <c r="AJ98" s="25">
        <v>0</v>
      </c>
    </row>
    <row r="99" spans="1:36" x14ac:dyDescent="0.25">
      <c r="A99" t="s">
        <v>521</v>
      </c>
      <c r="B99" t="s">
        <v>305</v>
      </c>
      <c r="C99" s="25">
        <v>2</v>
      </c>
      <c r="D99" s="25">
        <v>2</v>
      </c>
      <c r="E99" s="25">
        <v>2</v>
      </c>
      <c r="F99" s="25">
        <v>2</v>
      </c>
      <c r="G99" s="25">
        <v>2</v>
      </c>
      <c r="H99" s="25">
        <v>2</v>
      </c>
      <c r="I99" s="25">
        <v>2</v>
      </c>
      <c r="J99" s="25">
        <v>2</v>
      </c>
      <c r="K99" s="25">
        <v>2</v>
      </c>
      <c r="L99" s="25">
        <v>2</v>
      </c>
      <c r="M99" s="25">
        <v>2</v>
      </c>
      <c r="N99" s="25">
        <v>2</v>
      </c>
      <c r="O99" s="25">
        <v>2</v>
      </c>
      <c r="P99" s="25">
        <v>2</v>
      </c>
      <c r="Q99" s="25">
        <v>2</v>
      </c>
      <c r="R99" s="25">
        <v>2</v>
      </c>
      <c r="S99" s="25">
        <v>2</v>
      </c>
      <c r="T99" s="25">
        <v>2</v>
      </c>
      <c r="U99" s="25">
        <v>2</v>
      </c>
      <c r="V99" s="25">
        <v>2</v>
      </c>
      <c r="W99" s="25">
        <v>2</v>
      </c>
      <c r="X99" s="25">
        <v>2</v>
      </c>
      <c r="Y99" s="25">
        <v>2</v>
      </c>
      <c r="Z99" s="25">
        <v>2</v>
      </c>
      <c r="AA99" s="25">
        <v>2</v>
      </c>
      <c r="AB99" s="25">
        <v>2</v>
      </c>
      <c r="AC99" s="25">
        <v>2</v>
      </c>
      <c r="AD99" s="25">
        <v>2</v>
      </c>
      <c r="AE99" s="25">
        <v>2</v>
      </c>
      <c r="AF99" s="25">
        <v>2</v>
      </c>
      <c r="AG99" s="25">
        <v>2</v>
      </c>
      <c r="AH99" s="25">
        <v>2</v>
      </c>
      <c r="AI99" s="25">
        <v>2</v>
      </c>
      <c r="AJ99" s="25">
        <v>2</v>
      </c>
    </row>
    <row r="100" spans="1:36" x14ac:dyDescent="0.25">
      <c r="A100" t="s">
        <v>522</v>
      </c>
      <c r="B100" t="s">
        <v>305</v>
      </c>
      <c r="C100" s="25">
        <v>0</v>
      </c>
      <c r="D100" s="25">
        <v>0</v>
      </c>
      <c r="E100" s="25">
        <v>0</v>
      </c>
      <c r="F100" s="25">
        <v>0</v>
      </c>
      <c r="G100" s="25">
        <v>0</v>
      </c>
      <c r="H100" s="25">
        <v>0</v>
      </c>
      <c r="I100" s="25">
        <v>0</v>
      </c>
      <c r="J100" s="25">
        <v>0</v>
      </c>
      <c r="K100" s="25">
        <v>0</v>
      </c>
      <c r="L100" s="25">
        <v>0</v>
      </c>
      <c r="M100" s="25">
        <v>0</v>
      </c>
      <c r="N100" s="25">
        <v>0</v>
      </c>
      <c r="O100" s="25">
        <v>0</v>
      </c>
      <c r="P100" s="25">
        <v>0</v>
      </c>
      <c r="Q100" s="25">
        <v>0</v>
      </c>
      <c r="R100" s="25">
        <v>0</v>
      </c>
      <c r="S100" s="25">
        <v>0</v>
      </c>
      <c r="T100" s="25">
        <v>0</v>
      </c>
      <c r="U100" s="25">
        <v>0</v>
      </c>
      <c r="V100" s="25">
        <v>0</v>
      </c>
      <c r="W100" s="25">
        <v>0</v>
      </c>
      <c r="X100" s="25">
        <v>0</v>
      </c>
      <c r="Y100" s="25">
        <v>0</v>
      </c>
      <c r="Z100" s="25">
        <v>0</v>
      </c>
      <c r="AA100" s="25">
        <v>0</v>
      </c>
      <c r="AB100" s="25">
        <v>0</v>
      </c>
      <c r="AC100" s="25">
        <v>0</v>
      </c>
      <c r="AD100" s="25">
        <v>0</v>
      </c>
      <c r="AE100" s="25">
        <v>0</v>
      </c>
      <c r="AF100" s="25">
        <v>0</v>
      </c>
      <c r="AG100" s="25">
        <v>0</v>
      </c>
      <c r="AH100" s="25">
        <v>0</v>
      </c>
      <c r="AI100" s="25">
        <v>0</v>
      </c>
      <c r="AJ100" s="25">
        <v>0</v>
      </c>
    </row>
    <row r="101" spans="1:36" x14ac:dyDescent="0.25">
      <c r="A101" t="s">
        <v>523</v>
      </c>
      <c r="B101" t="s">
        <v>305</v>
      </c>
      <c r="C101" s="25">
        <v>0</v>
      </c>
      <c r="D101" s="25">
        <v>0</v>
      </c>
      <c r="E101" s="25">
        <v>0</v>
      </c>
      <c r="F101" s="25">
        <v>0</v>
      </c>
      <c r="G101" s="25">
        <v>0</v>
      </c>
      <c r="H101" s="25">
        <v>0</v>
      </c>
      <c r="I101" s="25">
        <v>0</v>
      </c>
      <c r="J101" s="25">
        <v>0</v>
      </c>
      <c r="K101" s="25">
        <v>0</v>
      </c>
      <c r="L101" s="25">
        <v>0</v>
      </c>
      <c r="M101" s="25">
        <v>0</v>
      </c>
      <c r="N101" s="25">
        <v>0</v>
      </c>
      <c r="O101" s="25">
        <v>0</v>
      </c>
      <c r="P101" s="25">
        <v>0</v>
      </c>
      <c r="Q101" s="25">
        <v>0</v>
      </c>
      <c r="R101" s="25">
        <v>0</v>
      </c>
      <c r="S101" s="25">
        <v>0</v>
      </c>
      <c r="T101" s="25">
        <v>0</v>
      </c>
      <c r="U101" s="25">
        <v>0</v>
      </c>
      <c r="V101" s="25">
        <v>0</v>
      </c>
      <c r="W101" s="25">
        <v>0</v>
      </c>
      <c r="X101" s="25">
        <v>0</v>
      </c>
      <c r="Y101" s="25">
        <v>0</v>
      </c>
      <c r="Z101" s="25">
        <v>0</v>
      </c>
      <c r="AA101" s="25">
        <v>0</v>
      </c>
      <c r="AB101" s="25">
        <v>0</v>
      </c>
      <c r="AC101" s="25">
        <v>0</v>
      </c>
      <c r="AD101" s="25">
        <v>0</v>
      </c>
      <c r="AE101" s="25">
        <v>0</v>
      </c>
      <c r="AF101" s="25">
        <v>0</v>
      </c>
      <c r="AG101" s="25">
        <v>0</v>
      </c>
      <c r="AH101" s="25">
        <v>0</v>
      </c>
      <c r="AI101" s="25">
        <v>0</v>
      </c>
      <c r="AJ101" s="25">
        <v>0</v>
      </c>
    </row>
    <row r="102" spans="1:36" x14ac:dyDescent="0.25">
      <c r="A102" t="s">
        <v>524</v>
      </c>
      <c r="B102" t="s">
        <v>305</v>
      </c>
      <c r="C102" s="25">
        <v>0</v>
      </c>
      <c r="D102" s="25">
        <v>0</v>
      </c>
      <c r="E102" s="25">
        <v>0</v>
      </c>
      <c r="F102" s="25">
        <v>0</v>
      </c>
      <c r="G102" s="25">
        <v>0</v>
      </c>
      <c r="H102" s="25">
        <v>0</v>
      </c>
      <c r="I102" s="25">
        <v>0</v>
      </c>
      <c r="J102" s="25">
        <v>0</v>
      </c>
      <c r="K102" s="25">
        <v>0</v>
      </c>
      <c r="L102" s="25">
        <v>0</v>
      </c>
      <c r="M102" s="25">
        <v>0</v>
      </c>
      <c r="N102" s="25">
        <v>0</v>
      </c>
      <c r="O102" s="25">
        <v>0</v>
      </c>
      <c r="P102" s="25">
        <v>0</v>
      </c>
      <c r="Q102" s="25">
        <v>0</v>
      </c>
      <c r="R102" s="25">
        <v>0</v>
      </c>
      <c r="S102" s="25">
        <v>0</v>
      </c>
      <c r="T102" s="25">
        <v>0</v>
      </c>
      <c r="U102" s="25">
        <v>0</v>
      </c>
      <c r="V102" s="25">
        <v>0</v>
      </c>
      <c r="W102" s="25">
        <v>0</v>
      </c>
      <c r="X102" s="25">
        <v>0</v>
      </c>
      <c r="Y102" s="25">
        <v>0</v>
      </c>
      <c r="Z102" s="25">
        <v>0</v>
      </c>
      <c r="AA102" s="25">
        <v>0</v>
      </c>
      <c r="AB102" s="25">
        <v>0</v>
      </c>
      <c r="AC102" s="25">
        <v>0</v>
      </c>
      <c r="AD102" s="25">
        <v>0</v>
      </c>
      <c r="AE102" s="25">
        <v>0</v>
      </c>
      <c r="AF102" s="25">
        <v>0</v>
      </c>
      <c r="AG102" s="25">
        <v>0</v>
      </c>
      <c r="AH102" s="25">
        <v>0</v>
      </c>
      <c r="AI102" s="25">
        <v>0</v>
      </c>
      <c r="AJ102" s="25">
        <v>0</v>
      </c>
    </row>
    <row r="103" spans="1:36" x14ac:dyDescent="0.25">
      <c r="A103" t="s">
        <v>525</v>
      </c>
      <c r="B103" t="s">
        <v>305</v>
      </c>
      <c r="C103" s="25">
        <v>5</v>
      </c>
      <c r="D103" s="25">
        <v>5</v>
      </c>
      <c r="E103" s="25">
        <v>5</v>
      </c>
      <c r="F103" s="25">
        <v>5</v>
      </c>
      <c r="G103" s="25">
        <v>5</v>
      </c>
      <c r="H103" s="25">
        <v>5</v>
      </c>
      <c r="I103" s="25">
        <v>5</v>
      </c>
      <c r="J103" s="25">
        <v>5</v>
      </c>
      <c r="K103" s="25">
        <v>5</v>
      </c>
      <c r="L103" s="25">
        <v>5</v>
      </c>
      <c r="M103" s="25">
        <v>5</v>
      </c>
      <c r="N103" s="25">
        <v>5</v>
      </c>
      <c r="O103" s="25">
        <v>5</v>
      </c>
      <c r="P103" s="25">
        <v>5</v>
      </c>
      <c r="Q103" s="25">
        <v>5</v>
      </c>
      <c r="R103" s="25">
        <v>5</v>
      </c>
      <c r="S103" s="25">
        <v>5</v>
      </c>
      <c r="T103" s="25">
        <v>5</v>
      </c>
      <c r="U103" s="25">
        <v>5</v>
      </c>
      <c r="V103" s="25">
        <v>5</v>
      </c>
      <c r="W103" s="25">
        <v>5</v>
      </c>
      <c r="X103" s="25">
        <v>5</v>
      </c>
      <c r="Y103" s="25">
        <v>5</v>
      </c>
      <c r="Z103" s="25">
        <v>5</v>
      </c>
      <c r="AA103" s="25">
        <v>5</v>
      </c>
      <c r="AB103" s="25">
        <v>5</v>
      </c>
      <c r="AC103" s="25">
        <v>5</v>
      </c>
      <c r="AD103" s="25">
        <v>5</v>
      </c>
      <c r="AE103" s="25">
        <v>5</v>
      </c>
      <c r="AF103" s="25">
        <v>5</v>
      </c>
      <c r="AG103" s="25">
        <v>5</v>
      </c>
      <c r="AH103" s="25">
        <v>5</v>
      </c>
      <c r="AI103" s="25">
        <v>5</v>
      </c>
      <c r="AJ103" s="25">
        <v>5</v>
      </c>
    </row>
    <row r="104" spans="1:36" x14ac:dyDescent="0.25">
      <c r="A104" t="s">
        <v>526</v>
      </c>
      <c r="B104" t="s">
        <v>305</v>
      </c>
      <c r="C104" s="25">
        <v>0</v>
      </c>
      <c r="D104" s="25">
        <v>0</v>
      </c>
      <c r="E104" s="25">
        <v>0</v>
      </c>
      <c r="F104" s="25">
        <v>0</v>
      </c>
      <c r="G104" s="25">
        <v>0</v>
      </c>
      <c r="H104" s="25">
        <v>0</v>
      </c>
      <c r="I104" s="25">
        <v>0</v>
      </c>
      <c r="J104" s="25">
        <v>0</v>
      </c>
      <c r="K104" s="25">
        <v>0</v>
      </c>
      <c r="L104" s="25">
        <v>0</v>
      </c>
      <c r="M104" s="25">
        <v>0</v>
      </c>
      <c r="N104" s="25">
        <v>0</v>
      </c>
      <c r="O104" s="25">
        <v>0</v>
      </c>
      <c r="P104" s="25">
        <v>0</v>
      </c>
      <c r="Q104" s="25">
        <v>0</v>
      </c>
      <c r="R104" s="25">
        <v>0</v>
      </c>
      <c r="S104" s="25">
        <v>0</v>
      </c>
      <c r="T104" s="25">
        <v>0</v>
      </c>
      <c r="U104" s="25">
        <v>0</v>
      </c>
      <c r="V104" s="25">
        <v>0</v>
      </c>
      <c r="W104" s="25">
        <v>0</v>
      </c>
      <c r="X104" s="25">
        <v>0</v>
      </c>
      <c r="Y104" s="25">
        <v>0</v>
      </c>
      <c r="Z104" s="25">
        <v>0</v>
      </c>
      <c r="AA104" s="25">
        <v>0</v>
      </c>
      <c r="AB104" s="25">
        <v>0</v>
      </c>
      <c r="AC104" s="25">
        <v>0</v>
      </c>
      <c r="AD104" s="25">
        <v>0</v>
      </c>
      <c r="AE104" s="25">
        <v>0</v>
      </c>
      <c r="AF104" s="25">
        <v>0</v>
      </c>
      <c r="AG104" s="25">
        <v>0</v>
      </c>
      <c r="AH104" s="25">
        <v>0</v>
      </c>
      <c r="AI104" s="25">
        <v>0</v>
      </c>
      <c r="AJ104" s="25">
        <v>0</v>
      </c>
    </row>
    <row r="105" spans="1:36" x14ac:dyDescent="0.25">
      <c r="A105" t="s">
        <v>527</v>
      </c>
      <c r="B105" t="s">
        <v>305</v>
      </c>
      <c r="C105" s="25">
        <v>0</v>
      </c>
      <c r="D105" s="25">
        <v>0</v>
      </c>
      <c r="E105" s="25">
        <v>0</v>
      </c>
      <c r="F105" s="25">
        <v>0</v>
      </c>
      <c r="G105" s="25">
        <v>0</v>
      </c>
      <c r="H105" s="25">
        <v>0</v>
      </c>
      <c r="I105" s="25">
        <v>0</v>
      </c>
      <c r="J105" s="25">
        <v>0</v>
      </c>
      <c r="K105" s="25">
        <v>0</v>
      </c>
      <c r="L105" s="25">
        <v>0</v>
      </c>
      <c r="M105" s="25">
        <v>0</v>
      </c>
      <c r="N105" s="25">
        <v>0</v>
      </c>
      <c r="O105" s="25">
        <v>0</v>
      </c>
      <c r="P105" s="25">
        <v>0</v>
      </c>
      <c r="Q105" s="25">
        <v>0</v>
      </c>
      <c r="R105" s="25">
        <v>0</v>
      </c>
      <c r="S105" s="25">
        <v>0</v>
      </c>
      <c r="T105" s="25">
        <v>0</v>
      </c>
      <c r="U105" s="25">
        <v>0</v>
      </c>
      <c r="V105" s="25">
        <v>0</v>
      </c>
      <c r="W105" s="25">
        <v>0</v>
      </c>
      <c r="X105" s="25">
        <v>0</v>
      </c>
      <c r="Y105" s="25">
        <v>0</v>
      </c>
      <c r="Z105" s="25">
        <v>0</v>
      </c>
      <c r="AA105" s="25">
        <v>0</v>
      </c>
      <c r="AB105" s="25">
        <v>0</v>
      </c>
      <c r="AC105" s="25">
        <v>0</v>
      </c>
      <c r="AD105" s="25">
        <v>0</v>
      </c>
      <c r="AE105" s="25">
        <v>0</v>
      </c>
      <c r="AF105" s="25">
        <v>0</v>
      </c>
      <c r="AG105" s="25">
        <v>0</v>
      </c>
      <c r="AH105" s="25">
        <v>0</v>
      </c>
      <c r="AI105" s="25">
        <v>0</v>
      </c>
      <c r="AJ105" s="25">
        <v>0</v>
      </c>
    </row>
    <row r="106" spans="1:36" x14ac:dyDescent="0.25">
      <c r="A106" t="s">
        <v>528</v>
      </c>
      <c r="B106" t="s">
        <v>305</v>
      </c>
      <c r="C106" s="25">
        <v>93</v>
      </c>
      <c r="D106" s="25">
        <v>93</v>
      </c>
      <c r="E106" s="25">
        <v>93</v>
      </c>
      <c r="F106" s="25">
        <v>93</v>
      </c>
      <c r="G106" s="25">
        <v>93</v>
      </c>
      <c r="H106" s="25">
        <v>93</v>
      </c>
      <c r="I106" s="25">
        <v>93</v>
      </c>
      <c r="J106" s="25">
        <v>93</v>
      </c>
      <c r="K106" s="25">
        <v>93</v>
      </c>
      <c r="L106" s="25">
        <v>93</v>
      </c>
      <c r="M106" s="25">
        <v>93</v>
      </c>
      <c r="N106" s="25">
        <v>93</v>
      </c>
      <c r="O106" s="25">
        <v>93</v>
      </c>
      <c r="P106" s="25">
        <v>93</v>
      </c>
      <c r="Q106" s="25">
        <v>93</v>
      </c>
      <c r="R106" s="25">
        <v>93</v>
      </c>
      <c r="S106" s="25">
        <v>93</v>
      </c>
      <c r="T106" s="25">
        <v>93</v>
      </c>
      <c r="U106" s="25">
        <v>93</v>
      </c>
      <c r="V106" s="25">
        <v>93</v>
      </c>
      <c r="W106" s="25">
        <v>93</v>
      </c>
      <c r="X106" s="25">
        <v>93</v>
      </c>
      <c r="Y106" s="25">
        <v>93</v>
      </c>
      <c r="Z106" s="25">
        <v>93</v>
      </c>
      <c r="AA106" s="25">
        <v>93</v>
      </c>
      <c r="AB106" s="25">
        <v>93</v>
      </c>
      <c r="AC106" s="25">
        <v>93</v>
      </c>
      <c r="AD106" s="25">
        <v>93</v>
      </c>
      <c r="AE106" s="25">
        <v>93</v>
      </c>
      <c r="AF106" s="25">
        <v>93</v>
      </c>
      <c r="AG106" s="25">
        <v>93</v>
      </c>
      <c r="AH106" s="25">
        <v>93</v>
      </c>
      <c r="AI106" s="25">
        <v>93</v>
      </c>
      <c r="AJ106" s="25">
        <v>93</v>
      </c>
    </row>
    <row r="107" spans="1:36" x14ac:dyDescent="0.25">
      <c r="A107" t="s">
        <v>758</v>
      </c>
      <c r="B107" t="s">
        <v>305</v>
      </c>
      <c r="C107" s="25">
        <v>0</v>
      </c>
      <c r="D107" s="25">
        <v>0</v>
      </c>
      <c r="E107" s="25">
        <v>0</v>
      </c>
      <c r="F107" s="25">
        <v>0</v>
      </c>
      <c r="G107" s="25">
        <v>0</v>
      </c>
      <c r="H107" s="25">
        <v>0</v>
      </c>
      <c r="I107" s="25">
        <v>0</v>
      </c>
      <c r="J107" s="25">
        <v>0</v>
      </c>
      <c r="K107" s="25">
        <v>0</v>
      </c>
      <c r="L107" s="25">
        <v>0</v>
      </c>
      <c r="M107" s="25">
        <v>0</v>
      </c>
      <c r="N107" s="25">
        <v>0</v>
      </c>
      <c r="O107" s="25">
        <v>0</v>
      </c>
      <c r="P107" s="25">
        <v>0</v>
      </c>
      <c r="Q107" s="25">
        <v>0</v>
      </c>
      <c r="R107" s="25">
        <v>0</v>
      </c>
      <c r="S107" s="25">
        <v>0</v>
      </c>
      <c r="T107" s="25">
        <v>0</v>
      </c>
      <c r="U107" s="25">
        <v>0</v>
      </c>
      <c r="V107" s="25">
        <v>0</v>
      </c>
      <c r="W107" s="25">
        <v>0</v>
      </c>
      <c r="X107" s="25">
        <v>0</v>
      </c>
      <c r="Y107" s="25">
        <v>0</v>
      </c>
      <c r="Z107" s="25">
        <v>0</v>
      </c>
      <c r="AA107" s="25">
        <v>0</v>
      </c>
      <c r="AB107" s="25">
        <v>0</v>
      </c>
      <c r="AC107" s="25">
        <v>0</v>
      </c>
      <c r="AD107" s="25">
        <v>0</v>
      </c>
      <c r="AE107" s="25">
        <v>0</v>
      </c>
      <c r="AF107" s="25">
        <v>0</v>
      </c>
      <c r="AG107" s="25">
        <v>0</v>
      </c>
      <c r="AH107" s="25">
        <v>0</v>
      </c>
      <c r="AI107" s="25">
        <v>0</v>
      </c>
      <c r="AJ107" s="25">
        <v>0</v>
      </c>
    </row>
    <row r="108" spans="1:36" s="78" customFormat="1" x14ac:dyDescent="0.25">
      <c r="A108" s="78" t="s">
        <v>780</v>
      </c>
      <c r="C108" s="79">
        <f>+SUM(C97:C107)</f>
        <v>100</v>
      </c>
      <c r="D108" s="79">
        <f t="shared" ref="D108" si="166">+SUM(D97:D107)</f>
        <v>100</v>
      </c>
      <c r="E108" s="79">
        <f t="shared" ref="E108" si="167">+SUM(E97:E107)</f>
        <v>100</v>
      </c>
      <c r="F108" s="79">
        <f t="shared" ref="F108" si="168">+SUM(F97:F107)</f>
        <v>100</v>
      </c>
      <c r="G108" s="79">
        <f t="shared" ref="G108" si="169">+SUM(G97:G107)</f>
        <v>100</v>
      </c>
      <c r="H108" s="79">
        <f t="shared" ref="H108" si="170">+SUM(H97:H107)</f>
        <v>100</v>
      </c>
      <c r="I108" s="79">
        <f t="shared" ref="I108" si="171">+SUM(I97:I107)</f>
        <v>100</v>
      </c>
      <c r="J108" s="79">
        <f t="shared" ref="J108" si="172">+SUM(J97:J107)</f>
        <v>100</v>
      </c>
      <c r="K108" s="79">
        <f t="shared" ref="K108" si="173">+SUM(K97:K107)</f>
        <v>100</v>
      </c>
      <c r="L108" s="79">
        <f t="shared" ref="L108" si="174">+SUM(L97:L107)</f>
        <v>100</v>
      </c>
      <c r="M108" s="79">
        <f t="shared" ref="M108" si="175">+SUM(M97:M107)</f>
        <v>100</v>
      </c>
      <c r="N108" s="79">
        <f t="shared" ref="N108" si="176">+SUM(N97:N107)</f>
        <v>100</v>
      </c>
      <c r="O108" s="79">
        <f t="shared" ref="O108" si="177">+SUM(O97:O107)</f>
        <v>100</v>
      </c>
      <c r="P108" s="79">
        <f t="shared" ref="P108" si="178">+SUM(P97:P107)</f>
        <v>100</v>
      </c>
      <c r="Q108" s="79">
        <f t="shared" ref="Q108" si="179">+SUM(Q97:Q107)</f>
        <v>100</v>
      </c>
      <c r="R108" s="79">
        <f t="shared" ref="R108" si="180">+SUM(R97:R107)</f>
        <v>100</v>
      </c>
      <c r="S108" s="79">
        <f t="shared" ref="S108" si="181">+SUM(S97:S107)</f>
        <v>100</v>
      </c>
      <c r="T108" s="79">
        <f t="shared" ref="T108" si="182">+SUM(T97:T107)</f>
        <v>100</v>
      </c>
      <c r="U108" s="79">
        <f t="shared" ref="U108" si="183">+SUM(U97:U107)</f>
        <v>100</v>
      </c>
      <c r="V108" s="79">
        <f t="shared" ref="V108" si="184">+SUM(V97:V107)</f>
        <v>100</v>
      </c>
      <c r="W108" s="79">
        <f t="shared" ref="W108" si="185">+SUM(W97:W107)</f>
        <v>100</v>
      </c>
      <c r="X108" s="79">
        <f t="shared" ref="X108" si="186">+SUM(X97:X107)</f>
        <v>100</v>
      </c>
      <c r="Y108" s="79">
        <f t="shared" ref="Y108" si="187">+SUM(Y97:Y107)</f>
        <v>100</v>
      </c>
      <c r="Z108" s="79">
        <f t="shared" ref="Z108" si="188">+SUM(Z97:Z107)</f>
        <v>100</v>
      </c>
      <c r="AA108" s="79">
        <f t="shared" ref="AA108" si="189">+SUM(AA97:AA107)</f>
        <v>100</v>
      </c>
      <c r="AB108" s="79">
        <f t="shared" ref="AB108" si="190">+SUM(AB97:AB107)</f>
        <v>100</v>
      </c>
      <c r="AC108" s="79">
        <f t="shared" ref="AC108" si="191">+SUM(AC97:AC107)</f>
        <v>100</v>
      </c>
      <c r="AD108" s="79">
        <f t="shared" ref="AD108" si="192">+SUM(AD97:AD107)</f>
        <v>100</v>
      </c>
      <c r="AE108" s="79">
        <f t="shared" ref="AE108" si="193">+SUM(AE97:AE107)</f>
        <v>100</v>
      </c>
      <c r="AF108" s="79">
        <f t="shared" ref="AF108" si="194">+SUM(AF97:AF107)</f>
        <v>100</v>
      </c>
      <c r="AG108" s="79">
        <f t="shared" ref="AG108" si="195">+SUM(AG97:AG107)</f>
        <v>100</v>
      </c>
      <c r="AH108" s="79">
        <f t="shared" ref="AH108" si="196">+SUM(AH97:AH107)</f>
        <v>100</v>
      </c>
      <c r="AI108" s="79">
        <f t="shared" ref="AI108" si="197">+SUM(AI97:AI107)</f>
        <v>100</v>
      </c>
      <c r="AJ108" s="79">
        <f t="shared" ref="AJ108" si="198">+SUM(AJ97:AJ107)</f>
        <v>100</v>
      </c>
    </row>
    <row r="109" spans="1:36" s="76" customFormat="1" ht="15.75" x14ac:dyDescent="0.25">
      <c r="A109" s="74" t="s">
        <v>774</v>
      </c>
      <c r="B109" s="75"/>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c r="AA109" s="74"/>
      <c r="AB109" s="74"/>
      <c r="AC109" s="74"/>
      <c r="AD109" s="74"/>
      <c r="AE109" s="74"/>
      <c r="AF109" s="74"/>
      <c r="AG109" s="74"/>
      <c r="AH109" s="74"/>
      <c r="AI109" s="74"/>
      <c r="AJ109" s="74"/>
    </row>
    <row r="110" spans="1:36" x14ac:dyDescent="0.25">
      <c r="A110" t="s">
        <v>529</v>
      </c>
      <c r="B110" t="s">
        <v>305</v>
      </c>
      <c r="C110" s="25">
        <v>0</v>
      </c>
      <c r="D110" s="25">
        <v>0</v>
      </c>
      <c r="E110" s="25">
        <v>0</v>
      </c>
      <c r="F110" s="25">
        <v>0</v>
      </c>
      <c r="G110" s="25">
        <v>0</v>
      </c>
      <c r="H110" s="25">
        <v>0</v>
      </c>
      <c r="I110" s="25">
        <v>0</v>
      </c>
      <c r="J110" s="25">
        <v>0</v>
      </c>
      <c r="K110" s="25">
        <v>0</v>
      </c>
      <c r="L110" s="25">
        <v>0</v>
      </c>
      <c r="M110" s="25">
        <v>0</v>
      </c>
      <c r="N110" s="25">
        <v>0</v>
      </c>
      <c r="O110" s="25">
        <v>0</v>
      </c>
      <c r="P110" s="25">
        <v>0</v>
      </c>
      <c r="Q110" s="25">
        <v>0</v>
      </c>
      <c r="R110" s="25">
        <v>0</v>
      </c>
      <c r="S110" s="25">
        <v>0</v>
      </c>
      <c r="T110" s="25">
        <v>0</v>
      </c>
      <c r="U110" s="25">
        <v>0</v>
      </c>
      <c r="V110" s="25">
        <v>0</v>
      </c>
      <c r="W110" s="25">
        <v>0</v>
      </c>
      <c r="X110" s="25">
        <v>0</v>
      </c>
      <c r="Y110" s="25">
        <v>0</v>
      </c>
      <c r="Z110" s="25">
        <v>0</v>
      </c>
      <c r="AA110" s="25">
        <v>0</v>
      </c>
      <c r="AB110" s="25">
        <v>0</v>
      </c>
      <c r="AC110" s="25">
        <v>0</v>
      </c>
      <c r="AD110" s="25">
        <v>0</v>
      </c>
      <c r="AE110" s="25">
        <v>0</v>
      </c>
      <c r="AF110" s="25">
        <v>0</v>
      </c>
      <c r="AG110" s="25">
        <v>0</v>
      </c>
      <c r="AH110" s="25">
        <v>0</v>
      </c>
      <c r="AI110" s="25">
        <v>0</v>
      </c>
      <c r="AJ110" s="25">
        <v>0</v>
      </c>
    </row>
    <row r="111" spans="1:36" x14ac:dyDescent="0.25">
      <c r="A111" t="s">
        <v>530</v>
      </c>
      <c r="B111" t="s">
        <v>305</v>
      </c>
      <c r="C111" s="25">
        <v>0</v>
      </c>
      <c r="D111" s="25">
        <v>0</v>
      </c>
      <c r="E111" s="25">
        <v>0</v>
      </c>
      <c r="F111" s="25">
        <v>0</v>
      </c>
      <c r="G111" s="25">
        <v>0</v>
      </c>
      <c r="H111" s="25">
        <v>0</v>
      </c>
      <c r="I111" s="25">
        <v>0</v>
      </c>
      <c r="J111" s="25">
        <v>0</v>
      </c>
      <c r="K111" s="25">
        <v>0</v>
      </c>
      <c r="L111" s="25">
        <v>0</v>
      </c>
      <c r="M111" s="25">
        <v>0</v>
      </c>
      <c r="N111" s="25">
        <v>0</v>
      </c>
      <c r="O111" s="25">
        <v>0</v>
      </c>
      <c r="P111" s="25">
        <v>0</v>
      </c>
      <c r="Q111" s="25">
        <v>0</v>
      </c>
      <c r="R111" s="25">
        <v>0</v>
      </c>
      <c r="S111" s="25">
        <v>0</v>
      </c>
      <c r="T111" s="25">
        <v>0</v>
      </c>
      <c r="U111" s="25">
        <v>0</v>
      </c>
      <c r="V111" s="25">
        <v>0</v>
      </c>
      <c r="W111" s="25">
        <v>0</v>
      </c>
      <c r="X111" s="25">
        <v>0</v>
      </c>
      <c r="Y111" s="25">
        <v>0</v>
      </c>
      <c r="Z111" s="25">
        <v>0</v>
      </c>
      <c r="AA111" s="25">
        <v>0</v>
      </c>
      <c r="AB111" s="25">
        <v>0</v>
      </c>
      <c r="AC111" s="25">
        <v>0</v>
      </c>
      <c r="AD111" s="25">
        <v>0</v>
      </c>
      <c r="AE111" s="25">
        <v>0</v>
      </c>
      <c r="AF111" s="25">
        <v>0</v>
      </c>
      <c r="AG111" s="25">
        <v>0</v>
      </c>
      <c r="AH111" s="25">
        <v>0</v>
      </c>
      <c r="AI111" s="25">
        <v>0</v>
      </c>
      <c r="AJ111" s="25">
        <v>0</v>
      </c>
    </row>
    <row r="112" spans="1:36" x14ac:dyDescent="0.25">
      <c r="A112" t="s">
        <v>531</v>
      </c>
      <c r="B112" t="s">
        <v>305</v>
      </c>
      <c r="C112" s="25">
        <v>1</v>
      </c>
      <c r="D112" s="25">
        <v>1</v>
      </c>
      <c r="E112" s="25">
        <v>1</v>
      </c>
      <c r="F112" s="25">
        <v>1</v>
      </c>
      <c r="G112" s="25">
        <v>1</v>
      </c>
      <c r="H112" s="25">
        <v>1</v>
      </c>
      <c r="I112" s="25">
        <v>1</v>
      </c>
      <c r="J112" s="25">
        <v>1</v>
      </c>
      <c r="K112" s="25">
        <v>1</v>
      </c>
      <c r="L112" s="25">
        <v>1</v>
      </c>
      <c r="M112" s="25">
        <v>1</v>
      </c>
      <c r="N112" s="25">
        <v>1</v>
      </c>
      <c r="O112" s="25">
        <v>1</v>
      </c>
      <c r="P112" s="25">
        <v>1</v>
      </c>
      <c r="Q112" s="25">
        <v>1</v>
      </c>
      <c r="R112" s="25">
        <v>1</v>
      </c>
      <c r="S112" s="25">
        <v>1</v>
      </c>
      <c r="T112" s="25">
        <v>1</v>
      </c>
      <c r="U112" s="25">
        <v>1</v>
      </c>
      <c r="V112" s="25">
        <v>1</v>
      </c>
      <c r="W112" s="25">
        <v>1</v>
      </c>
      <c r="X112" s="25">
        <v>1</v>
      </c>
      <c r="Y112" s="25">
        <v>1</v>
      </c>
      <c r="Z112" s="25">
        <v>1</v>
      </c>
      <c r="AA112" s="25">
        <v>1</v>
      </c>
      <c r="AB112" s="25">
        <v>1</v>
      </c>
      <c r="AC112" s="25">
        <v>1</v>
      </c>
      <c r="AD112" s="25">
        <v>1</v>
      </c>
      <c r="AE112" s="25">
        <v>1</v>
      </c>
      <c r="AF112" s="25">
        <v>1</v>
      </c>
      <c r="AG112" s="25">
        <v>1</v>
      </c>
      <c r="AH112" s="25">
        <v>1</v>
      </c>
      <c r="AI112" s="25">
        <v>1</v>
      </c>
      <c r="AJ112" s="25">
        <v>1</v>
      </c>
    </row>
    <row r="113" spans="1:36" x14ac:dyDescent="0.25">
      <c r="A113" t="s">
        <v>532</v>
      </c>
      <c r="B113" t="s">
        <v>305</v>
      </c>
      <c r="C113" s="25">
        <v>0</v>
      </c>
      <c r="D113" s="25">
        <v>0</v>
      </c>
      <c r="E113" s="25">
        <v>0</v>
      </c>
      <c r="F113" s="25">
        <v>0</v>
      </c>
      <c r="G113" s="25">
        <v>0</v>
      </c>
      <c r="H113" s="25">
        <v>0</v>
      </c>
      <c r="I113" s="25">
        <v>0</v>
      </c>
      <c r="J113" s="25">
        <v>0</v>
      </c>
      <c r="K113" s="25">
        <v>0</v>
      </c>
      <c r="L113" s="25">
        <v>0</v>
      </c>
      <c r="M113" s="25">
        <v>0</v>
      </c>
      <c r="N113" s="25">
        <v>0</v>
      </c>
      <c r="O113" s="25">
        <v>0</v>
      </c>
      <c r="P113" s="25">
        <v>0</v>
      </c>
      <c r="Q113" s="25">
        <v>0</v>
      </c>
      <c r="R113" s="25">
        <v>0</v>
      </c>
      <c r="S113" s="25">
        <v>0</v>
      </c>
      <c r="T113" s="25">
        <v>0</v>
      </c>
      <c r="U113" s="25">
        <v>0</v>
      </c>
      <c r="V113" s="25">
        <v>0</v>
      </c>
      <c r="W113" s="25">
        <v>0</v>
      </c>
      <c r="X113" s="25">
        <v>0</v>
      </c>
      <c r="Y113" s="25">
        <v>0</v>
      </c>
      <c r="Z113" s="25">
        <v>0</v>
      </c>
      <c r="AA113" s="25">
        <v>0</v>
      </c>
      <c r="AB113" s="25">
        <v>0</v>
      </c>
      <c r="AC113" s="25">
        <v>0</v>
      </c>
      <c r="AD113" s="25">
        <v>0</v>
      </c>
      <c r="AE113" s="25">
        <v>0</v>
      </c>
      <c r="AF113" s="25">
        <v>0</v>
      </c>
      <c r="AG113" s="25">
        <v>0</v>
      </c>
      <c r="AH113" s="25">
        <v>0</v>
      </c>
      <c r="AI113" s="25">
        <v>0</v>
      </c>
      <c r="AJ113" s="25">
        <v>0</v>
      </c>
    </row>
    <row r="114" spans="1:36" x14ac:dyDescent="0.25">
      <c r="A114" t="s">
        <v>533</v>
      </c>
      <c r="B114" t="s">
        <v>305</v>
      </c>
      <c r="C114" s="25">
        <v>0</v>
      </c>
      <c r="D114" s="25">
        <v>0</v>
      </c>
      <c r="E114" s="25">
        <v>0</v>
      </c>
      <c r="F114" s="25">
        <v>0</v>
      </c>
      <c r="G114" s="25">
        <v>0</v>
      </c>
      <c r="H114" s="25">
        <v>0</v>
      </c>
      <c r="I114" s="25">
        <v>0</v>
      </c>
      <c r="J114" s="25">
        <v>0</v>
      </c>
      <c r="K114" s="25">
        <v>0</v>
      </c>
      <c r="L114" s="25">
        <v>0</v>
      </c>
      <c r="M114" s="25">
        <v>0</v>
      </c>
      <c r="N114" s="25">
        <v>0</v>
      </c>
      <c r="O114" s="25">
        <v>0</v>
      </c>
      <c r="P114" s="25">
        <v>0</v>
      </c>
      <c r="Q114" s="25">
        <v>0</v>
      </c>
      <c r="R114" s="25">
        <v>0</v>
      </c>
      <c r="S114" s="25">
        <v>0</v>
      </c>
      <c r="T114" s="25">
        <v>0</v>
      </c>
      <c r="U114" s="25">
        <v>0</v>
      </c>
      <c r="V114" s="25">
        <v>0</v>
      </c>
      <c r="W114" s="25">
        <v>0</v>
      </c>
      <c r="X114" s="25">
        <v>0</v>
      </c>
      <c r="Y114" s="25">
        <v>0</v>
      </c>
      <c r="Z114" s="25">
        <v>0</v>
      </c>
      <c r="AA114" s="25">
        <v>0</v>
      </c>
      <c r="AB114" s="25">
        <v>0</v>
      </c>
      <c r="AC114" s="25">
        <v>0</v>
      </c>
      <c r="AD114" s="25">
        <v>0</v>
      </c>
      <c r="AE114" s="25">
        <v>0</v>
      </c>
      <c r="AF114" s="25">
        <v>0</v>
      </c>
      <c r="AG114" s="25">
        <v>0</v>
      </c>
      <c r="AH114" s="25">
        <v>0</v>
      </c>
      <c r="AI114" s="25">
        <v>0</v>
      </c>
      <c r="AJ114" s="25">
        <v>0</v>
      </c>
    </row>
    <row r="115" spans="1:36" x14ac:dyDescent="0.25">
      <c r="A115" t="s">
        <v>534</v>
      </c>
      <c r="B115" t="s">
        <v>305</v>
      </c>
      <c r="C115" s="25">
        <v>0</v>
      </c>
      <c r="D115" s="25">
        <v>0</v>
      </c>
      <c r="E115" s="25">
        <v>0</v>
      </c>
      <c r="F115" s="25">
        <v>0</v>
      </c>
      <c r="G115" s="25">
        <v>0</v>
      </c>
      <c r="H115" s="25">
        <v>0</v>
      </c>
      <c r="I115" s="25">
        <v>0</v>
      </c>
      <c r="J115" s="25">
        <v>0</v>
      </c>
      <c r="K115" s="25">
        <v>0</v>
      </c>
      <c r="L115" s="25">
        <v>0</v>
      </c>
      <c r="M115" s="25">
        <v>0</v>
      </c>
      <c r="N115" s="25">
        <v>0</v>
      </c>
      <c r="O115" s="25">
        <v>0</v>
      </c>
      <c r="P115" s="25">
        <v>0</v>
      </c>
      <c r="Q115" s="25">
        <v>0</v>
      </c>
      <c r="R115" s="25">
        <v>0</v>
      </c>
      <c r="S115" s="25">
        <v>0</v>
      </c>
      <c r="T115" s="25">
        <v>0</v>
      </c>
      <c r="U115" s="25">
        <v>0</v>
      </c>
      <c r="V115" s="25">
        <v>0</v>
      </c>
      <c r="W115" s="25">
        <v>0</v>
      </c>
      <c r="X115" s="25">
        <v>0</v>
      </c>
      <c r="Y115" s="25">
        <v>0</v>
      </c>
      <c r="Z115" s="25">
        <v>0</v>
      </c>
      <c r="AA115" s="25">
        <v>0</v>
      </c>
      <c r="AB115" s="25">
        <v>0</v>
      </c>
      <c r="AC115" s="25">
        <v>0</v>
      </c>
      <c r="AD115" s="25">
        <v>0</v>
      </c>
      <c r="AE115" s="25">
        <v>0</v>
      </c>
      <c r="AF115" s="25">
        <v>0</v>
      </c>
      <c r="AG115" s="25">
        <v>0</v>
      </c>
      <c r="AH115" s="25">
        <v>0</v>
      </c>
      <c r="AI115" s="25">
        <v>0</v>
      </c>
      <c r="AJ115" s="25">
        <v>0</v>
      </c>
    </row>
    <row r="116" spans="1:36" x14ac:dyDescent="0.25">
      <c r="A116" t="s">
        <v>535</v>
      </c>
      <c r="B116" t="s">
        <v>305</v>
      </c>
      <c r="C116" s="25">
        <v>0</v>
      </c>
      <c r="D116" s="25">
        <v>0</v>
      </c>
      <c r="E116" s="25">
        <v>0</v>
      </c>
      <c r="F116" s="25">
        <v>0</v>
      </c>
      <c r="G116" s="25">
        <v>0</v>
      </c>
      <c r="H116" s="25">
        <v>0</v>
      </c>
      <c r="I116" s="25">
        <v>0</v>
      </c>
      <c r="J116" s="25">
        <v>0</v>
      </c>
      <c r="K116" s="25">
        <v>0</v>
      </c>
      <c r="L116" s="25">
        <v>0</v>
      </c>
      <c r="M116" s="25">
        <v>0</v>
      </c>
      <c r="N116" s="25">
        <v>0</v>
      </c>
      <c r="O116" s="25">
        <v>0</v>
      </c>
      <c r="P116" s="25">
        <v>0</v>
      </c>
      <c r="Q116" s="25">
        <v>0</v>
      </c>
      <c r="R116" s="25">
        <v>0</v>
      </c>
      <c r="S116" s="25">
        <v>0</v>
      </c>
      <c r="T116" s="25">
        <v>0</v>
      </c>
      <c r="U116" s="25">
        <v>0</v>
      </c>
      <c r="V116" s="25">
        <v>0</v>
      </c>
      <c r="W116" s="25">
        <v>0</v>
      </c>
      <c r="X116" s="25">
        <v>0</v>
      </c>
      <c r="Y116" s="25">
        <v>0</v>
      </c>
      <c r="Z116" s="25">
        <v>0</v>
      </c>
      <c r="AA116" s="25">
        <v>0</v>
      </c>
      <c r="AB116" s="25">
        <v>0</v>
      </c>
      <c r="AC116" s="25">
        <v>0</v>
      </c>
      <c r="AD116" s="25">
        <v>0</v>
      </c>
      <c r="AE116" s="25">
        <v>0</v>
      </c>
      <c r="AF116" s="25">
        <v>0</v>
      </c>
      <c r="AG116" s="25">
        <v>0</v>
      </c>
      <c r="AH116" s="25">
        <v>0</v>
      </c>
      <c r="AI116" s="25">
        <v>0</v>
      </c>
      <c r="AJ116" s="25">
        <v>0</v>
      </c>
    </row>
    <row r="117" spans="1:36" x14ac:dyDescent="0.25">
      <c r="A117" t="s">
        <v>536</v>
      </c>
      <c r="B117" t="s">
        <v>305</v>
      </c>
      <c r="C117" s="25">
        <v>0</v>
      </c>
      <c r="D117" s="25">
        <v>0</v>
      </c>
      <c r="E117" s="25">
        <v>0</v>
      </c>
      <c r="F117" s="25">
        <v>0</v>
      </c>
      <c r="G117" s="25">
        <v>0</v>
      </c>
      <c r="H117" s="25">
        <v>0</v>
      </c>
      <c r="I117" s="25">
        <v>0</v>
      </c>
      <c r="J117" s="25">
        <v>0</v>
      </c>
      <c r="K117" s="25">
        <v>0</v>
      </c>
      <c r="L117" s="25">
        <v>0</v>
      </c>
      <c r="M117" s="25">
        <v>0</v>
      </c>
      <c r="N117" s="25">
        <v>0</v>
      </c>
      <c r="O117" s="25">
        <v>0</v>
      </c>
      <c r="P117" s="25">
        <v>0</v>
      </c>
      <c r="Q117" s="25">
        <v>0</v>
      </c>
      <c r="R117" s="25">
        <v>0</v>
      </c>
      <c r="S117" s="25">
        <v>0</v>
      </c>
      <c r="T117" s="25">
        <v>0</v>
      </c>
      <c r="U117" s="25">
        <v>0</v>
      </c>
      <c r="V117" s="25">
        <v>0</v>
      </c>
      <c r="W117" s="25">
        <v>0</v>
      </c>
      <c r="X117" s="25">
        <v>0</v>
      </c>
      <c r="Y117" s="25">
        <v>0</v>
      </c>
      <c r="Z117" s="25">
        <v>0</v>
      </c>
      <c r="AA117" s="25">
        <v>0</v>
      </c>
      <c r="AB117" s="25">
        <v>0</v>
      </c>
      <c r="AC117" s="25">
        <v>0</v>
      </c>
      <c r="AD117" s="25">
        <v>0</v>
      </c>
      <c r="AE117" s="25">
        <v>0</v>
      </c>
      <c r="AF117" s="25">
        <v>0</v>
      </c>
      <c r="AG117" s="25">
        <v>0</v>
      </c>
      <c r="AH117" s="25">
        <v>0</v>
      </c>
      <c r="AI117" s="25">
        <v>0</v>
      </c>
      <c r="AJ117" s="25">
        <v>0</v>
      </c>
    </row>
    <row r="118" spans="1:36" x14ac:dyDescent="0.25">
      <c r="A118" t="s">
        <v>537</v>
      </c>
      <c r="B118" t="s">
        <v>305</v>
      </c>
      <c r="C118" s="25">
        <v>0</v>
      </c>
      <c r="D118" s="25">
        <v>0</v>
      </c>
      <c r="E118" s="25">
        <v>0</v>
      </c>
      <c r="F118" s="25">
        <v>0</v>
      </c>
      <c r="G118" s="25">
        <v>0</v>
      </c>
      <c r="H118" s="25">
        <v>0</v>
      </c>
      <c r="I118" s="25">
        <v>0</v>
      </c>
      <c r="J118" s="25">
        <v>0</v>
      </c>
      <c r="K118" s="25">
        <v>0</v>
      </c>
      <c r="L118" s="25">
        <v>0</v>
      </c>
      <c r="M118" s="25">
        <v>0</v>
      </c>
      <c r="N118" s="25">
        <v>0</v>
      </c>
      <c r="O118" s="25">
        <v>0</v>
      </c>
      <c r="P118" s="25">
        <v>0</v>
      </c>
      <c r="Q118" s="25">
        <v>0</v>
      </c>
      <c r="R118" s="25">
        <v>0</v>
      </c>
      <c r="S118" s="25">
        <v>0</v>
      </c>
      <c r="T118" s="25">
        <v>0</v>
      </c>
      <c r="U118" s="25">
        <v>0</v>
      </c>
      <c r="V118" s="25">
        <v>0</v>
      </c>
      <c r="W118" s="25">
        <v>0</v>
      </c>
      <c r="X118" s="25">
        <v>0</v>
      </c>
      <c r="Y118" s="25">
        <v>0</v>
      </c>
      <c r="Z118" s="25">
        <v>0</v>
      </c>
      <c r="AA118" s="25">
        <v>0</v>
      </c>
      <c r="AB118" s="25">
        <v>0</v>
      </c>
      <c r="AC118" s="25">
        <v>0</v>
      </c>
      <c r="AD118" s="25">
        <v>0</v>
      </c>
      <c r="AE118" s="25">
        <v>0</v>
      </c>
      <c r="AF118" s="25">
        <v>0</v>
      </c>
      <c r="AG118" s="25">
        <v>0</v>
      </c>
      <c r="AH118" s="25">
        <v>0</v>
      </c>
      <c r="AI118" s="25">
        <v>0</v>
      </c>
      <c r="AJ118" s="25">
        <v>0</v>
      </c>
    </row>
    <row r="119" spans="1:36" x14ac:dyDescent="0.25">
      <c r="A119" t="s">
        <v>538</v>
      </c>
      <c r="B119" t="s">
        <v>305</v>
      </c>
      <c r="C119" s="25">
        <v>99</v>
      </c>
      <c r="D119" s="25">
        <v>99</v>
      </c>
      <c r="E119" s="25">
        <v>99</v>
      </c>
      <c r="F119" s="25">
        <v>99</v>
      </c>
      <c r="G119" s="25">
        <v>99</v>
      </c>
      <c r="H119" s="25">
        <v>99</v>
      </c>
      <c r="I119" s="25">
        <v>99</v>
      </c>
      <c r="J119" s="25">
        <v>99</v>
      </c>
      <c r="K119" s="25">
        <v>99</v>
      </c>
      <c r="L119" s="25">
        <v>99</v>
      </c>
      <c r="M119" s="25">
        <v>99</v>
      </c>
      <c r="N119" s="25">
        <v>99</v>
      </c>
      <c r="O119" s="25">
        <v>99</v>
      </c>
      <c r="P119" s="25">
        <v>99</v>
      </c>
      <c r="Q119" s="25">
        <v>99</v>
      </c>
      <c r="R119" s="25">
        <v>99</v>
      </c>
      <c r="S119" s="25">
        <v>99</v>
      </c>
      <c r="T119" s="25">
        <v>99</v>
      </c>
      <c r="U119" s="25">
        <v>99</v>
      </c>
      <c r="V119" s="25">
        <v>99</v>
      </c>
      <c r="W119" s="25">
        <v>99</v>
      </c>
      <c r="X119" s="25">
        <v>99</v>
      </c>
      <c r="Y119" s="25">
        <v>99</v>
      </c>
      <c r="Z119" s="25">
        <v>99</v>
      </c>
      <c r="AA119" s="25">
        <v>99</v>
      </c>
      <c r="AB119" s="25">
        <v>99</v>
      </c>
      <c r="AC119" s="25">
        <v>99</v>
      </c>
      <c r="AD119" s="25">
        <v>99</v>
      </c>
      <c r="AE119" s="25">
        <v>99</v>
      </c>
      <c r="AF119" s="25">
        <v>99</v>
      </c>
      <c r="AG119" s="25">
        <v>99</v>
      </c>
      <c r="AH119" s="25">
        <v>99</v>
      </c>
      <c r="AI119" s="25">
        <v>99</v>
      </c>
      <c r="AJ119" s="25">
        <v>99</v>
      </c>
    </row>
    <row r="120" spans="1:36" x14ac:dyDescent="0.25">
      <c r="A120" t="s">
        <v>759</v>
      </c>
      <c r="B120" t="s">
        <v>305</v>
      </c>
      <c r="C120" s="25">
        <v>0</v>
      </c>
      <c r="D120" s="25">
        <v>0</v>
      </c>
      <c r="E120" s="25">
        <v>0</v>
      </c>
      <c r="F120" s="25">
        <v>0</v>
      </c>
      <c r="G120" s="25">
        <v>0</v>
      </c>
      <c r="H120" s="25">
        <v>0</v>
      </c>
      <c r="I120" s="25">
        <v>0</v>
      </c>
      <c r="J120" s="25">
        <v>0</v>
      </c>
      <c r="K120" s="25">
        <v>0</v>
      </c>
      <c r="L120" s="25">
        <v>0</v>
      </c>
      <c r="M120" s="25">
        <v>0</v>
      </c>
      <c r="N120" s="25">
        <v>0</v>
      </c>
      <c r="O120" s="25">
        <v>0</v>
      </c>
      <c r="P120" s="25">
        <v>0</v>
      </c>
      <c r="Q120" s="25">
        <v>0</v>
      </c>
      <c r="R120" s="25">
        <v>0</v>
      </c>
      <c r="S120" s="25">
        <v>0</v>
      </c>
      <c r="T120" s="25">
        <v>0</v>
      </c>
      <c r="U120" s="25">
        <v>0</v>
      </c>
      <c r="V120" s="25">
        <v>0</v>
      </c>
      <c r="W120" s="25">
        <v>0</v>
      </c>
      <c r="X120" s="25">
        <v>0</v>
      </c>
      <c r="Y120" s="25">
        <v>0</v>
      </c>
      <c r="Z120" s="25">
        <v>0</v>
      </c>
      <c r="AA120" s="25">
        <v>0</v>
      </c>
      <c r="AB120" s="25">
        <v>0</v>
      </c>
      <c r="AC120" s="25">
        <v>0</v>
      </c>
      <c r="AD120" s="25">
        <v>0</v>
      </c>
      <c r="AE120" s="25">
        <v>0</v>
      </c>
      <c r="AF120" s="25">
        <v>0</v>
      </c>
      <c r="AG120" s="25">
        <v>0</v>
      </c>
      <c r="AH120" s="25">
        <v>0</v>
      </c>
      <c r="AI120" s="25">
        <v>0</v>
      </c>
      <c r="AJ120" s="25">
        <v>0</v>
      </c>
    </row>
    <row r="121" spans="1:36" s="78" customFormat="1" x14ac:dyDescent="0.25">
      <c r="A121" s="78" t="s">
        <v>780</v>
      </c>
      <c r="C121" s="79">
        <f>+SUM(C110:C120)</f>
        <v>100</v>
      </c>
      <c r="D121" s="79">
        <f t="shared" ref="D121" si="199">+SUM(D110:D120)</f>
        <v>100</v>
      </c>
      <c r="E121" s="79">
        <f t="shared" ref="E121" si="200">+SUM(E110:E120)</f>
        <v>100</v>
      </c>
      <c r="F121" s="79">
        <f t="shared" ref="F121" si="201">+SUM(F110:F120)</f>
        <v>100</v>
      </c>
      <c r="G121" s="79">
        <f t="shared" ref="G121" si="202">+SUM(G110:G120)</f>
        <v>100</v>
      </c>
      <c r="H121" s="79">
        <f t="shared" ref="H121" si="203">+SUM(H110:H120)</f>
        <v>100</v>
      </c>
      <c r="I121" s="79">
        <f t="shared" ref="I121" si="204">+SUM(I110:I120)</f>
        <v>100</v>
      </c>
      <c r="J121" s="79">
        <f t="shared" ref="J121" si="205">+SUM(J110:J120)</f>
        <v>100</v>
      </c>
      <c r="K121" s="79">
        <f t="shared" ref="K121" si="206">+SUM(K110:K120)</f>
        <v>100</v>
      </c>
      <c r="L121" s="79">
        <f t="shared" ref="L121" si="207">+SUM(L110:L120)</f>
        <v>100</v>
      </c>
      <c r="M121" s="79">
        <f t="shared" ref="M121" si="208">+SUM(M110:M120)</f>
        <v>100</v>
      </c>
      <c r="N121" s="79">
        <f t="shared" ref="N121" si="209">+SUM(N110:N120)</f>
        <v>100</v>
      </c>
      <c r="O121" s="79">
        <f t="shared" ref="O121" si="210">+SUM(O110:O120)</f>
        <v>100</v>
      </c>
      <c r="P121" s="79">
        <f t="shared" ref="P121" si="211">+SUM(P110:P120)</f>
        <v>100</v>
      </c>
      <c r="Q121" s="79">
        <f t="shared" ref="Q121" si="212">+SUM(Q110:Q120)</f>
        <v>100</v>
      </c>
      <c r="R121" s="79">
        <f t="shared" ref="R121" si="213">+SUM(R110:R120)</f>
        <v>100</v>
      </c>
      <c r="S121" s="79">
        <f t="shared" ref="S121" si="214">+SUM(S110:S120)</f>
        <v>100</v>
      </c>
      <c r="T121" s="79">
        <f t="shared" ref="T121" si="215">+SUM(T110:T120)</f>
        <v>100</v>
      </c>
      <c r="U121" s="79">
        <f t="shared" ref="U121" si="216">+SUM(U110:U120)</f>
        <v>100</v>
      </c>
      <c r="V121" s="79">
        <f t="shared" ref="V121" si="217">+SUM(V110:V120)</f>
        <v>100</v>
      </c>
      <c r="W121" s="79">
        <f t="shared" ref="W121" si="218">+SUM(W110:W120)</f>
        <v>100</v>
      </c>
      <c r="X121" s="79">
        <f t="shared" ref="X121" si="219">+SUM(X110:X120)</f>
        <v>100</v>
      </c>
      <c r="Y121" s="79">
        <f t="shared" ref="Y121" si="220">+SUM(Y110:Y120)</f>
        <v>100</v>
      </c>
      <c r="Z121" s="79">
        <f t="shared" ref="Z121" si="221">+SUM(Z110:Z120)</f>
        <v>100</v>
      </c>
      <c r="AA121" s="79">
        <f t="shared" ref="AA121" si="222">+SUM(AA110:AA120)</f>
        <v>100</v>
      </c>
      <c r="AB121" s="79">
        <f t="shared" ref="AB121" si="223">+SUM(AB110:AB120)</f>
        <v>100</v>
      </c>
      <c r="AC121" s="79">
        <f t="shared" ref="AC121" si="224">+SUM(AC110:AC120)</f>
        <v>100</v>
      </c>
      <c r="AD121" s="79">
        <f t="shared" ref="AD121" si="225">+SUM(AD110:AD120)</f>
        <v>100</v>
      </c>
      <c r="AE121" s="79">
        <f t="shared" ref="AE121" si="226">+SUM(AE110:AE120)</f>
        <v>100</v>
      </c>
      <c r="AF121" s="79">
        <f t="shared" ref="AF121" si="227">+SUM(AF110:AF120)</f>
        <v>100</v>
      </c>
      <c r="AG121" s="79">
        <f t="shared" ref="AG121" si="228">+SUM(AG110:AG120)</f>
        <v>100</v>
      </c>
      <c r="AH121" s="79">
        <f t="shared" ref="AH121" si="229">+SUM(AH110:AH120)</f>
        <v>100</v>
      </c>
      <c r="AI121" s="79">
        <f t="shared" ref="AI121" si="230">+SUM(AI110:AI120)</f>
        <v>100</v>
      </c>
      <c r="AJ121" s="79">
        <f t="shared" ref="AJ121" si="231">+SUM(AJ110:AJ120)</f>
        <v>100</v>
      </c>
    </row>
    <row r="122" spans="1:36" x14ac:dyDescent="0.25">
      <c r="A122" t="s">
        <v>539</v>
      </c>
      <c r="B122" t="s">
        <v>305</v>
      </c>
      <c r="C122" s="25">
        <v>0</v>
      </c>
      <c r="D122" s="25">
        <v>0</v>
      </c>
      <c r="E122" s="25">
        <v>0</v>
      </c>
      <c r="F122" s="25">
        <v>0</v>
      </c>
      <c r="G122" s="25">
        <v>0</v>
      </c>
      <c r="H122" s="25">
        <v>0</v>
      </c>
      <c r="I122" s="25">
        <v>0</v>
      </c>
      <c r="J122" s="25">
        <v>0</v>
      </c>
      <c r="K122" s="25">
        <v>0</v>
      </c>
      <c r="L122" s="25">
        <v>0</v>
      </c>
      <c r="M122" s="25">
        <v>0</v>
      </c>
      <c r="N122" s="25">
        <v>0</v>
      </c>
      <c r="O122" s="25">
        <v>0</v>
      </c>
      <c r="P122" s="25">
        <v>0</v>
      </c>
      <c r="Q122" s="25">
        <v>0</v>
      </c>
      <c r="R122" s="25">
        <v>0</v>
      </c>
      <c r="S122" s="25">
        <v>0</v>
      </c>
      <c r="T122" s="25">
        <v>0</v>
      </c>
      <c r="U122" s="25">
        <v>0</v>
      </c>
      <c r="V122" s="25">
        <v>0</v>
      </c>
      <c r="W122" s="25">
        <v>0</v>
      </c>
      <c r="X122" s="25">
        <v>0</v>
      </c>
      <c r="Y122" s="25">
        <v>0</v>
      </c>
      <c r="Z122" s="25">
        <v>0</v>
      </c>
      <c r="AA122" s="25">
        <v>0</v>
      </c>
      <c r="AB122" s="25">
        <v>0</v>
      </c>
      <c r="AC122" s="25">
        <v>0</v>
      </c>
      <c r="AD122" s="25">
        <v>0</v>
      </c>
      <c r="AE122" s="25">
        <v>0</v>
      </c>
      <c r="AF122" s="25">
        <v>0</v>
      </c>
      <c r="AG122" s="25">
        <v>0</v>
      </c>
      <c r="AH122" s="25">
        <v>0</v>
      </c>
      <c r="AI122" s="25">
        <v>0</v>
      </c>
      <c r="AJ122" s="25">
        <v>0</v>
      </c>
    </row>
    <row r="123" spans="1:36" x14ac:dyDescent="0.25">
      <c r="A123" t="s">
        <v>540</v>
      </c>
      <c r="B123" t="s">
        <v>305</v>
      </c>
      <c r="C123" s="25">
        <v>0</v>
      </c>
      <c r="D123" s="25">
        <v>0</v>
      </c>
      <c r="E123" s="25">
        <v>0</v>
      </c>
      <c r="F123" s="25">
        <v>0</v>
      </c>
      <c r="G123" s="25">
        <v>0</v>
      </c>
      <c r="H123" s="25">
        <v>0</v>
      </c>
      <c r="I123" s="25">
        <v>0</v>
      </c>
      <c r="J123" s="25">
        <v>0</v>
      </c>
      <c r="K123" s="25">
        <v>0</v>
      </c>
      <c r="L123" s="25">
        <v>0</v>
      </c>
      <c r="M123" s="25">
        <v>0</v>
      </c>
      <c r="N123" s="25">
        <v>0</v>
      </c>
      <c r="O123" s="25">
        <v>0</v>
      </c>
      <c r="P123" s="25">
        <v>0</v>
      </c>
      <c r="Q123" s="25">
        <v>0</v>
      </c>
      <c r="R123" s="25">
        <v>0</v>
      </c>
      <c r="S123" s="25">
        <v>0</v>
      </c>
      <c r="T123" s="25">
        <v>0</v>
      </c>
      <c r="U123" s="25">
        <v>0</v>
      </c>
      <c r="V123" s="25">
        <v>0</v>
      </c>
      <c r="W123" s="25">
        <v>0</v>
      </c>
      <c r="X123" s="25">
        <v>0</v>
      </c>
      <c r="Y123" s="25">
        <v>0</v>
      </c>
      <c r="Z123" s="25">
        <v>0</v>
      </c>
      <c r="AA123" s="25">
        <v>0</v>
      </c>
      <c r="AB123" s="25">
        <v>0</v>
      </c>
      <c r="AC123" s="25">
        <v>0</v>
      </c>
      <c r="AD123" s="25">
        <v>0</v>
      </c>
      <c r="AE123" s="25">
        <v>0</v>
      </c>
      <c r="AF123" s="25">
        <v>0</v>
      </c>
      <c r="AG123" s="25">
        <v>0</v>
      </c>
      <c r="AH123" s="25">
        <v>0</v>
      </c>
      <c r="AI123" s="25">
        <v>0</v>
      </c>
      <c r="AJ123" s="25">
        <v>0</v>
      </c>
    </row>
    <row r="124" spans="1:36" x14ac:dyDescent="0.25">
      <c r="A124" t="s">
        <v>541</v>
      </c>
      <c r="B124" t="s">
        <v>305</v>
      </c>
      <c r="C124" s="25">
        <v>2</v>
      </c>
      <c r="D124" s="25">
        <v>2</v>
      </c>
      <c r="E124" s="25">
        <v>2</v>
      </c>
      <c r="F124" s="25">
        <v>2</v>
      </c>
      <c r="G124" s="25">
        <v>2</v>
      </c>
      <c r="H124" s="25">
        <v>2</v>
      </c>
      <c r="I124" s="25">
        <v>2</v>
      </c>
      <c r="J124" s="25">
        <v>2</v>
      </c>
      <c r="K124" s="25">
        <v>2</v>
      </c>
      <c r="L124" s="25">
        <v>2</v>
      </c>
      <c r="M124" s="25">
        <v>2</v>
      </c>
      <c r="N124" s="25">
        <v>2</v>
      </c>
      <c r="O124" s="25">
        <v>2</v>
      </c>
      <c r="P124" s="25">
        <v>2</v>
      </c>
      <c r="Q124" s="25">
        <v>2</v>
      </c>
      <c r="R124" s="25">
        <v>2</v>
      </c>
      <c r="S124" s="25">
        <v>2</v>
      </c>
      <c r="T124" s="25">
        <v>2</v>
      </c>
      <c r="U124" s="25">
        <v>2</v>
      </c>
      <c r="V124" s="25">
        <v>2</v>
      </c>
      <c r="W124" s="25">
        <v>2</v>
      </c>
      <c r="X124" s="25">
        <v>2</v>
      </c>
      <c r="Y124" s="25">
        <v>2</v>
      </c>
      <c r="Z124" s="25">
        <v>2</v>
      </c>
      <c r="AA124" s="25">
        <v>2</v>
      </c>
      <c r="AB124" s="25">
        <v>2</v>
      </c>
      <c r="AC124" s="25">
        <v>2</v>
      </c>
      <c r="AD124" s="25">
        <v>2</v>
      </c>
      <c r="AE124" s="25">
        <v>2</v>
      </c>
      <c r="AF124" s="25">
        <v>2</v>
      </c>
      <c r="AG124" s="25">
        <v>2</v>
      </c>
      <c r="AH124" s="25">
        <v>2</v>
      </c>
      <c r="AI124" s="25">
        <v>2</v>
      </c>
      <c r="AJ124" s="25">
        <v>2</v>
      </c>
    </row>
    <row r="125" spans="1:36" x14ac:dyDescent="0.25">
      <c r="A125" t="s">
        <v>542</v>
      </c>
      <c r="B125" t="s">
        <v>305</v>
      </c>
      <c r="C125" s="25">
        <v>0</v>
      </c>
      <c r="D125" s="25">
        <v>0</v>
      </c>
      <c r="E125" s="25">
        <v>0</v>
      </c>
      <c r="F125" s="25">
        <v>0</v>
      </c>
      <c r="G125" s="25">
        <v>0</v>
      </c>
      <c r="H125" s="25">
        <v>0</v>
      </c>
      <c r="I125" s="25">
        <v>0</v>
      </c>
      <c r="J125" s="25">
        <v>0</v>
      </c>
      <c r="K125" s="25">
        <v>0</v>
      </c>
      <c r="L125" s="25">
        <v>0</v>
      </c>
      <c r="M125" s="25">
        <v>0</v>
      </c>
      <c r="N125" s="25">
        <v>0</v>
      </c>
      <c r="O125" s="25">
        <v>0</v>
      </c>
      <c r="P125" s="25">
        <v>0</v>
      </c>
      <c r="Q125" s="25">
        <v>0</v>
      </c>
      <c r="R125" s="25">
        <v>0</v>
      </c>
      <c r="S125" s="25">
        <v>0</v>
      </c>
      <c r="T125" s="25">
        <v>0</v>
      </c>
      <c r="U125" s="25">
        <v>0</v>
      </c>
      <c r="V125" s="25">
        <v>0</v>
      </c>
      <c r="W125" s="25">
        <v>0</v>
      </c>
      <c r="X125" s="25">
        <v>0</v>
      </c>
      <c r="Y125" s="25">
        <v>0</v>
      </c>
      <c r="Z125" s="25">
        <v>0</v>
      </c>
      <c r="AA125" s="25">
        <v>0</v>
      </c>
      <c r="AB125" s="25">
        <v>0</v>
      </c>
      <c r="AC125" s="25">
        <v>0</v>
      </c>
      <c r="AD125" s="25">
        <v>0</v>
      </c>
      <c r="AE125" s="25">
        <v>0</v>
      </c>
      <c r="AF125" s="25">
        <v>0</v>
      </c>
      <c r="AG125" s="25">
        <v>0</v>
      </c>
      <c r="AH125" s="25">
        <v>0</v>
      </c>
      <c r="AI125" s="25">
        <v>0</v>
      </c>
      <c r="AJ125" s="25">
        <v>0</v>
      </c>
    </row>
    <row r="126" spans="1:36" x14ac:dyDescent="0.25">
      <c r="A126" t="s">
        <v>543</v>
      </c>
      <c r="B126" t="s">
        <v>305</v>
      </c>
      <c r="C126" s="25">
        <v>0</v>
      </c>
      <c r="D126" s="25">
        <v>0</v>
      </c>
      <c r="E126" s="25">
        <v>0</v>
      </c>
      <c r="F126" s="25">
        <v>0</v>
      </c>
      <c r="G126" s="25">
        <v>0</v>
      </c>
      <c r="H126" s="25">
        <v>0</v>
      </c>
      <c r="I126" s="25">
        <v>0</v>
      </c>
      <c r="J126" s="25">
        <v>0</v>
      </c>
      <c r="K126" s="25">
        <v>0</v>
      </c>
      <c r="L126" s="25">
        <v>0</v>
      </c>
      <c r="M126" s="25">
        <v>0</v>
      </c>
      <c r="N126" s="25">
        <v>0</v>
      </c>
      <c r="O126" s="25">
        <v>0</v>
      </c>
      <c r="P126" s="25">
        <v>0</v>
      </c>
      <c r="Q126" s="25">
        <v>0</v>
      </c>
      <c r="R126" s="25">
        <v>0</v>
      </c>
      <c r="S126" s="25">
        <v>0</v>
      </c>
      <c r="T126" s="25">
        <v>0</v>
      </c>
      <c r="U126" s="25">
        <v>0</v>
      </c>
      <c r="V126" s="25">
        <v>0</v>
      </c>
      <c r="W126" s="25">
        <v>0</v>
      </c>
      <c r="X126" s="25">
        <v>0</v>
      </c>
      <c r="Y126" s="25">
        <v>0</v>
      </c>
      <c r="Z126" s="25">
        <v>0</v>
      </c>
      <c r="AA126" s="25">
        <v>0</v>
      </c>
      <c r="AB126" s="25">
        <v>0</v>
      </c>
      <c r="AC126" s="25">
        <v>0</v>
      </c>
      <c r="AD126" s="25">
        <v>0</v>
      </c>
      <c r="AE126" s="25">
        <v>0</v>
      </c>
      <c r="AF126" s="25">
        <v>0</v>
      </c>
      <c r="AG126" s="25">
        <v>0</v>
      </c>
      <c r="AH126" s="25">
        <v>0</v>
      </c>
      <c r="AI126" s="25">
        <v>0</v>
      </c>
      <c r="AJ126" s="25">
        <v>0</v>
      </c>
    </row>
    <row r="127" spans="1:36" x14ac:dyDescent="0.25">
      <c r="A127" t="s">
        <v>544</v>
      </c>
      <c r="B127" t="s">
        <v>305</v>
      </c>
      <c r="C127" s="25">
        <v>0</v>
      </c>
      <c r="D127" s="25">
        <v>0</v>
      </c>
      <c r="E127" s="25">
        <v>0</v>
      </c>
      <c r="F127" s="25">
        <v>0</v>
      </c>
      <c r="G127" s="25">
        <v>0</v>
      </c>
      <c r="H127" s="25">
        <v>0</v>
      </c>
      <c r="I127" s="25">
        <v>0</v>
      </c>
      <c r="J127" s="25">
        <v>0</v>
      </c>
      <c r="K127" s="25">
        <v>0</v>
      </c>
      <c r="L127" s="25">
        <v>0</v>
      </c>
      <c r="M127" s="25">
        <v>0</v>
      </c>
      <c r="N127" s="25">
        <v>0</v>
      </c>
      <c r="O127" s="25">
        <v>0</v>
      </c>
      <c r="P127" s="25">
        <v>0</v>
      </c>
      <c r="Q127" s="25">
        <v>0</v>
      </c>
      <c r="R127" s="25">
        <v>0</v>
      </c>
      <c r="S127" s="25">
        <v>0</v>
      </c>
      <c r="T127" s="25">
        <v>0</v>
      </c>
      <c r="U127" s="25">
        <v>0</v>
      </c>
      <c r="V127" s="25">
        <v>0</v>
      </c>
      <c r="W127" s="25">
        <v>0</v>
      </c>
      <c r="X127" s="25">
        <v>0</v>
      </c>
      <c r="Y127" s="25">
        <v>0</v>
      </c>
      <c r="Z127" s="25">
        <v>0</v>
      </c>
      <c r="AA127" s="25">
        <v>0</v>
      </c>
      <c r="AB127" s="25">
        <v>0</v>
      </c>
      <c r="AC127" s="25">
        <v>0</v>
      </c>
      <c r="AD127" s="25">
        <v>0</v>
      </c>
      <c r="AE127" s="25">
        <v>0</v>
      </c>
      <c r="AF127" s="25">
        <v>0</v>
      </c>
      <c r="AG127" s="25">
        <v>0</v>
      </c>
      <c r="AH127" s="25">
        <v>0</v>
      </c>
      <c r="AI127" s="25">
        <v>0</v>
      </c>
      <c r="AJ127" s="25">
        <v>0</v>
      </c>
    </row>
    <row r="128" spans="1:36" x14ac:dyDescent="0.25">
      <c r="A128" t="s">
        <v>545</v>
      </c>
      <c r="B128" t="s">
        <v>305</v>
      </c>
      <c r="C128" s="25">
        <v>5</v>
      </c>
      <c r="D128" s="25">
        <v>5</v>
      </c>
      <c r="E128" s="25">
        <v>5</v>
      </c>
      <c r="F128" s="25">
        <v>5</v>
      </c>
      <c r="G128" s="25">
        <v>5</v>
      </c>
      <c r="H128" s="25">
        <v>5</v>
      </c>
      <c r="I128" s="25">
        <v>5</v>
      </c>
      <c r="J128" s="25">
        <v>5</v>
      </c>
      <c r="K128" s="25">
        <v>5</v>
      </c>
      <c r="L128" s="25">
        <v>5</v>
      </c>
      <c r="M128" s="25">
        <v>5</v>
      </c>
      <c r="N128" s="25">
        <v>5</v>
      </c>
      <c r="O128" s="25">
        <v>5</v>
      </c>
      <c r="P128" s="25">
        <v>5</v>
      </c>
      <c r="Q128" s="25">
        <v>5</v>
      </c>
      <c r="R128" s="25">
        <v>5</v>
      </c>
      <c r="S128" s="25">
        <v>5</v>
      </c>
      <c r="T128" s="25">
        <v>5</v>
      </c>
      <c r="U128" s="25">
        <v>5</v>
      </c>
      <c r="V128" s="25">
        <v>5</v>
      </c>
      <c r="W128" s="25">
        <v>5</v>
      </c>
      <c r="X128" s="25">
        <v>5</v>
      </c>
      <c r="Y128" s="25">
        <v>5</v>
      </c>
      <c r="Z128" s="25">
        <v>5</v>
      </c>
      <c r="AA128" s="25">
        <v>5</v>
      </c>
      <c r="AB128" s="25">
        <v>5</v>
      </c>
      <c r="AC128" s="25">
        <v>5</v>
      </c>
      <c r="AD128" s="25">
        <v>5</v>
      </c>
      <c r="AE128" s="25">
        <v>5</v>
      </c>
      <c r="AF128" s="25">
        <v>5</v>
      </c>
      <c r="AG128" s="25">
        <v>5</v>
      </c>
      <c r="AH128" s="25">
        <v>5</v>
      </c>
      <c r="AI128" s="25">
        <v>5</v>
      </c>
      <c r="AJ128" s="25">
        <v>5</v>
      </c>
    </row>
    <row r="129" spans="1:36" x14ac:dyDescent="0.25">
      <c r="A129" t="s">
        <v>546</v>
      </c>
      <c r="B129" t="s">
        <v>305</v>
      </c>
      <c r="C129" s="25">
        <v>0</v>
      </c>
      <c r="D129" s="25">
        <v>0</v>
      </c>
      <c r="E129" s="25">
        <v>0</v>
      </c>
      <c r="F129" s="25">
        <v>0</v>
      </c>
      <c r="G129" s="25">
        <v>0</v>
      </c>
      <c r="H129" s="25">
        <v>0</v>
      </c>
      <c r="I129" s="25">
        <v>0</v>
      </c>
      <c r="J129" s="25">
        <v>0</v>
      </c>
      <c r="K129" s="25">
        <v>0</v>
      </c>
      <c r="L129" s="25">
        <v>0</v>
      </c>
      <c r="M129" s="25">
        <v>0</v>
      </c>
      <c r="N129" s="25">
        <v>0</v>
      </c>
      <c r="O129" s="25">
        <v>0</v>
      </c>
      <c r="P129" s="25">
        <v>0</v>
      </c>
      <c r="Q129" s="25">
        <v>0</v>
      </c>
      <c r="R129" s="25">
        <v>0</v>
      </c>
      <c r="S129" s="25">
        <v>0</v>
      </c>
      <c r="T129" s="25">
        <v>0</v>
      </c>
      <c r="U129" s="25">
        <v>0</v>
      </c>
      <c r="V129" s="25">
        <v>0</v>
      </c>
      <c r="W129" s="25">
        <v>0</v>
      </c>
      <c r="X129" s="25">
        <v>0</v>
      </c>
      <c r="Y129" s="25">
        <v>0</v>
      </c>
      <c r="Z129" s="25">
        <v>0</v>
      </c>
      <c r="AA129" s="25">
        <v>0</v>
      </c>
      <c r="AB129" s="25">
        <v>0</v>
      </c>
      <c r="AC129" s="25">
        <v>0</v>
      </c>
      <c r="AD129" s="25">
        <v>0</v>
      </c>
      <c r="AE129" s="25">
        <v>0</v>
      </c>
      <c r="AF129" s="25">
        <v>0</v>
      </c>
      <c r="AG129" s="25">
        <v>0</v>
      </c>
      <c r="AH129" s="25">
        <v>0</v>
      </c>
      <c r="AI129" s="25">
        <v>0</v>
      </c>
      <c r="AJ129" s="25">
        <v>0</v>
      </c>
    </row>
    <row r="130" spans="1:36" x14ac:dyDescent="0.25">
      <c r="A130" t="s">
        <v>547</v>
      </c>
      <c r="B130" t="s">
        <v>305</v>
      </c>
      <c r="C130" s="25">
        <v>0</v>
      </c>
      <c r="D130" s="25">
        <v>0</v>
      </c>
      <c r="E130" s="25">
        <v>0</v>
      </c>
      <c r="F130" s="25">
        <v>0</v>
      </c>
      <c r="G130" s="25">
        <v>0</v>
      </c>
      <c r="H130" s="25">
        <v>0</v>
      </c>
      <c r="I130" s="25">
        <v>0</v>
      </c>
      <c r="J130" s="25">
        <v>0</v>
      </c>
      <c r="K130" s="25">
        <v>0</v>
      </c>
      <c r="L130" s="25">
        <v>0</v>
      </c>
      <c r="M130" s="25">
        <v>0</v>
      </c>
      <c r="N130" s="25">
        <v>0</v>
      </c>
      <c r="O130" s="25">
        <v>0</v>
      </c>
      <c r="P130" s="25">
        <v>0</v>
      </c>
      <c r="Q130" s="25">
        <v>0</v>
      </c>
      <c r="R130" s="25">
        <v>0</v>
      </c>
      <c r="S130" s="25">
        <v>0</v>
      </c>
      <c r="T130" s="25">
        <v>0</v>
      </c>
      <c r="U130" s="25">
        <v>0</v>
      </c>
      <c r="V130" s="25">
        <v>0</v>
      </c>
      <c r="W130" s="25">
        <v>0</v>
      </c>
      <c r="X130" s="25">
        <v>0</v>
      </c>
      <c r="Y130" s="25">
        <v>0</v>
      </c>
      <c r="Z130" s="25">
        <v>0</v>
      </c>
      <c r="AA130" s="25">
        <v>0</v>
      </c>
      <c r="AB130" s="25">
        <v>0</v>
      </c>
      <c r="AC130" s="25">
        <v>0</v>
      </c>
      <c r="AD130" s="25">
        <v>0</v>
      </c>
      <c r="AE130" s="25">
        <v>0</v>
      </c>
      <c r="AF130" s="25">
        <v>0</v>
      </c>
      <c r="AG130" s="25">
        <v>0</v>
      </c>
      <c r="AH130" s="25">
        <v>0</v>
      </c>
      <c r="AI130" s="25">
        <v>0</v>
      </c>
      <c r="AJ130" s="25">
        <v>0</v>
      </c>
    </row>
    <row r="131" spans="1:36" x14ac:dyDescent="0.25">
      <c r="A131" t="s">
        <v>548</v>
      </c>
      <c r="B131" t="s">
        <v>305</v>
      </c>
      <c r="C131" s="25">
        <v>93</v>
      </c>
      <c r="D131" s="25">
        <v>93</v>
      </c>
      <c r="E131" s="25">
        <v>93</v>
      </c>
      <c r="F131" s="25">
        <v>93</v>
      </c>
      <c r="G131" s="25">
        <v>93</v>
      </c>
      <c r="H131" s="25">
        <v>93</v>
      </c>
      <c r="I131" s="25">
        <v>93</v>
      </c>
      <c r="J131" s="25">
        <v>93</v>
      </c>
      <c r="K131" s="25">
        <v>93</v>
      </c>
      <c r="L131" s="25">
        <v>93</v>
      </c>
      <c r="M131" s="25">
        <v>93</v>
      </c>
      <c r="N131" s="25">
        <v>93</v>
      </c>
      <c r="O131" s="25">
        <v>93</v>
      </c>
      <c r="P131" s="25">
        <v>93</v>
      </c>
      <c r="Q131" s="25">
        <v>93</v>
      </c>
      <c r="R131" s="25">
        <v>93</v>
      </c>
      <c r="S131" s="25">
        <v>93</v>
      </c>
      <c r="T131" s="25">
        <v>93</v>
      </c>
      <c r="U131" s="25">
        <v>93</v>
      </c>
      <c r="V131" s="25">
        <v>93</v>
      </c>
      <c r="W131" s="25">
        <v>93</v>
      </c>
      <c r="X131" s="25">
        <v>93</v>
      </c>
      <c r="Y131" s="25">
        <v>93</v>
      </c>
      <c r="Z131" s="25">
        <v>93</v>
      </c>
      <c r="AA131" s="25">
        <v>93</v>
      </c>
      <c r="AB131" s="25">
        <v>93</v>
      </c>
      <c r="AC131" s="25">
        <v>93</v>
      </c>
      <c r="AD131" s="25">
        <v>93</v>
      </c>
      <c r="AE131" s="25">
        <v>93</v>
      </c>
      <c r="AF131" s="25">
        <v>93</v>
      </c>
      <c r="AG131" s="25">
        <v>93</v>
      </c>
      <c r="AH131" s="25">
        <v>93</v>
      </c>
      <c r="AI131" s="25">
        <v>93</v>
      </c>
      <c r="AJ131" s="25">
        <v>93</v>
      </c>
    </row>
    <row r="132" spans="1:36" x14ac:dyDescent="0.25">
      <c r="A132" t="s">
        <v>760</v>
      </c>
      <c r="B132" t="s">
        <v>305</v>
      </c>
      <c r="C132" s="25">
        <v>0</v>
      </c>
      <c r="D132" s="25">
        <v>0</v>
      </c>
      <c r="E132" s="25">
        <v>0</v>
      </c>
      <c r="F132" s="25">
        <v>0</v>
      </c>
      <c r="G132" s="25">
        <v>0</v>
      </c>
      <c r="H132" s="25">
        <v>0</v>
      </c>
      <c r="I132" s="25">
        <v>0</v>
      </c>
      <c r="J132" s="25">
        <v>0</v>
      </c>
      <c r="K132" s="25">
        <v>0</v>
      </c>
      <c r="L132" s="25">
        <v>0</v>
      </c>
      <c r="M132" s="25">
        <v>0</v>
      </c>
      <c r="N132" s="25">
        <v>0</v>
      </c>
      <c r="O132" s="25">
        <v>0</v>
      </c>
      <c r="P132" s="25">
        <v>0</v>
      </c>
      <c r="Q132" s="25">
        <v>0</v>
      </c>
      <c r="R132" s="25">
        <v>0</v>
      </c>
      <c r="S132" s="25">
        <v>0</v>
      </c>
      <c r="T132" s="25">
        <v>0</v>
      </c>
      <c r="U132" s="25">
        <v>0</v>
      </c>
      <c r="V132" s="25">
        <v>0</v>
      </c>
      <c r="W132" s="25">
        <v>0</v>
      </c>
      <c r="X132" s="25">
        <v>0</v>
      </c>
      <c r="Y132" s="25">
        <v>0</v>
      </c>
      <c r="Z132" s="25">
        <v>0</v>
      </c>
      <c r="AA132" s="25">
        <v>0</v>
      </c>
      <c r="AB132" s="25">
        <v>0</v>
      </c>
      <c r="AC132" s="25">
        <v>0</v>
      </c>
      <c r="AD132" s="25">
        <v>0</v>
      </c>
      <c r="AE132" s="25">
        <v>0</v>
      </c>
      <c r="AF132" s="25">
        <v>0</v>
      </c>
      <c r="AG132" s="25">
        <v>0</v>
      </c>
      <c r="AH132" s="25">
        <v>0</v>
      </c>
      <c r="AI132" s="25">
        <v>0</v>
      </c>
      <c r="AJ132" s="25">
        <v>0</v>
      </c>
    </row>
    <row r="133" spans="1:36" s="78" customFormat="1" x14ac:dyDescent="0.25">
      <c r="A133" s="78" t="s">
        <v>780</v>
      </c>
      <c r="C133" s="79">
        <f>+SUM(C122:C132)</f>
        <v>100</v>
      </c>
      <c r="D133" s="79">
        <f t="shared" ref="D133" si="232">+SUM(D122:D132)</f>
        <v>100</v>
      </c>
      <c r="E133" s="79">
        <f t="shared" ref="E133" si="233">+SUM(E122:E132)</f>
        <v>100</v>
      </c>
      <c r="F133" s="79">
        <f t="shared" ref="F133" si="234">+SUM(F122:F132)</f>
        <v>100</v>
      </c>
      <c r="G133" s="79">
        <f t="shared" ref="G133" si="235">+SUM(G122:G132)</f>
        <v>100</v>
      </c>
      <c r="H133" s="79">
        <f t="shared" ref="H133" si="236">+SUM(H122:H132)</f>
        <v>100</v>
      </c>
      <c r="I133" s="79">
        <f t="shared" ref="I133" si="237">+SUM(I122:I132)</f>
        <v>100</v>
      </c>
      <c r="J133" s="79">
        <f t="shared" ref="J133" si="238">+SUM(J122:J132)</f>
        <v>100</v>
      </c>
      <c r="K133" s="79">
        <f t="shared" ref="K133" si="239">+SUM(K122:K132)</f>
        <v>100</v>
      </c>
      <c r="L133" s="79">
        <f t="shared" ref="L133" si="240">+SUM(L122:L132)</f>
        <v>100</v>
      </c>
      <c r="M133" s="79">
        <f t="shared" ref="M133" si="241">+SUM(M122:M132)</f>
        <v>100</v>
      </c>
      <c r="N133" s="79">
        <f t="shared" ref="N133" si="242">+SUM(N122:N132)</f>
        <v>100</v>
      </c>
      <c r="O133" s="79">
        <f t="shared" ref="O133" si="243">+SUM(O122:O132)</f>
        <v>100</v>
      </c>
      <c r="P133" s="79">
        <f t="shared" ref="P133" si="244">+SUM(P122:P132)</f>
        <v>100</v>
      </c>
      <c r="Q133" s="79">
        <f t="shared" ref="Q133" si="245">+SUM(Q122:Q132)</f>
        <v>100</v>
      </c>
      <c r="R133" s="79">
        <f t="shared" ref="R133" si="246">+SUM(R122:R132)</f>
        <v>100</v>
      </c>
      <c r="S133" s="79">
        <f t="shared" ref="S133" si="247">+SUM(S122:S132)</f>
        <v>100</v>
      </c>
      <c r="T133" s="79">
        <f t="shared" ref="T133" si="248">+SUM(T122:T132)</f>
        <v>100</v>
      </c>
      <c r="U133" s="79">
        <f t="shared" ref="U133" si="249">+SUM(U122:U132)</f>
        <v>100</v>
      </c>
      <c r="V133" s="79">
        <f t="shared" ref="V133" si="250">+SUM(V122:V132)</f>
        <v>100</v>
      </c>
      <c r="W133" s="79">
        <f t="shared" ref="W133" si="251">+SUM(W122:W132)</f>
        <v>100</v>
      </c>
      <c r="X133" s="79">
        <f t="shared" ref="X133" si="252">+SUM(X122:X132)</f>
        <v>100</v>
      </c>
      <c r="Y133" s="79">
        <f t="shared" ref="Y133" si="253">+SUM(Y122:Y132)</f>
        <v>100</v>
      </c>
      <c r="Z133" s="79">
        <f t="shared" ref="Z133" si="254">+SUM(Z122:Z132)</f>
        <v>100</v>
      </c>
      <c r="AA133" s="79">
        <f t="shared" ref="AA133" si="255">+SUM(AA122:AA132)</f>
        <v>100</v>
      </c>
      <c r="AB133" s="79">
        <f t="shared" ref="AB133" si="256">+SUM(AB122:AB132)</f>
        <v>100</v>
      </c>
      <c r="AC133" s="79">
        <f t="shared" ref="AC133" si="257">+SUM(AC122:AC132)</f>
        <v>100</v>
      </c>
      <c r="AD133" s="79">
        <f t="shared" ref="AD133" si="258">+SUM(AD122:AD132)</f>
        <v>100</v>
      </c>
      <c r="AE133" s="79">
        <f t="shared" ref="AE133" si="259">+SUM(AE122:AE132)</f>
        <v>100</v>
      </c>
      <c r="AF133" s="79">
        <f t="shared" ref="AF133" si="260">+SUM(AF122:AF132)</f>
        <v>100</v>
      </c>
      <c r="AG133" s="79">
        <f t="shared" ref="AG133" si="261">+SUM(AG122:AG132)</f>
        <v>100</v>
      </c>
      <c r="AH133" s="79">
        <f t="shared" ref="AH133" si="262">+SUM(AH122:AH132)</f>
        <v>100</v>
      </c>
      <c r="AI133" s="79">
        <f t="shared" ref="AI133" si="263">+SUM(AI122:AI132)</f>
        <v>100</v>
      </c>
      <c r="AJ133" s="79">
        <f t="shared" ref="AJ133" si="264">+SUM(AJ122:AJ132)</f>
        <v>100</v>
      </c>
    </row>
    <row r="134" spans="1:36" s="76" customFormat="1" ht="15.75" x14ac:dyDescent="0.25">
      <c r="A134" s="74" t="s">
        <v>775</v>
      </c>
      <c r="B134" s="75"/>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c r="AA134" s="74"/>
      <c r="AB134" s="74"/>
      <c r="AC134" s="74"/>
      <c r="AD134" s="74"/>
      <c r="AE134" s="74"/>
      <c r="AF134" s="74"/>
      <c r="AG134" s="74"/>
      <c r="AH134" s="74"/>
      <c r="AI134" s="74"/>
      <c r="AJ134" s="74"/>
    </row>
    <row r="135" spans="1:36" x14ac:dyDescent="0.25">
      <c r="A135" t="s">
        <v>549</v>
      </c>
      <c r="B135" t="s">
        <v>305</v>
      </c>
      <c r="C135" s="25">
        <v>0</v>
      </c>
      <c r="D135" s="25">
        <v>0</v>
      </c>
      <c r="E135" s="25">
        <v>0</v>
      </c>
      <c r="F135" s="25">
        <v>0</v>
      </c>
      <c r="G135" s="25">
        <v>0</v>
      </c>
      <c r="H135" s="25">
        <v>0</v>
      </c>
      <c r="I135" s="25">
        <v>0</v>
      </c>
      <c r="J135" s="25">
        <v>0</v>
      </c>
      <c r="K135" s="25">
        <v>0</v>
      </c>
      <c r="L135" s="25">
        <v>0</v>
      </c>
      <c r="M135" s="25">
        <v>0</v>
      </c>
      <c r="N135" s="25">
        <v>0</v>
      </c>
      <c r="O135" s="25">
        <v>0</v>
      </c>
      <c r="P135" s="25">
        <v>0</v>
      </c>
      <c r="Q135" s="25">
        <v>0</v>
      </c>
      <c r="R135" s="25">
        <v>0</v>
      </c>
      <c r="S135" s="25">
        <v>0</v>
      </c>
      <c r="T135" s="25">
        <v>0</v>
      </c>
      <c r="U135" s="25">
        <v>0</v>
      </c>
      <c r="V135" s="25">
        <v>0</v>
      </c>
      <c r="W135" s="25">
        <v>0</v>
      </c>
      <c r="X135" s="25">
        <v>0</v>
      </c>
      <c r="Y135" s="25">
        <v>0</v>
      </c>
      <c r="Z135" s="25">
        <v>0</v>
      </c>
      <c r="AA135" s="25">
        <v>0</v>
      </c>
      <c r="AB135" s="25">
        <v>0</v>
      </c>
      <c r="AC135" s="25">
        <v>0</v>
      </c>
      <c r="AD135" s="25">
        <v>0</v>
      </c>
      <c r="AE135" s="25">
        <v>0</v>
      </c>
      <c r="AF135" s="25">
        <v>0</v>
      </c>
      <c r="AG135" s="25">
        <v>0</v>
      </c>
      <c r="AH135" s="25">
        <v>0</v>
      </c>
      <c r="AI135" s="25">
        <v>0</v>
      </c>
      <c r="AJ135" s="25">
        <v>0</v>
      </c>
    </row>
    <row r="136" spans="1:36" x14ac:dyDescent="0.25">
      <c r="A136" t="s">
        <v>550</v>
      </c>
      <c r="B136" t="s">
        <v>305</v>
      </c>
      <c r="C136" s="25">
        <v>0</v>
      </c>
      <c r="D136" s="25">
        <v>0</v>
      </c>
      <c r="E136" s="25">
        <v>0</v>
      </c>
      <c r="F136" s="25">
        <v>0</v>
      </c>
      <c r="G136" s="25">
        <v>0</v>
      </c>
      <c r="H136" s="25">
        <v>0</v>
      </c>
      <c r="I136" s="25">
        <v>0</v>
      </c>
      <c r="J136" s="25">
        <v>0</v>
      </c>
      <c r="K136" s="25">
        <v>0</v>
      </c>
      <c r="L136" s="25">
        <v>0</v>
      </c>
      <c r="M136" s="25">
        <v>0</v>
      </c>
      <c r="N136" s="25">
        <v>0</v>
      </c>
      <c r="O136" s="25">
        <v>0</v>
      </c>
      <c r="P136" s="25">
        <v>0</v>
      </c>
      <c r="Q136" s="25">
        <v>0</v>
      </c>
      <c r="R136" s="25">
        <v>0</v>
      </c>
      <c r="S136" s="25">
        <v>0</v>
      </c>
      <c r="T136" s="25">
        <v>0</v>
      </c>
      <c r="U136" s="25">
        <v>0</v>
      </c>
      <c r="V136" s="25">
        <v>0</v>
      </c>
      <c r="W136" s="25">
        <v>0</v>
      </c>
      <c r="X136" s="25">
        <v>0</v>
      </c>
      <c r="Y136" s="25">
        <v>0</v>
      </c>
      <c r="Z136" s="25">
        <v>0</v>
      </c>
      <c r="AA136" s="25">
        <v>0</v>
      </c>
      <c r="AB136" s="25">
        <v>0</v>
      </c>
      <c r="AC136" s="25">
        <v>0</v>
      </c>
      <c r="AD136" s="25">
        <v>0</v>
      </c>
      <c r="AE136" s="25">
        <v>0</v>
      </c>
      <c r="AF136" s="25">
        <v>0</v>
      </c>
      <c r="AG136" s="25">
        <v>0</v>
      </c>
      <c r="AH136" s="25">
        <v>0</v>
      </c>
      <c r="AI136" s="25">
        <v>0</v>
      </c>
      <c r="AJ136" s="25">
        <v>0</v>
      </c>
    </row>
    <row r="137" spans="1:36" x14ac:dyDescent="0.25">
      <c r="A137" t="s">
        <v>551</v>
      </c>
      <c r="B137" t="s">
        <v>305</v>
      </c>
      <c r="C137" s="25">
        <v>0</v>
      </c>
      <c r="D137" s="25">
        <v>0</v>
      </c>
      <c r="E137" s="25">
        <v>0</v>
      </c>
      <c r="F137" s="25">
        <v>0</v>
      </c>
      <c r="G137" s="25">
        <v>0</v>
      </c>
      <c r="H137" s="25">
        <v>0</v>
      </c>
      <c r="I137" s="25">
        <v>0</v>
      </c>
      <c r="J137" s="25">
        <v>0</v>
      </c>
      <c r="K137" s="25">
        <v>0</v>
      </c>
      <c r="L137" s="25">
        <v>0</v>
      </c>
      <c r="M137" s="25">
        <v>0</v>
      </c>
      <c r="N137" s="25">
        <v>0</v>
      </c>
      <c r="O137" s="25">
        <v>0</v>
      </c>
      <c r="P137" s="25">
        <v>0</v>
      </c>
      <c r="Q137" s="25">
        <v>0</v>
      </c>
      <c r="R137" s="25">
        <v>0</v>
      </c>
      <c r="S137" s="25">
        <v>0</v>
      </c>
      <c r="T137" s="25">
        <v>0</v>
      </c>
      <c r="U137" s="25">
        <v>0</v>
      </c>
      <c r="V137" s="25">
        <v>0</v>
      </c>
      <c r="W137" s="25">
        <v>0</v>
      </c>
      <c r="X137" s="25">
        <v>0</v>
      </c>
      <c r="Y137" s="25">
        <v>0</v>
      </c>
      <c r="Z137" s="25">
        <v>0</v>
      </c>
      <c r="AA137" s="25">
        <v>0</v>
      </c>
      <c r="AB137" s="25">
        <v>0</v>
      </c>
      <c r="AC137" s="25">
        <v>0</v>
      </c>
      <c r="AD137" s="25">
        <v>0</v>
      </c>
      <c r="AE137" s="25">
        <v>0</v>
      </c>
      <c r="AF137" s="25">
        <v>0</v>
      </c>
      <c r="AG137" s="25">
        <v>0</v>
      </c>
      <c r="AH137" s="25">
        <v>0</v>
      </c>
      <c r="AI137" s="25">
        <v>0</v>
      </c>
      <c r="AJ137" s="25">
        <v>0</v>
      </c>
    </row>
    <row r="138" spans="1:36" x14ac:dyDescent="0.25">
      <c r="A138" t="s">
        <v>552</v>
      </c>
      <c r="B138" t="s">
        <v>305</v>
      </c>
      <c r="C138" s="25">
        <v>0</v>
      </c>
      <c r="D138" s="25">
        <v>0</v>
      </c>
      <c r="E138" s="25">
        <v>0</v>
      </c>
      <c r="F138" s="25">
        <v>0</v>
      </c>
      <c r="G138" s="25">
        <v>0</v>
      </c>
      <c r="H138" s="25">
        <v>0</v>
      </c>
      <c r="I138" s="25">
        <v>0</v>
      </c>
      <c r="J138" s="25">
        <v>0</v>
      </c>
      <c r="K138" s="25">
        <v>0</v>
      </c>
      <c r="L138" s="25">
        <v>0</v>
      </c>
      <c r="M138" s="25">
        <v>0</v>
      </c>
      <c r="N138" s="25">
        <v>0</v>
      </c>
      <c r="O138" s="25">
        <v>0</v>
      </c>
      <c r="P138" s="25">
        <v>0</v>
      </c>
      <c r="Q138" s="25">
        <v>0</v>
      </c>
      <c r="R138" s="25">
        <v>0</v>
      </c>
      <c r="S138" s="25">
        <v>0</v>
      </c>
      <c r="T138" s="25">
        <v>0</v>
      </c>
      <c r="U138" s="25">
        <v>0</v>
      </c>
      <c r="V138" s="25">
        <v>0</v>
      </c>
      <c r="W138" s="25">
        <v>0</v>
      </c>
      <c r="X138" s="25">
        <v>0</v>
      </c>
      <c r="Y138" s="25">
        <v>0</v>
      </c>
      <c r="Z138" s="25">
        <v>0</v>
      </c>
      <c r="AA138" s="25">
        <v>0</v>
      </c>
      <c r="AB138" s="25">
        <v>0</v>
      </c>
      <c r="AC138" s="25">
        <v>0</v>
      </c>
      <c r="AD138" s="25">
        <v>0</v>
      </c>
      <c r="AE138" s="25">
        <v>0</v>
      </c>
      <c r="AF138" s="25">
        <v>0</v>
      </c>
      <c r="AG138" s="25">
        <v>0</v>
      </c>
      <c r="AH138" s="25">
        <v>0</v>
      </c>
      <c r="AI138" s="25">
        <v>0</v>
      </c>
      <c r="AJ138" s="25">
        <v>0</v>
      </c>
    </row>
    <row r="139" spans="1:36" x14ac:dyDescent="0.25">
      <c r="A139" t="s">
        <v>553</v>
      </c>
      <c r="B139" t="s">
        <v>305</v>
      </c>
      <c r="C139" s="25">
        <v>0</v>
      </c>
      <c r="D139" s="25">
        <v>0</v>
      </c>
      <c r="E139" s="25">
        <v>0</v>
      </c>
      <c r="F139" s="25">
        <v>0</v>
      </c>
      <c r="G139" s="25">
        <v>0</v>
      </c>
      <c r="H139" s="25">
        <v>0</v>
      </c>
      <c r="I139" s="25">
        <v>0</v>
      </c>
      <c r="J139" s="25">
        <v>0</v>
      </c>
      <c r="K139" s="25">
        <v>0</v>
      </c>
      <c r="L139" s="25">
        <v>0</v>
      </c>
      <c r="M139" s="25">
        <v>0</v>
      </c>
      <c r="N139" s="25">
        <v>0</v>
      </c>
      <c r="O139" s="25">
        <v>0</v>
      </c>
      <c r="P139" s="25">
        <v>0</v>
      </c>
      <c r="Q139" s="25">
        <v>0</v>
      </c>
      <c r="R139" s="25">
        <v>0</v>
      </c>
      <c r="S139" s="25">
        <v>0</v>
      </c>
      <c r="T139" s="25">
        <v>0</v>
      </c>
      <c r="U139" s="25">
        <v>0</v>
      </c>
      <c r="V139" s="25">
        <v>0</v>
      </c>
      <c r="W139" s="25">
        <v>0</v>
      </c>
      <c r="X139" s="25">
        <v>0</v>
      </c>
      <c r="Y139" s="25">
        <v>0</v>
      </c>
      <c r="Z139" s="25">
        <v>0</v>
      </c>
      <c r="AA139" s="25">
        <v>0</v>
      </c>
      <c r="AB139" s="25">
        <v>0</v>
      </c>
      <c r="AC139" s="25">
        <v>0</v>
      </c>
      <c r="AD139" s="25">
        <v>0</v>
      </c>
      <c r="AE139" s="25">
        <v>0</v>
      </c>
      <c r="AF139" s="25">
        <v>0</v>
      </c>
      <c r="AG139" s="25">
        <v>0</v>
      </c>
      <c r="AH139" s="25">
        <v>0</v>
      </c>
      <c r="AI139" s="25">
        <v>0</v>
      </c>
      <c r="AJ139" s="25">
        <v>0</v>
      </c>
    </row>
    <row r="140" spans="1:36" x14ac:dyDescent="0.25">
      <c r="A140" t="s">
        <v>554</v>
      </c>
      <c r="B140" t="s">
        <v>305</v>
      </c>
      <c r="C140" s="25">
        <v>0</v>
      </c>
      <c r="D140" s="25">
        <v>0</v>
      </c>
      <c r="E140" s="25">
        <v>0</v>
      </c>
      <c r="F140" s="25">
        <v>0</v>
      </c>
      <c r="G140" s="25">
        <v>0</v>
      </c>
      <c r="H140" s="25">
        <v>0</v>
      </c>
      <c r="I140" s="25">
        <v>0</v>
      </c>
      <c r="J140" s="25">
        <v>0</v>
      </c>
      <c r="K140" s="25">
        <v>0</v>
      </c>
      <c r="L140" s="25">
        <v>0</v>
      </c>
      <c r="M140" s="25">
        <v>0</v>
      </c>
      <c r="N140" s="25">
        <v>0</v>
      </c>
      <c r="O140" s="25">
        <v>0</v>
      </c>
      <c r="P140" s="25">
        <v>0</v>
      </c>
      <c r="Q140" s="25">
        <v>0</v>
      </c>
      <c r="R140" s="25">
        <v>0</v>
      </c>
      <c r="S140" s="25">
        <v>0</v>
      </c>
      <c r="T140" s="25">
        <v>0</v>
      </c>
      <c r="U140" s="25">
        <v>0</v>
      </c>
      <c r="V140" s="25">
        <v>0</v>
      </c>
      <c r="W140" s="25">
        <v>0</v>
      </c>
      <c r="X140" s="25">
        <v>0</v>
      </c>
      <c r="Y140" s="25">
        <v>0</v>
      </c>
      <c r="Z140" s="25">
        <v>0</v>
      </c>
      <c r="AA140" s="25">
        <v>0</v>
      </c>
      <c r="AB140" s="25">
        <v>0</v>
      </c>
      <c r="AC140" s="25">
        <v>0</v>
      </c>
      <c r="AD140" s="25">
        <v>0</v>
      </c>
      <c r="AE140" s="25">
        <v>0</v>
      </c>
      <c r="AF140" s="25">
        <v>0</v>
      </c>
      <c r="AG140" s="25">
        <v>0</v>
      </c>
      <c r="AH140" s="25">
        <v>0</v>
      </c>
      <c r="AI140" s="25">
        <v>0</v>
      </c>
      <c r="AJ140" s="25">
        <v>0</v>
      </c>
    </row>
    <row r="141" spans="1:36" x14ac:dyDescent="0.25">
      <c r="A141" t="s">
        <v>555</v>
      </c>
      <c r="B141" t="s">
        <v>305</v>
      </c>
      <c r="C141" s="25">
        <v>0</v>
      </c>
      <c r="D141" s="25">
        <v>0</v>
      </c>
      <c r="E141" s="25">
        <v>0</v>
      </c>
      <c r="F141" s="25">
        <v>0</v>
      </c>
      <c r="G141" s="25">
        <v>0</v>
      </c>
      <c r="H141" s="25">
        <v>0</v>
      </c>
      <c r="I141" s="25">
        <v>0</v>
      </c>
      <c r="J141" s="25">
        <v>0</v>
      </c>
      <c r="K141" s="25">
        <v>0</v>
      </c>
      <c r="L141" s="25">
        <v>0</v>
      </c>
      <c r="M141" s="25">
        <v>0</v>
      </c>
      <c r="N141" s="25">
        <v>0</v>
      </c>
      <c r="O141" s="25">
        <v>0</v>
      </c>
      <c r="P141" s="25">
        <v>0</v>
      </c>
      <c r="Q141" s="25">
        <v>0</v>
      </c>
      <c r="R141" s="25">
        <v>0</v>
      </c>
      <c r="S141" s="25">
        <v>0</v>
      </c>
      <c r="T141" s="25">
        <v>0</v>
      </c>
      <c r="U141" s="25">
        <v>0</v>
      </c>
      <c r="V141" s="25">
        <v>0</v>
      </c>
      <c r="W141" s="25">
        <v>0</v>
      </c>
      <c r="X141" s="25">
        <v>0</v>
      </c>
      <c r="Y141" s="25">
        <v>0</v>
      </c>
      <c r="Z141" s="25">
        <v>0</v>
      </c>
      <c r="AA141" s="25">
        <v>0</v>
      </c>
      <c r="AB141" s="25">
        <v>0</v>
      </c>
      <c r="AC141" s="25">
        <v>0</v>
      </c>
      <c r="AD141" s="25">
        <v>0</v>
      </c>
      <c r="AE141" s="25">
        <v>0</v>
      </c>
      <c r="AF141" s="25">
        <v>0</v>
      </c>
      <c r="AG141" s="25">
        <v>0</v>
      </c>
      <c r="AH141" s="25">
        <v>0</v>
      </c>
      <c r="AI141" s="25">
        <v>0</v>
      </c>
      <c r="AJ141" s="25">
        <v>0</v>
      </c>
    </row>
    <row r="142" spans="1:36" x14ac:dyDescent="0.25">
      <c r="A142" t="s">
        <v>556</v>
      </c>
      <c r="B142" t="s">
        <v>305</v>
      </c>
      <c r="C142" s="25">
        <v>0</v>
      </c>
      <c r="D142" s="25">
        <v>0</v>
      </c>
      <c r="E142" s="25">
        <v>0</v>
      </c>
      <c r="F142" s="25">
        <v>0</v>
      </c>
      <c r="G142" s="25">
        <v>0</v>
      </c>
      <c r="H142" s="25">
        <v>0</v>
      </c>
      <c r="I142" s="25">
        <v>0</v>
      </c>
      <c r="J142" s="25">
        <v>0</v>
      </c>
      <c r="K142" s="25">
        <v>0</v>
      </c>
      <c r="L142" s="25">
        <v>0</v>
      </c>
      <c r="M142" s="25">
        <v>0</v>
      </c>
      <c r="N142" s="25">
        <v>0</v>
      </c>
      <c r="O142" s="25">
        <v>0</v>
      </c>
      <c r="P142" s="25">
        <v>0</v>
      </c>
      <c r="Q142" s="25">
        <v>0</v>
      </c>
      <c r="R142" s="25">
        <v>0</v>
      </c>
      <c r="S142" s="25">
        <v>0</v>
      </c>
      <c r="T142" s="25">
        <v>0</v>
      </c>
      <c r="U142" s="25">
        <v>0</v>
      </c>
      <c r="V142" s="25">
        <v>0</v>
      </c>
      <c r="W142" s="25">
        <v>0</v>
      </c>
      <c r="X142" s="25">
        <v>0</v>
      </c>
      <c r="Y142" s="25">
        <v>0</v>
      </c>
      <c r="Z142" s="25">
        <v>0</v>
      </c>
      <c r="AA142" s="25">
        <v>0</v>
      </c>
      <c r="AB142" s="25">
        <v>0</v>
      </c>
      <c r="AC142" s="25">
        <v>0</v>
      </c>
      <c r="AD142" s="25">
        <v>0</v>
      </c>
      <c r="AE142" s="25">
        <v>0</v>
      </c>
      <c r="AF142" s="25">
        <v>0</v>
      </c>
      <c r="AG142" s="25">
        <v>0</v>
      </c>
      <c r="AH142" s="25">
        <v>0</v>
      </c>
      <c r="AI142" s="25">
        <v>0</v>
      </c>
      <c r="AJ142" s="25">
        <v>0</v>
      </c>
    </row>
    <row r="143" spans="1:36" x14ac:dyDescent="0.25">
      <c r="A143" t="s">
        <v>557</v>
      </c>
      <c r="B143" t="s">
        <v>305</v>
      </c>
      <c r="C143" s="25">
        <v>0</v>
      </c>
      <c r="D143" s="25">
        <v>0</v>
      </c>
      <c r="E143" s="25">
        <v>0</v>
      </c>
      <c r="F143" s="25">
        <v>0</v>
      </c>
      <c r="G143" s="25">
        <v>0</v>
      </c>
      <c r="H143" s="25">
        <v>0</v>
      </c>
      <c r="I143" s="25">
        <v>0</v>
      </c>
      <c r="J143" s="25">
        <v>0</v>
      </c>
      <c r="K143" s="25">
        <v>0</v>
      </c>
      <c r="L143" s="25">
        <v>0</v>
      </c>
      <c r="M143" s="25">
        <v>0</v>
      </c>
      <c r="N143" s="25">
        <v>0</v>
      </c>
      <c r="O143" s="25">
        <v>0</v>
      </c>
      <c r="P143" s="25">
        <v>0</v>
      </c>
      <c r="Q143" s="25">
        <v>0</v>
      </c>
      <c r="R143" s="25">
        <v>0</v>
      </c>
      <c r="S143" s="25">
        <v>0</v>
      </c>
      <c r="T143" s="25">
        <v>0</v>
      </c>
      <c r="U143" s="25">
        <v>0</v>
      </c>
      <c r="V143" s="25">
        <v>0</v>
      </c>
      <c r="W143" s="25">
        <v>0</v>
      </c>
      <c r="X143" s="25">
        <v>0</v>
      </c>
      <c r="Y143" s="25">
        <v>0</v>
      </c>
      <c r="Z143" s="25">
        <v>0</v>
      </c>
      <c r="AA143" s="25">
        <v>0</v>
      </c>
      <c r="AB143" s="25">
        <v>0</v>
      </c>
      <c r="AC143" s="25">
        <v>0</v>
      </c>
      <c r="AD143" s="25">
        <v>0</v>
      </c>
      <c r="AE143" s="25">
        <v>0</v>
      </c>
      <c r="AF143" s="25">
        <v>0</v>
      </c>
      <c r="AG143" s="25">
        <v>0</v>
      </c>
      <c r="AH143" s="25">
        <v>0</v>
      </c>
      <c r="AI143" s="25">
        <v>0</v>
      </c>
      <c r="AJ143" s="25">
        <v>0</v>
      </c>
    </row>
    <row r="144" spans="1:36" x14ac:dyDescent="0.25">
      <c r="A144" t="s">
        <v>558</v>
      </c>
      <c r="B144" t="s">
        <v>305</v>
      </c>
      <c r="C144" s="25">
        <v>100</v>
      </c>
      <c r="D144" s="25">
        <v>100</v>
      </c>
      <c r="E144" s="25">
        <v>100</v>
      </c>
      <c r="F144" s="25">
        <v>100</v>
      </c>
      <c r="G144" s="25">
        <v>100</v>
      </c>
      <c r="H144" s="25">
        <v>100</v>
      </c>
      <c r="I144" s="25">
        <v>100</v>
      </c>
      <c r="J144" s="25">
        <v>100</v>
      </c>
      <c r="K144" s="25">
        <v>100</v>
      </c>
      <c r="L144" s="25">
        <v>100</v>
      </c>
      <c r="M144" s="25">
        <v>100</v>
      </c>
      <c r="N144" s="25">
        <v>100</v>
      </c>
      <c r="O144" s="25">
        <v>100</v>
      </c>
      <c r="P144" s="25">
        <v>100</v>
      </c>
      <c r="Q144" s="25">
        <v>100</v>
      </c>
      <c r="R144" s="25">
        <v>100</v>
      </c>
      <c r="S144" s="25">
        <v>100</v>
      </c>
      <c r="T144" s="25">
        <v>100</v>
      </c>
      <c r="U144" s="25">
        <v>100</v>
      </c>
      <c r="V144" s="25">
        <v>100</v>
      </c>
      <c r="W144" s="25">
        <v>100</v>
      </c>
      <c r="X144" s="25">
        <v>100</v>
      </c>
      <c r="Y144" s="25">
        <v>100</v>
      </c>
      <c r="Z144" s="25">
        <v>100</v>
      </c>
      <c r="AA144" s="25">
        <v>100</v>
      </c>
      <c r="AB144" s="25">
        <v>100</v>
      </c>
      <c r="AC144" s="25">
        <v>100</v>
      </c>
      <c r="AD144" s="25">
        <v>100</v>
      </c>
      <c r="AE144" s="25">
        <v>100</v>
      </c>
      <c r="AF144" s="25">
        <v>100</v>
      </c>
      <c r="AG144" s="25">
        <v>100</v>
      </c>
      <c r="AH144" s="25">
        <v>100</v>
      </c>
      <c r="AI144" s="25">
        <v>100</v>
      </c>
      <c r="AJ144" s="25">
        <v>100</v>
      </c>
    </row>
    <row r="145" spans="1:36" x14ac:dyDescent="0.25">
      <c r="A145" t="s">
        <v>761</v>
      </c>
      <c r="B145" t="s">
        <v>305</v>
      </c>
      <c r="C145" s="25">
        <v>0</v>
      </c>
      <c r="D145" s="25">
        <v>0</v>
      </c>
      <c r="E145" s="25">
        <v>0</v>
      </c>
      <c r="F145" s="25">
        <v>0</v>
      </c>
      <c r="G145" s="25">
        <v>0</v>
      </c>
      <c r="H145" s="25">
        <v>0</v>
      </c>
      <c r="I145" s="25">
        <v>0</v>
      </c>
      <c r="J145" s="25">
        <v>0</v>
      </c>
      <c r="K145" s="25">
        <v>0</v>
      </c>
      <c r="L145" s="25">
        <v>0</v>
      </c>
      <c r="M145" s="25">
        <v>0</v>
      </c>
      <c r="N145" s="25">
        <v>0</v>
      </c>
      <c r="O145" s="25">
        <v>0</v>
      </c>
      <c r="P145" s="25">
        <v>0</v>
      </c>
      <c r="Q145" s="25">
        <v>0</v>
      </c>
      <c r="R145" s="25">
        <v>0</v>
      </c>
      <c r="S145" s="25">
        <v>0</v>
      </c>
      <c r="T145" s="25">
        <v>0</v>
      </c>
      <c r="U145" s="25">
        <v>0</v>
      </c>
      <c r="V145" s="25">
        <v>0</v>
      </c>
      <c r="W145" s="25">
        <v>0</v>
      </c>
      <c r="X145" s="25">
        <v>0</v>
      </c>
      <c r="Y145" s="25">
        <v>0</v>
      </c>
      <c r="Z145" s="25">
        <v>0</v>
      </c>
      <c r="AA145" s="25">
        <v>0</v>
      </c>
      <c r="AB145" s="25">
        <v>0</v>
      </c>
      <c r="AC145" s="25">
        <v>0</v>
      </c>
      <c r="AD145" s="25">
        <v>0</v>
      </c>
      <c r="AE145" s="25">
        <v>0</v>
      </c>
      <c r="AF145" s="25">
        <v>0</v>
      </c>
      <c r="AG145" s="25">
        <v>0</v>
      </c>
      <c r="AH145" s="25">
        <v>0</v>
      </c>
      <c r="AI145" s="25">
        <v>0</v>
      </c>
      <c r="AJ145" s="25">
        <v>0</v>
      </c>
    </row>
    <row r="146" spans="1:36" s="78" customFormat="1" x14ac:dyDescent="0.25">
      <c r="A146" s="78" t="s">
        <v>780</v>
      </c>
      <c r="C146" s="79">
        <f>+SUM(C135:C145)</f>
        <v>100</v>
      </c>
      <c r="D146" s="79">
        <f t="shared" ref="D146" si="265">+SUM(D135:D145)</f>
        <v>100</v>
      </c>
      <c r="E146" s="79">
        <f t="shared" ref="E146" si="266">+SUM(E135:E145)</f>
        <v>100</v>
      </c>
      <c r="F146" s="79">
        <f t="shared" ref="F146" si="267">+SUM(F135:F145)</f>
        <v>100</v>
      </c>
      <c r="G146" s="79">
        <f t="shared" ref="G146" si="268">+SUM(G135:G145)</f>
        <v>100</v>
      </c>
      <c r="H146" s="79">
        <f t="shared" ref="H146" si="269">+SUM(H135:H145)</f>
        <v>100</v>
      </c>
      <c r="I146" s="79">
        <f t="shared" ref="I146" si="270">+SUM(I135:I145)</f>
        <v>100</v>
      </c>
      <c r="J146" s="79">
        <f t="shared" ref="J146" si="271">+SUM(J135:J145)</f>
        <v>100</v>
      </c>
      <c r="K146" s="79">
        <f t="shared" ref="K146" si="272">+SUM(K135:K145)</f>
        <v>100</v>
      </c>
      <c r="L146" s="79">
        <f t="shared" ref="L146" si="273">+SUM(L135:L145)</f>
        <v>100</v>
      </c>
      <c r="M146" s="79">
        <f t="shared" ref="M146" si="274">+SUM(M135:M145)</f>
        <v>100</v>
      </c>
      <c r="N146" s="79">
        <f t="shared" ref="N146" si="275">+SUM(N135:N145)</f>
        <v>100</v>
      </c>
      <c r="O146" s="79">
        <f t="shared" ref="O146" si="276">+SUM(O135:O145)</f>
        <v>100</v>
      </c>
      <c r="P146" s="79">
        <f t="shared" ref="P146" si="277">+SUM(P135:P145)</f>
        <v>100</v>
      </c>
      <c r="Q146" s="79">
        <f t="shared" ref="Q146" si="278">+SUM(Q135:Q145)</f>
        <v>100</v>
      </c>
      <c r="R146" s="79">
        <f t="shared" ref="R146" si="279">+SUM(R135:R145)</f>
        <v>100</v>
      </c>
      <c r="S146" s="79">
        <f t="shared" ref="S146" si="280">+SUM(S135:S145)</f>
        <v>100</v>
      </c>
      <c r="T146" s="79">
        <f t="shared" ref="T146" si="281">+SUM(T135:T145)</f>
        <v>100</v>
      </c>
      <c r="U146" s="79">
        <f t="shared" ref="U146" si="282">+SUM(U135:U145)</f>
        <v>100</v>
      </c>
      <c r="V146" s="79">
        <f t="shared" ref="V146" si="283">+SUM(V135:V145)</f>
        <v>100</v>
      </c>
      <c r="W146" s="79">
        <f t="shared" ref="W146" si="284">+SUM(W135:W145)</f>
        <v>100</v>
      </c>
      <c r="X146" s="79">
        <f t="shared" ref="X146" si="285">+SUM(X135:X145)</f>
        <v>100</v>
      </c>
      <c r="Y146" s="79">
        <f t="shared" ref="Y146" si="286">+SUM(Y135:Y145)</f>
        <v>100</v>
      </c>
      <c r="Z146" s="79">
        <f t="shared" ref="Z146" si="287">+SUM(Z135:Z145)</f>
        <v>100</v>
      </c>
      <c r="AA146" s="79">
        <f t="shared" ref="AA146" si="288">+SUM(AA135:AA145)</f>
        <v>100</v>
      </c>
      <c r="AB146" s="79">
        <f t="shared" ref="AB146" si="289">+SUM(AB135:AB145)</f>
        <v>100</v>
      </c>
      <c r="AC146" s="79">
        <f t="shared" ref="AC146" si="290">+SUM(AC135:AC145)</f>
        <v>100</v>
      </c>
      <c r="AD146" s="79">
        <f t="shared" ref="AD146" si="291">+SUM(AD135:AD145)</f>
        <v>100</v>
      </c>
      <c r="AE146" s="79">
        <f t="shared" ref="AE146" si="292">+SUM(AE135:AE145)</f>
        <v>100</v>
      </c>
      <c r="AF146" s="79">
        <f t="shared" ref="AF146" si="293">+SUM(AF135:AF145)</f>
        <v>100</v>
      </c>
      <c r="AG146" s="79">
        <f t="shared" ref="AG146" si="294">+SUM(AG135:AG145)</f>
        <v>100</v>
      </c>
      <c r="AH146" s="79">
        <f t="shared" ref="AH146" si="295">+SUM(AH135:AH145)</f>
        <v>100</v>
      </c>
      <c r="AI146" s="79">
        <f t="shared" ref="AI146" si="296">+SUM(AI135:AI145)</f>
        <v>100</v>
      </c>
      <c r="AJ146" s="79">
        <f t="shared" ref="AJ146" si="297">+SUM(AJ135:AJ145)</f>
        <v>100</v>
      </c>
    </row>
    <row r="147" spans="1:36" x14ac:dyDescent="0.25">
      <c r="A147" t="s">
        <v>559</v>
      </c>
      <c r="B147" t="s">
        <v>305</v>
      </c>
      <c r="C147" s="25">
        <v>0</v>
      </c>
      <c r="D147" s="25">
        <v>0</v>
      </c>
      <c r="E147" s="25">
        <v>0</v>
      </c>
      <c r="F147" s="25">
        <v>0</v>
      </c>
      <c r="G147" s="25">
        <v>0</v>
      </c>
      <c r="H147" s="25">
        <v>0</v>
      </c>
      <c r="I147" s="25">
        <v>0</v>
      </c>
      <c r="J147" s="25">
        <v>0</v>
      </c>
      <c r="K147" s="25">
        <v>0</v>
      </c>
      <c r="L147" s="25">
        <v>0</v>
      </c>
      <c r="M147" s="25">
        <v>0</v>
      </c>
      <c r="N147" s="25">
        <v>0</v>
      </c>
      <c r="O147" s="25">
        <v>0</v>
      </c>
      <c r="P147" s="25">
        <v>0</v>
      </c>
      <c r="Q147" s="25">
        <v>0</v>
      </c>
      <c r="R147" s="25">
        <v>0</v>
      </c>
      <c r="S147" s="25">
        <v>0</v>
      </c>
      <c r="T147" s="25">
        <v>0</v>
      </c>
      <c r="U147" s="25">
        <v>0</v>
      </c>
      <c r="V147" s="25">
        <v>0</v>
      </c>
      <c r="W147" s="25">
        <v>0</v>
      </c>
      <c r="X147" s="25">
        <v>0</v>
      </c>
      <c r="Y147" s="25">
        <v>0</v>
      </c>
      <c r="Z147" s="25">
        <v>0</v>
      </c>
      <c r="AA147" s="25">
        <v>0</v>
      </c>
      <c r="AB147" s="25">
        <v>0</v>
      </c>
      <c r="AC147" s="25">
        <v>0</v>
      </c>
      <c r="AD147" s="25">
        <v>0</v>
      </c>
      <c r="AE147" s="25">
        <v>0</v>
      </c>
      <c r="AF147" s="25">
        <v>0</v>
      </c>
      <c r="AG147" s="25">
        <v>0</v>
      </c>
      <c r="AH147" s="25">
        <v>0</v>
      </c>
      <c r="AI147" s="25">
        <v>0</v>
      </c>
      <c r="AJ147" s="25">
        <v>0</v>
      </c>
    </row>
    <row r="148" spans="1:36" x14ac:dyDescent="0.25">
      <c r="A148" t="s">
        <v>560</v>
      </c>
      <c r="B148" t="s">
        <v>305</v>
      </c>
      <c r="C148" s="25">
        <v>0</v>
      </c>
      <c r="D148" s="25">
        <v>0</v>
      </c>
      <c r="E148" s="25">
        <v>0</v>
      </c>
      <c r="F148" s="25">
        <v>0</v>
      </c>
      <c r="G148" s="25">
        <v>0</v>
      </c>
      <c r="H148" s="25">
        <v>0</v>
      </c>
      <c r="I148" s="25">
        <v>0</v>
      </c>
      <c r="J148" s="25">
        <v>0</v>
      </c>
      <c r="K148" s="25">
        <v>0</v>
      </c>
      <c r="L148" s="25">
        <v>0</v>
      </c>
      <c r="M148" s="25">
        <v>0</v>
      </c>
      <c r="N148" s="25">
        <v>0</v>
      </c>
      <c r="O148" s="25">
        <v>0</v>
      </c>
      <c r="P148" s="25">
        <v>0</v>
      </c>
      <c r="Q148" s="25">
        <v>0</v>
      </c>
      <c r="R148" s="25">
        <v>0</v>
      </c>
      <c r="S148" s="25">
        <v>0</v>
      </c>
      <c r="T148" s="25">
        <v>0</v>
      </c>
      <c r="U148" s="25">
        <v>0</v>
      </c>
      <c r="V148" s="25">
        <v>0</v>
      </c>
      <c r="W148" s="25">
        <v>0</v>
      </c>
      <c r="X148" s="25">
        <v>0</v>
      </c>
      <c r="Y148" s="25">
        <v>0</v>
      </c>
      <c r="Z148" s="25">
        <v>0</v>
      </c>
      <c r="AA148" s="25">
        <v>0</v>
      </c>
      <c r="AB148" s="25">
        <v>0</v>
      </c>
      <c r="AC148" s="25">
        <v>0</v>
      </c>
      <c r="AD148" s="25">
        <v>0</v>
      </c>
      <c r="AE148" s="25">
        <v>0</v>
      </c>
      <c r="AF148" s="25">
        <v>0</v>
      </c>
      <c r="AG148" s="25">
        <v>0</v>
      </c>
      <c r="AH148" s="25">
        <v>0</v>
      </c>
      <c r="AI148" s="25">
        <v>0</v>
      </c>
      <c r="AJ148" s="25">
        <v>0</v>
      </c>
    </row>
    <row r="149" spans="1:36" x14ac:dyDescent="0.25">
      <c r="A149" t="s">
        <v>561</v>
      </c>
      <c r="B149" t="s">
        <v>305</v>
      </c>
      <c r="C149" s="25">
        <v>0</v>
      </c>
      <c r="D149" s="25">
        <v>0</v>
      </c>
      <c r="E149" s="25">
        <v>0</v>
      </c>
      <c r="F149" s="25">
        <v>0</v>
      </c>
      <c r="G149" s="25">
        <v>0</v>
      </c>
      <c r="H149" s="25">
        <v>0</v>
      </c>
      <c r="I149" s="25">
        <v>0</v>
      </c>
      <c r="J149" s="25">
        <v>0</v>
      </c>
      <c r="K149" s="25">
        <v>0</v>
      </c>
      <c r="L149" s="25">
        <v>0</v>
      </c>
      <c r="M149" s="25">
        <v>0</v>
      </c>
      <c r="N149" s="25">
        <v>0</v>
      </c>
      <c r="O149" s="25">
        <v>0</v>
      </c>
      <c r="P149" s="25">
        <v>0</v>
      </c>
      <c r="Q149" s="25">
        <v>0</v>
      </c>
      <c r="R149" s="25">
        <v>0</v>
      </c>
      <c r="S149" s="25">
        <v>0</v>
      </c>
      <c r="T149" s="25">
        <v>0</v>
      </c>
      <c r="U149" s="25">
        <v>0</v>
      </c>
      <c r="V149" s="25">
        <v>0</v>
      </c>
      <c r="W149" s="25">
        <v>0</v>
      </c>
      <c r="X149" s="25">
        <v>0</v>
      </c>
      <c r="Y149" s="25">
        <v>0</v>
      </c>
      <c r="Z149" s="25">
        <v>0</v>
      </c>
      <c r="AA149" s="25">
        <v>0</v>
      </c>
      <c r="AB149" s="25">
        <v>0</v>
      </c>
      <c r="AC149" s="25">
        <v>0</v>
      </c>
      <c r="AD149" s="25">
        <v>0</v>
      </c>
      <c r="AE149" s="25">
        <v>0</v>
      </c>
      <c r="AF149" s="25">
        <v>0</v>
      </c>
      <c r="AG149" s="25">
        <v>0</v>
      </c>
      <c r="AH149" s="25">
        <v>0</v>
      </c>
      <c r="AI149" s="25">
        <v>0</v>
      </c>
      <c r="AJ149" s="25">
        <v>0</v>
      </c>
    </row>
    <row r="150" spans="1:36" x14ac:dyDescent="0.25">
      <c r="A150" t="s">
        <v>562</v>
      </c>
      <c r="B150" t="s">
        <v>305</v>
      </c>
      <c r="C150" s="25">
        <v>0</v>
      </c>
      <c r="D150" s="25">
        <v>0</v>
      </c>
      <c r="E150" s="25">
        <v>0</v>
      </c>
      <c r="F150" s="25">
        <v>0</v>
      </c>
      <c r="G150" s="25">
        <v>0</v>
      </c>
      <c r="H150" s="25">
        <v>0</v>
      </c>
      <c r="I150" s="25">
        <v>0</v>
      </c>
      <c r="J150" s="25">
        <v>0</v>
      </c>
      <c r="K150" s="25">
        <v>0</v>
      </c>
      <c r="L150" s="25">
        <v>0</v>
      </c>
      <c r="M150" s="25">
        <v>0</v>
      </c>
      <c r="N150" s="25">
        <v>0</v>
      </c>
      <c r="O150" s="25">
        <v>0</v>
      </c>
      <c r="P150" s="25">
        <v>0</v>
      </c>
      <c r="Q150" s="25">
        <v>0</v>
      </c>
      <c r="R150" s="25">
        <v>0</v>
      </c>
      <c r="S150" s="25">
        <v>0</v>
      </c>
      <c r="T150" s="25">
        <v>0</v>
      </c>
      <c r="U150" s="25">
        <v>0</v>
      </c>
      <c r="V150" s="25">
        <v>0</v>
      </c>
      <c r="W150" s="25">
        <v>0</v>
      </c>
      <c r="X150" s="25">
        <v>0</v>
      </c>
      <c r="Y150" s="25">
        <v>0</v>
      </c>
      <c r="Z150" s="25">
        <v>0</v>
      </c>
      <c r="AA150" s="25">
        <v>0</v>
      </c>
      <c r="AB150" s="25">
        <v>0</v>
      </c>
      <c r="AC150" s="25">
        <v>0</v>
      </c>
      <c r="AD150" s="25">
        <v>0</v>
      </c>
      <c r="AE150" s="25">
        <v>0</v>
      </c>
      <c r="AF150" s="25">
        <v>0</v>
      </c>
      <c r="AG150" s="25">
        <v>0</v>
      </c>
      <c r="AH150" s="25">
        <v>0</v>
      </c>
      <c r="AI150" s="25">
        <v>0</v>
      </c>
      <c r="AJ150" s="25">
        <v>0</v>
      </c>
    </row>
    <row r="151" spans="1:36" x14ac:dyDescent="0.25">
      <c r="A151" t="s">
        <v>563</v>
      </c>
      <c r="B151" t="s">
        <v>305</v>
      </c>
      <c r="C151" s="25">
        <v>0</v>
      </c>
      <c r="D151" s="25">
        <v>0</v>
      </c>
      <c r="E151" s="25">
        <v>0</v>
      </c>
      <c r="F151" s="25">
        <v>0</v>
      </c>
      <c r="G151" s="25">
        <v>0</v>
      </c>
      <c r="H151" s="25">
        <v>0</v>
      </c>
      <c r="I151" s="25">
        <v>0</v>
      </c>
      <c r="J151" s="25">
        <v>0</v>
      </c>
      <c r="K151" s="25">
        <v>0</v>
      </c>
      <c r="L151" s="25">
        <v>0</v>
      </c>
      <c r="M151" s="25">
        <v>0</v>
      </c>
      <c r="N151" s="25">
        <v>0</v>
      </c>
      <c r="O151" s="25">
        <v>0</v>
      </c>
      <c r="P151" s="25">
        <v>0</v>
      </c>
      <c r="Q151" s="25">
        <v>0</v>
      </c>
      <c r="R151" s="25">
        <v>0</v>
      </c>
      <c r="S151" s="25">
        <v>0</v>
      </c>
      <c r="T151" s="25">
        <v>0</v>
      </c>
      <c r="U151" s="25">
        <v>0</v>
      </c>
      <c r="V151" s="25">
        <v>0</v>
      </c>
      <c r="W151" s="25">
        <v>0</v>
      </c>
      <c r="X151" s="25">
        <v>0</v>
      </c>
      <c r="Y151" s="25">
        <v>0</v>
      </c>
      <c r="Z151" s="25">
        <v>0</v>
      </c>
      <c r="AA151" s="25">
        <v>0</v>
      </c>
      <c r="AB151" s="25">
        <v>0</v>
      </c>
      <c r="AC151" s="25">
        <v>0</v>
      </c>
      <c r="AD151" s="25">
        <v>0</v>
      </c>
      <c r="AE151" s="25">
        <v>0</v>
      </c>
      <c r="AF151" s="25">
        <v>0</v>
      </c>
      <c r="AG151" s="25">
        <v>0</v>
      </c>
      <c r="AH151" s="25">
        <v>0</v>
      </c>
      <c r="AI151" s="25">
        <v>0</v>
      </c>
      <c r="AJ151" s="25">
        <v>0</v>
      </c>
    </row>
    <row r="152" spans="1:36" x14ac:dyDescent="0.25">
      <c r="A152" t="s">
        <v>564</v>
      </c>
      <c r="B152" t="s">
        <v>305</v>
      </c>
      <c r="C152" s="25">
        <v>0</v>
      </c>
      <c r="D152" s="25">
        <v>0</v>
      </c>
      <c r="E152" s="25">
        <v>0</v>
      </c>
      <c r="F152" s="25">
        <v>0</v>
      </c>
      <c r="G152" s="25">
        <v>0</v>
      </c>
      <c r="H152" s="25">
        <v>0</v>
      </c>
      <c r="I152" s="25">
        <v>0</v>
      </c>
      <c r="J152" s="25">
        <v>0</v>
      </c>
      <c r="K152" s="25">
        <v>0</v>
      </c>
      <c r="L152" s="25">
        <v>0</v>
      </c>
      <c r="M152" s="25">
        <v>0</v>
      </c>
      <c r="N152" s="25">
        <v>0</v>
      </c>
      <c r="O152" s="25">
        <v>0</v>
      </c>
      <c r="P152" s="25">
        <v>0</v>
      </c>
      <c r="Q152" s="25">
        <v>0</v>
      </c>
      <c r="R152" s="25">
        <v>0</v>
      </c>
      <c r="S152" s="25">
        <v>0</v>
      </c>
      <c r="T152" s="25">
        <v>0</v>
      </c>
      <c r="U152" s="25">
        <v>0</v>
      </c>
      <c r="V152" s="25">
        <v>0</v>
      </c>
      <c r="W152" s="25">
        <v>0</v>
      </c>
      <c r="X152" s="25">
        <v>0</v>
      </c>
      <c r="Y152" s="25">
        <v>0</v>
      </c>
      <c r="Z152" s="25">
        <v>0</v>
      </c>
      <c r="AA152" s="25">
        <v>0</v>
      </c>
      <c r="AB152" s="25">
        <v>0</v>
      </c>
      <c r="AC152" s="25">
        <v>0</v>
      </c>
      <c r="AD152" s="25">
        <v>0</v>
      </c>
      <c r="AE152" s="25">
        <v>0</v>
      </c>
      <c r="AF152" s="25">
        <v>0</v>
      </c>
      <c r="AG152" s="25">
        <v>0</v>
      </c>
      <c r="AH152" s="25">
        <v>0</v>
      </c>
      <c r="AI152" s="25">
        <v>0</v>
      </c>
      <c r="AJ152" s="25">
        <v>0</v>
      </c>
    </row>
    <row r="153" spans="1:36" x14ac:dyDescent="0.25">
      <c r="A153" t="s">
        <v>565</v>
      </c>
      <c r="B153" t="s">
        <v>305</v>
      </c>
      <c r="C153" s="25">
        <v>0</v>
      </c>
      <c r="D153" s="25">
        <v>0</v>
      </c>
      <c r="E153" s="25">
        <v>0</v>
      </c>
      <c r="F153" s="25">
        <v>0</v>
      </c>
      <c r="G153" s="25">
        <v>0</v>
      </c>
      <c r="H153" s="25">
        <v>0</v>
      </c>
      <c r="I153" s="25">
        <v>0</v>
      </c>
      <c r="J153" s="25">
        <v>0</v>
      </c>
      <c r="K153" s="25">
        <v>0</v>
      </c>
      <c r="L153" s="25">
        <v>0</v>
      </c>
      <c r="M153" s="25">
        <v>0</v>
      </c>
      <c r="N153" s="25">
        <v>0</v>
      </c>
      <c r="O153" s="25">
        <v>0</v>
      </c>
      <c r="P153" s="25">
        <v>0</v>
      </c>
      <c r="Q153" s="25">
        <v>0</v>
      </c>
      <c r="R153" s="25">
        <v>0</v>
      </c>
      <c r="S153" s="25">
        <v>0</v>
      </c>
      <c r="T153" s="25">
        <v>0</v>
      </c>
      <c r="U153" s="25">
        <v>0</v>
      </c>
      <c r="V153" s="25">
        <v>0</v>
      </c>
      <c r="W153" s="25">
        <v>0</v>
      </c>
      <c r="X153" s="25">
        <v>0</v>
      </c>
      <c r="Y153" s="25">
        <v>0</v>
      </c>
      <c r="Z153" s="25">
        <v>0</v>
      </c>
      <c r="AA153" s="25">
        <v>0</v>
      </c>
      <c r="AB153" s="25">
        <v>0</v>
      </c>
      <c r="AC153" s="25">
        <v>0</v>
      </c>
      <c r="AD153" s="25">
        <v>0</v>
      </c>
      <c r="AE153" s="25">
        <v>0</v>
      </c>
      <c r="AF153" s="25">
        <v>0</v>
      </c>
      <c r="AG153" s="25">
        <v>0</v>
      </c>
      <c r="AH153" s="25">
        <v>0</v>
      </c>
      <c r="AI153" s="25">
        <v>0</v>
      </c>
      <c r="AJ153" s="25">
        <v>0</v>
      </c>
    </row>
    <row r="154" spans="1:36" x14ac:dyDescent="0.25">
      <c r="A154" t="s">
        <v>566</v>
      </c>
      <c r="B154" t="s">
        <v>305</v>
      </c>
      <c r="C154" s="25">
        <v>0</v>
      </c>
      <c r="D154" s="25">
        <v>0</v>
      </c>
      <c r="E154" s="25">
        <v>0</v>
      </c>
      <c r="F154" s="25">
        <v>0</v>
      </c>
      <c r="G154" s="25">
        <v>0</v>
      </c>
      <c r="H154" s="25">
        <v>0</v>
      </c>
      <c r="I154" s="25">
        <v>0</v>
      </c>
      <c r="J154" s="25">
        <v>0</v>
      </c>
      <c r="K154" s="25">
        <v>0</v>
      </c>
      <c r="L154" s="25">
        <v>0</v>
      </c>
      <c r="M154" s="25">
        <v>0</v>
      </c>
      <c r="N154" s="25">
        <v>0</v>
      </c>
      <c r="O154" s="25">
        <v>0</v>
      </c>
      <c r="P154" s="25">
        <v>0</v>
      </c>
      <c r="Q154" s="25">
        <v>0</v>
      </c>
      <c r="R154" s="25">
        <v>0</v>
      </c>
      <c r="S154" s="25">
        <v>0</v>
      </c>
      <c r="T154" s="25">
        <v>0</v>
      </c>
      <c r="U154" s="25">
        <v>0</v>
      </c>
      <c r="V154" s="25">
        <v>0</v>
      </c>
      <c r="W154" s="25">
        <v>0</v>
      </c>
      <c r="X154" s="25">
        <v>0</v>
      </c>
      <c r="Y154" s="25">
        <v>0</v>
      </c>
      <c r="Z154" s="25">
        <v>0</v>
      </c>
      <c r="AA154" s="25">
        <v>0</v>
      </c>
      <c r="AB154" s="25">
        <v>0</v>
      </c>
      <c r="AC154" s="25">
        <v>0</v>
      </c>
      <c r="AD154" s="25">
        <v>0</v>
      </c>
      <c r="AE154" s="25">
        <v>0</v>
      </c>
      <c r="AF154" s="25">
        <v>0</v>
      </c>
      <c r="AG154" s="25">
        <v>0</v>
      </c>
      <c r="AH154" s="25">
        <v>0</v>
      </c>
      <c r="AI154" s="25">
        <v>0</v>
      </c>
      <c r="AJ154" s="25">
        <v>0</v>
      </c>
    </row>
    <row r="155" spans="1:36" x14ac:dyDescent="0.25">
      <c r="A155" t="s">
        <v>567</v>
      </c>
      <c r="B155" t="s">
        <v>305</v>
      </c>
      <c r="C155" s="25">
        <v>0</v>
      </c>
      <c r="D155" s="25">
        <v>0</v>
      </c>
      <c r="E155" s="25">
        <v>0</v>
      </c>
      <c r="F155" s="25">
        <v>0</v>
      </c>
      <c r="G155" s="25">
        <v>0</v>
      </c>
      <c r="H155" s="25">
        <v>0</v>
      </c>
      <c r="I155" s="25">
        <v>0</v>
      </c>
      <c r="J155" s="25">
        <v>0</v>
      </c>
      <c r="K155" s="25">
        <v>0</v>
      </c>
      <c r="L155" s="25">
        <v>0</v>
      </c>
      <c r="M155" s="25">
        <v>0</v>
      </c>
      <c r="N155" s="25">
        <v>0</v>
      </c>
      <c r="O155" s="25">
        <v>0</v>
      </c>
      <c r="P155" s="25">
        <v>0</v>
      </c>
      <c r="Q155" s="25">
        <v>0</v>
      </c>
      <c r="R155" s="25">
        <v>0</v>
      </c>
      <c r="S155" s="25">
        <v>0</v>
      </c>
      <c r="T155" s="25">
        <v>0</v>
      </c>
      <c r="U155" s="25">
        <v>0</v>
      </c>
      <c r="V155" s="25">
        <v>0</v>
      </c>
      <c r="W155" s="25">
        <v>0</v>
      </c>
      <c r="X155" s="25">
        <v>0</v>
      </c>
      <c r="Y155" s="25">
        <v>0</v>
      </c>
      <c r="Z155" s="25">
        <v>0</v>
      </c>
      <c r="AA155" s="25">
        <v>0</v>
      </c>
      <c r="AB155" s="25">
        <v>0</v>
      </c>
      <c r="AC155" s="25">
        <v>0</v>
      </c>
      <c r="AD155" s="25">
        <v>0</v>
      </c>
      <c r="AE155" s="25">
        <v>0</v>
      </c>
      <c r="AF155" s="25">
        <v>0</v>
      </c>
      <c r="AG155" s="25">
        <v>0</v>
      </c>
      <c r="AH155" s="25">
        <v>0</v>
      </c>
      <c r="AI155" s="25">
        <v>0</v>
      </c>
      <c r="AJ155" s="25">
        <v>0</v>
      </c>
    </row>
    <row r="156" spans="1:36" x14ac:dyDescent="0.25">
      <c r="A156" t="s">
        <v>568</v>
      </c>
      <c r="B156" t="s">
        <v>305</v>
      </c>
      <c r="C156" s="25">
        <v>100</v>
      </c>
      <c r="D156" s="25">
        <v>100</v>
      </c>
      <c r="E156" s="25">
        <v>100</v>
      </c>
      <c r="F156" s="25">
        <v>100</v>
      </c>
      <c r="G156" s="25">
        <v>100</v>
      </c>
      <c r="H156" s="25">
        <v>100</v>
      </c>
      <c r="I156" s="25">
        <v>100</v>
      </c>
      <c r="J156" s="25">
        <v>100</v>
      </c>
      <c r="K156" s="25">
        <v>100</v>
      </c>
      <c r="L156" s="25">
        <v>100</v>
      </c>
      <c r="M156" s="25">
        <v>100</v>
      </c>
      <c r="N156" s="25">
        <v>100</v>
      </c>
      <c r="O156" s="25">
        <v>100</v>
      </c>
      <c r="P156" s="25">
        <v>100</v>
      </c>
      <c r="Q156" s="25">
        <v>100</v>
      </c>
      <c r="R156" s="25">
        <v>100</v>
      </c>
      <c r="S156" s="25">
        <v>100</v>
      </c>
      <c r="T156" s="25">
        <v>100</v>
      </c>
      <c r="U156" s="25">
        <v>100</v>
      </c>
      <c r="V156" s="25">
        <v>100</v>
      </c>
      <c r="W156" s="25">
        <v>100</v>
      </c>
      <c r="X156" s="25">
        <v>100</v>
      </c>
      <c r="Y156" s="25">
        <v>100</v>
      </c>
      <c r="Z156" s="25">
        <v>100</v>
      </c>
      <c r="AA156" s="25">
        <v>100</v>
      </c>
      <c r="AB156" s="25">
        <v>100</v>
      </c>
      <c r="AC156" s="25">
        <v>100</v>
      </c>
      <c r="AD156" s="25">
        <v>100</v>
      </c>
      <c r="AE156" s="25">
        <v>100</v>
      </c>
      <c r="AF156" s="25">
        <v>100</v>
      </c>
      <c r="AG156" s="25">
        <v>100</v>
      </c>
      <c r="AH156" s="25">
        <v>100</v>
      </c>
      <c r="AI156" s="25">
        <v>100</v>
      </c>
      <c r="AJ156" s="25">
        <v>100</v>
      </c>
    </row>
    <row r="157" spans="1:36" x14ac:dyDescent="0.25">
      <c r="A157" t="s">
        <v>762</v>
      </c>
      <c r="B157" t="s">
        <v>305</v>
      </c>
      <c r="C157" s="25">
        <v>0</v>
      </c>
      <c r="D157" s="25">
        <v>0</v>
      </c>
      <c r="E157" s="25">
        <v>0</v>
      </c>
      <c r="F157" s="25">
        <v>0</v>
      </c>
      <c r="G157" s="25">
        <v>0</v>
      </c>
      <c r="H157" s="25">
        <v>0</v>
      </c>
      <c r="I157" s="25">
        <v>0</v>
      </c>
      <c r="J157" s="25">
        <v>0</v>
      </c>
      <c r="K157" s="25">
        <v>0</v>
      </c>
      <c r="L157" s="25">
        <v>0</v>
      </c>
      <c r="M157" s="25">
        <v>0</v>
      </c>
      <c r="N157" s="25">
        <v>0</v>
      </c>
      <c r="O157" s="25">
        <v>0</v>
      </c>
      <c r="P157" s="25">
        <v>0</v>
      </c>
      <c r="Q157" s="25">
        <v>0</v>
      </c>
      <c r="R157" s="25">
        <v>0</v>
      </c>
      <c r="S157" s="25">
        <v>0</v>
      </c>
      <c r="T157" s="25">
        <v>0</v>
      </c>
      <c r="U157" s="25">
        <v>0</v>
      </c>
      <c r="V157" s="25">
        <v>0</v>
      </c>
      <c r="W157" s="25">
        <v>0</v>
      </c>
      <c r="X157" s="25">
        <v>0</v>
      </c>
      <c r="Y157" s="25">
        <v>0</v>
      </c>
      <c r="Z157" s="25">
        <v>0</v>
      </c>
      <c r="AA157" s="25">
        <v>0</v>
      </c>
      <c r="AB157" s="25">
        <v>0</v>
      </c>
      <c r="AC157" s="25">
        <v>0</v>
      </c>
      <c r="AD157" s="25">
        <v>0</v>
      </c>
      <c r="AE157" s="25">
        <v>0</v>
      </c>
      <c r="AF157" s="25">
        <v>0</v>
      </c>
      <c r="AG157" s="25">
        <v>0</v>
      </c>
      <c r="AH157" s="25">
        <v>0</v>
      </c>
      <c r="AI157" s="25">
        <v>0</v>
      </c>
      <c r="AJ157" s="25">
        <v>0</v>
      </c>
    </row>
    <row r="158" spans="1:36" s="78" customFormat="1" x14ac:dyDescent="0.25">
      <c r="A158" s="78" t="s">
        <v>780</v>
      </c>
      <c r="C158" s="79">
        <f>+SUM(C147:C157)</f>
        <v>100</v>
      </c>
      <c r="D158" s="79">
        <f t="shared" ref="D158" si="298">+SUM(D147:D157)</f>
        <v>100</v>
      </c>
      <c r="E158" s="79">
        <f t="shared" ref="E158" si="299">+SUM(E147:E157)</f>
        <v>100</v>
      </c>
      <c r="F158" s="79">
        <f t="shared" ref="F158" si="300">+SUM(F147:F157)</f>
        <v>100</v>
      </c>
      <c r="G158" s="79">
        <f t="shared" ref="G158" si="301">+SUM(G147:G157)</f>
        <v>100</v>
      </c>
      <c r="H158" s="79">
        <f t="shared" ref="H158" si="302">+SUM(H147:H157)</f>
        <v>100</v>
      </c>
      <c r="I158" s="79">
        <f t="shared" ref="I158" si="303">+SUM(I147:I157)</f>
        <v>100</v>
      </c>
      <c r="J158" s="79">
        <f t="shared" ref="J158" si="304">+SUM(J147:J157)</f>
        <v>100</v>
      </c>
      <c r="K158" s="79">
        <f t="shared" ref="K158" si="305">+SUM(K147:K157)</f>
        <v>100</v>
      </c>
      <c r="L158" s="79">
        <f t="shared" ref="L158" si="306">+SUM(L147:L157)</f>
        <v>100</v>
      </c>
      <c r="M158" s="79">
        <f t="shared" ref="M158" si="307">+SUM(M147:M157)</f>
        <v>100</v>
      </c>
      <c r="N158" s="79">
        <f t="shared" ref="N158" si="308">+SUM(N147:N157)</f>
        <v>100</v>
      </c>
      <c r="O158" s="79">
        <f t="shared" ref="O158" si="309">+SUM(O147:O157)</f>
        <v>100</v>
      </c>
      <c r="P158" s="79">
        <f t="shared" ref="P158" si="310">+SUM(P147:P157)</f>
        <v>100</v>
      </c>
      <c r="Q158" s="79">
        <f t="shared" ref="Q158" si="311">+SUM(Q147:Q157)</f>
        <v>100</v>
      </c>
      <c r="R158" s="79">
        <f t="shared" ref="R158" si="312">+SUM(R147:R157)</f>
        <v>100</v>
      </c>
      <c r="S158" s="79">
        <f t="shared" ref="S158" si="313">+SUM(S147:S157)</f>
        <v>100</v>
      </c>
      <c r="T158" s="79">
        <f t="shared" ref="T158" si="314">+SUM(T147:T157)</f>
        <v>100</v>
      </c>
      <c r="U158" s="79">
        <f t="shared" ref="U158" si="315">+SUM(U147:U157)</f>
        <v>100</v>
      </c>
      <c r="V158" s="79">
        <f t="shared" ref="V158" si="316">+SUM(V147:V157)</f>
        <v>100</v>
      </c>
      <c r="W158" s="79">
        <f t="shared" ref="W158" si="317">+SUM(W147:W157)</f>
        <v>100</v>
      </c>
      <c r="X158" s="79">
        <f t="shared" ref="X158" si="318">+SUM(X147:X157)</f>
        <v>100</v>
      </c>
      <c r="Y158" s="79">
        <f t="shared" ref="Y158" si="319">+SUM(Y147:Y157)</f>
        <v>100</v>
      </c>
      <c r="Z158" s="79">
        <f t="shared" ref="Z158" si="320">+SUM(Z147:Z157)</f>
        <v>100</v>
      </c>
      <c r="AA158" s="79">
        <f t="shared" ref="AA158" si="321">+SUM(AA147:AA157)</f>
        <v>100</v>
      </c>
      <c r="AB158" s="79">
        <f t="shared" ref="AB158" si="322">+SUM(AB147:AB157)</f>
        <v>100</v>
      </c>
      <c r="AC158" s="79">
        <f t="shared" ref="AC158" si="323">+SUM(AC147:AC157)</f>
        <v>100</v>
      </c>
      <c r="AD158" s="79">
        <f t="shared" ref="AD158" si="324">+SUM(AD147:AD157)</f>
        <v>100</v>
      </c>
      <c r="AE158" s="79">
        <f t="shared" ref="AE158" si="325">+SUM(AE147:AE157)</f>
        <v>100</v>
      </c>
      <c r="AF158" s="79">
        <f t="shared" ref="AF158" si="326">+SUM(AF147:AF157)</f>
        <v>100</v>
      </c>
      <c r="AG158" s="79">
        <f t="shared" ref="AG158" si="327">+SUM(AG147:AG157)</f>
        <v>100</v>
      </c>
      <c r="AH158" s="79">
        <f t="shared" ref="AH158" si="328">+SUM(AH147:AH157)</f>
        <v>100</v>
      </c>
      <c r="AI158" s="79">
        <f t="shared" ref="AI158" si="329">+SUM(AI147:AI157)</f>
        <v>100</v>
      </c>
      <c r="AJ158" s="79">
        <f t="shared" ref="AJ158" si="330">+SUM(AJ147:AJ157)</f>
        <v>100</v>
      </c>
    </row>
    <row r="159" spans="1:36" s="76" customFormat="1" ht="15.75" x14ac:dyDescent="0.25">
      <c r="A159" s="74" t="s">
        <v>776</v>
      </c>
      <c r="B159" s="75"/>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c r="AA159" s="74"/>
      <c r="AB159" s="74"/>
      <c r="AC159" s="74"/>
      <c r="AD159" s="74"/>
      <c r="AE159" s="74"/>
      <c r="AF159" s="74"/>
      <c r="AG159" s="74"/>
      <c r="AH159" s="74"/>
      <c r="AI159" s="74"/>
      <c r="AJ159" s="74"/>
    </row>
    <row r="160" spans="1:36" x14ac:dyDescent="0.25">
      <c r="A160" s="77" t="s">
        <v>569</v>
      </c>
      <c r="B160" t="s">
        <v>305</v>
      </c>
      <c r="C160" s="25">
        <v>71</v>
      </c>
      <c r="D160" s="25">
        <v>71</v>
      </c>
      <c r="E160" s="25">
        <v>71</v>
      </c>
      <c r="F160" s="25">
        <v>71</v>
      </c>
      <c r="G160" s="25">
        <v>71</v>
      </c>
      <c r="H160" s="25">
        <v>71</v>
      </c>
      <c r="I160" s="25">
        <v>71</v>
      </c>
      <c r="J160" s="25">
        <v>71</v>
      </c>
      <c r="K160" s="25">
        <v>71</v>
      </c>
      <c r="L160" s="25">
        <v>71</v>
      </c>
      <c r="M160" s="25">
        <v>71</v>
      </c>
      <c r="N160" s="25">
        <v>71</v>
      </c>
      <c r="O160" s="25">
        <v>71</v>
      </c>
      <c r="P160" s="25">
        <v>71</v>
      </c>
      <c r="Q160" s="25">
        <v>71</v>
      </c>
      <c r="R160" s="25">
        <v>71</v>
      </c>
      <c r="S160" s="25">
        <v>71</v>
      </c>
      <c r="T160" s="25">
        <v>71</v>
      </c>
      <c r="U160" s="25">
        <v>71</v>
      </c>
      <c r="V160" s="25">
        <v>71</v>
      </c>
      <c r="W160" s="25">
        <v>71</v>
      </c>
      <c r="X160" s="25">
        <v>71</v>
      </c>
      <c r="Y160" s="25">
        <v>71</v>
      </c>
      <c r="Z160" s="25">
        <v>71</v>
      </c>
      <c r="AA160" s="25">
        <v>71</v>
      </c>
      <c r="AB160" s="25">
        <v>71</v>
      </c>
      <c r="AC160" s="25">
        <v>71</v>
      </c>
      <c r="AD160" s="25">
        <v>71</v>
      </c>
      <c r="AE160" s="25">
        <v>71</v>
      </c>
      <c r="AF160" s="25">
        <v>71</v>
      </c>
      <c r="AG160" s="25">
        <v>71</v>
      </c>
      <c r="AH160" s="25">
        <v>71</v>
      </c>
      <c r="AI160" s="25">
        <v>71</v>
      </c>
      <c r="AJ160" s="25">
        <v>71</v>
      </c>
    </row>
    <row r="161" spans="1:36" x14ac:dyDescent="0.25">
      <c r="A161" s="77" t="s">
        <v>570</v>
      </c>
      <c r="B161" t="s">
        <v>305</v>
      </c>
      <c r="C161" s="25">
        <v>11</v>
      </c>
      <c r="D161" s="25">
        <v>11</v>
      </c>
      <c r="E161" s="25">
        <v>11</v>
      </c>
      <c r="F161" s="25">
        <v>11</v>
      </c>
      <c r="G161" s="25">
        <v>11</v>
      </c>
      <c r="H161" s="25">
        <v>11</v>
      </c>
      <c r="I161" s="25">
        <v>11</v>
      </c>
      <c r="J161" s="25">
        <v>11</v>
      </c>
      <c r="K161" s="25">
        <v>11</v>
      </c>
      <c r="L161" s="25">
        <v>11</v>
      </c>
      <c r="M161" s="25">
        <v>11</v>
      </c>
      <c r="N161" s="25">
        <v>11</v>
      </c>
      <c r="O161" s="25">
        <v>11</v>
      </c>
      <c r="P161" s="25">
        <v>11</v>
      </c>
      <c r="Q161" s="25">
        <v>11</v>
      </c>
      <c r="R161" s="25">
        <v>11</v>
      </c>
      <c r="S161" s="25">
        <v>11</v>
      </c>
      <c r="T161" s="25">
        <v>11</v>
      </c>
      <c r="U161" s="25">
        <v>11</v>
      </c>
      <c r="V161" s="25">
        <v>11</v>
      </c>
      <c r="W161" s="25">
        <v>11</v>
      </c>
      <c r="X161" s="25">
        <v>11</v>
      </c>
      <c r="Y161" s="25">
        <v>11</v>
      </c>
      <c r="Z161" s="25">
        <v>11</v>
      </c>
      <c r="AA161" s="25">
        <v>11</v>
      </c>
      <c r="AB161" s="25">
        <v>11</v>
      </c>
      <c r="AC161" s="25">
        <v>11</v>
      </c>
      <c r="AD161" s="25">
        <v>11</v>
      </c>
      <c r="AE161" s="25">
        <v>11</v>
      </c>
      <c r="AF161" s="25">
        <v>11</v>
      </c>
      <c r="AG161" s="25">
        <v>11</v>
      </c>
      <c r="AH161" s="25">
        <v>11</v>
      </c>
      <c r="AI161" s="25">
        <v>11</v>
      </c>
      <c r="AJ161" s="25">
        <v>11</v>
      </c>
    </row>
    <row r="162" spans="1:36" x14ac:dyDescent="0.25">
      <c r="A162" s="77" t="s">
        <v>571</v>
      </c>
      <c r="B162" t="s">
        <v>305</v>
      </c>
      <c r="C162" s="25">
        <v>13</v>
      </c>
      <c r="D162" s="25">
        <v>13</v>
      </c>
      <c r="E162" s="25">
        <v>13</v>
      </c>
      <c r="F162" s="25">
        <v>13</v>
      </c>
      <c r="G162" s="25">
        <v>13</v>
      </c>
      <c r="H162" s="25">
        <v>13</v>
      </c>
      <c r="I162" s="25">
        <v>13</v>
      </c>
      <c r="J162" s="25">
        <v>13</v>
      </c>
      <c r="K162" s="25">
        <v>13</v>
      </c>
      <c r="L162" s="25">
        <v>13</v>
      </c>
      <c r="M162" s="25">
        <v>13</v>
      </c>
      <c r="N162" s="25">
        <v>13</v>
      </c>
      <c r="O162" s="25">
        <v>13</v>
      </c>
      <c r="P162" s="25">
        <v>13</v>
      </c>
      <c r="Q162" s="25">
        <v>13</v>
      </c>
      <c r="R162" s="25">
        <v>13</v>
      </c>
      <c r="S162" s="25">
        <v>13</v>
      </c>
      <c r="T162" s="25">
        <v>13</v>
      </c>
      <c r="U162" s="25">
        <v>13</v>
      </c>
      <c r="V162" s="25">
        <v>13</v>
      </c>
      <c r="W162" s="25">
        <v>13</v>
      </c>
      <c r="X162" s="25">
        <v>13</v>
      </c>
      <c r="Y162" s="25">
        <v>13</v>
      </c>
      <c r="Z162" s="25">
        <v>13</v>
      </c>
      <c r="AA162" s="25">
        <v>13</v>
      </c>
      <c r="AB162" s="25">
        <v>13</v>
      </c>
      <c r="AC162" s="25">
        <v>13</v>
      </c>
      <c r="AD162" s="25">
        <v>13</v>
      </c>
      <c r="AE162" s="25">
        <v>13</v>
      </c>
      <c r="AF162" s="25">
        <v>13</v>
      </c>
      <c r="AG162" s="25">
        <v>13</v>
      </c>
      <c r="AH162" s="25">
        <v>13</v>
      </c>
      <c r="AI162" s="25">
        <v>13</v>
      </c>
      <c r="AJ162" s="25">
        <v>13</v>
      </c>
    </row>
    <row r="163" spans="1:36" x14ac:dyDescent="0.25">
      <c r="A163" s="77" t="s">
        <v>572</v>
      </c>
      <c r="B163" t="s">
        <v>305</v>
      </c>
      <c r="C163" s="25">
        <v>0</v>
      </c>
      <c r="D163" s="25">
        <v>0</v>
      </c>
      <c r="E163" s="25">
        <v>0</v>
      </c>
      <c r="F163" s="25">
        <v>0</v>
      </c>
      <c r="G163" s="25">
        <v>0</v>
      </c>
      <c r="H163" s="25">
        <v>0</v>
      </c>
      <c r="I163" s="25">
        <v>0</v>
      </c>
      <c r="J163" s="25">
        <v>0</v>
      </c>
      <c r="K163" s="25">
        <v>0</v>
      </c>
      <c r="L163" s="25">
        <v>0</v>
      </c>
      <c r="M163" s="25">
        <v>0</v>
      </c>
      <c r="N163" s="25">
        <v>0</v>
      </c>
      <c r="O163" s="25">
        <v>0</v>
      </c>
      <c r="P163" s="25">
        <v>0</v>
      </c>
      <c r="Q163" s="25">
        <v>0</v>
      </c>
      <c r="R163" s="25">
        <v>0</v>
      </c>
      <c r="S163" s="25">
        <v>0</v>
      </c>
      <c r="T163" s="25">
        <v>0</v>
      </c>
      <c r="U163" s="25">
        <v>0</v>
      </c>
      <c r="V163" s="25">
        <v>0</v>
      </c>
      <c r="W163" s="25">
        <v>0</v>
      </c>
      <c r="X163" s="25">
        <v>0</v>
      </c>
      <c r="Y163" s="25">
        <v>0</v>
      </c>
      <c r="Z163" s="25">
        <v>0</v>
      </c>
      <c r="AA163" s="25">
        <v>0</v>
      </c>
      <c r="AB163" s="25">
        <v>0</v>
      </c>
      <c r="AC163" s="25">
        <v>0</v>
      </c>
      <c r="AD163" s="25">
        <v>0</v>
      </c>
      <c r="AE163" s="25">
        <v>0</v>
      </c>
      <c r="AF163" s="25">
        <v>0</v>
      </c>
      <c r="AG163" s="25">
        <v>0</v>
      </c>
      <c r="AH163" s="25">
        <v>0</v>
      </c>
      <c r="AI163" s="25">
        <v>0</v>
      </c>
      <c r="AJ163" s="25">
        <v>0</v>
      </c>
    </row>
    <row r="164" spans="1:36" x14ac:dyDescent="0.25">
      <c r="A164" s="77" t="s">
        <v>573</v>
      </c>
      <c r="B164" t="s">
        <v>305</v>
      </c>
      <c r="C164" s="25">
        <v>3</v>
      </c>
      <c r="D164" s="25">
        <v>3</v>
      </c>
      <c r="E164" s="25">
        <v>3</v>
      </c>
      <c r="F164" s="25">
        <v>3</v>
      </c>
      <c r="G164" s="25">
        <v>3</v>
      </c>
      <c r="H164" s="25">
        <v>3</v>
      </c>
      <c r="I164" s="25">
        <v>3</v>
      </c>
      <c r="J164" s="25">
        <v>3</v>
      </c>
      <c r="K164" s="25">
        <v>3</v>
      </c>
      <c r="L164" s="25">
        <v>3</v>
      </c>
      <c r="M164" s="25">
        <v>3</v>
      </c>
      <c r="N164" s="25">
        <v>3</v>
      </c>
      <c r="O164" s="25">
        <v>3</v>
      </c>
      <c r="P164" s="25">
        <v>3</v>
      </c>
      <c r="Q164" s="25">
        <v>3</v>
      </c>
      <c r="R164" s="25">
        <v>3</v>
      </c>
      <c r="S164" s="25">
        <v>3</v>
      </c>
      <c r="T164" s="25">
        <v>3</v>
      </c>
      <c r="U164" s="25">
        <v>3</v>
      </c>
      <c r="V164" s="25">
        <v>3</v>
      </c>
      <c r="W164" s="25">
        <v>3</v>
      </c>
      <c r="X164" s="25">
        <v>3</v>
      </c>
      <c r="Y164" s="25">
        <v>3</v>
      </c>
      <c r="Z164" s="25">
        <v>3</v>
      </c>
      <c r="AA164" s="25">
        <v>3</v>
      </c>
      <c r="AB164" s="25">
        <v>3</v>
      </c>
      <c r="AC164" s="25">
        <v>3</v>
      </c>
      <c r="AD164" s="25">
        <v>3</v>
      </c>
      <c r="AE164" s="25">
        <v>3</v>
      </c>
      <c r="AF164" s="25">
        <v>3</v>
      </c>
      <c r="AG164" s="25">
        <v>3</v>
      </c>
      <c r="AH164" s="25">
        <v>3</v>
      </c>
      <c r="AI164" s="25">
        <v>3</v>
      </c>
      <c r="AJ164" s="25">
        <v>3</v>
      </c>
    </row>
    <row r="165" spans="1:36" x14ac:dyDescent="0.25">
      <c r="A165" s="77" t="s">
        <v>574</v>
      </c>
      <c r="B165" t="s">
        <v>305</v>
      </c>
      <c r="C165" s="25">
        <v>2</v>
      </c>
      <c r="D165" s="25">
        <v>2</v>
      </c>
      <c r="E165" s="25">
        <v>2</v>
      </c>
      <c r="F165" s="25">
        <v>2</v>
      </c>
      <c r="G165" s="25">
        <v>2</v>
      </c>
      <c r="H165" s="25">
        <v>2</v>
      </c>
      <c r="I165" s="25">
        <v>2</v>
      </c>
      <c r="J165" s="25">
        <v>2</v>
      </c>
      <c r="K165" s="25">
        <v>2</v>
      </c>
      <c r="L165" s="25">
        <v>2</v>
      </c>
      <c r="M165" s="25">
        <v>2</v>
      </c>
      <c r="N165" s="25">
        <v>2</v>
      </c>
      <c r="O165" s="25">
        <v>2</v>
      </c>
      <c r="P165" s="25">
        <v>2</v>
      </c>
      <c r="Q165" s="25">
        <v>2</v>
      </c>
      <c r="R165" s="25">
        <v>2</v>
      </c>
      <c r="S165" s="25">
        <v>2</v>
      </c>
      <c r="T165" s="25">
        <v>2</v>
      </c>
      <c r="U165" s="25">
        <v>2</v>
      </c>
      <c r="V165" s="25">
        <v>2</v>
      </c>
      <c r="W165" s="25">
        <v>2</v>
      </c>
      <c r="X165" s="25">
        <v>2</v>
      </c>
      <c r="Y165" s="25">
        <v>2</v>
      </c>
      <c r="Z165" s="25">
        <v>2</v>
      </c>
      <c r="AA165" s="25">
        <v>2</v>
      </c>
      <c r="AB165" s="25">
        <v>2</v>
      </c>
      <c r="AC165" s="25">
        <v>2</v>
      </c>
      <c r="AD165" s="25">
        <v>2</v>
      </c>
      <c r="AE165" s="25">
        <v>2</v>
      </c>
      <c r="AF165" s="25">
        <v>2</v>
      </c>
      <c r="AG165" s="25">
        <v>2</v>
      </c>
      <c r="AH165" s="25">
        <v>2</v>
      </c>
      <c r="AI165" s="25">
        <v>2</v>
      </c>
      <c r="AJ165" s="25">
        <v>2</v>
      </c>
    </row>
    <row r="166" spans="1:36" x14ac:dyDescent="0.25">
      <c r="A166" s="77" t="s">
        <v>575</v>
      </c>
      <c r="B166" t="s">
        <v>305</v>
      </c>
      <c r="C166" s="25">
        <v>0</v>
      </c>
      <c r="D166" s="25">
        <v>0</v>
      </c>
      <c r="E166" s="25">
        <v>0</v>
      </c>
      <c r="F166" s="25">
        <v>0</v>
      </c>
      <c r="G166" s="25">
        <v>0</v>
      </c>
      <c r="H166" s="25">
        <v>0</v>
      </c>
      <c r="I166" s="25">
        <v>0</v>
      </c>
      <c r="J166" s="25">
        <v>0</v>
      </c>
      <c r="K166" s="25">
        <v>0</v>
      </c>
      <c r="L166" s="25">
        <v>0</v>
      </c>
      <c r="M166" s="25">
        <v>0</v>
      </c>
      <c r="N166" s="25">
        <v>0</v>
      </c>
      <c r="O166" s="25">
        <v>0</v>
      </c>
      <c r="P166" s="25">
        <v>0</v>
      </c>
      <c r="Q166" s="25">
        <v>0</v>
      </c>
      <c r="R166" s="25">
        <v>0</v>
      </c>
      <c r="S166" s="25">
        <v>0</v>
      </c>
      <c r="T166" s="25">
        <v>0</v>
      </c>
      <c r="U166" s="25">
        <v>0</v>
      </c>
      <c r="V166" s="25">
        <v>0</v>
      </c>
      <c r="W166" s="25">
        <v>0</v>
      </c>
      <c r="X166" s="25">
        <v>0</v>
      </c>
      <c r="Y166" s="25">
        <v>0</v>
      </c>
      <c r="Z166" s="25">
        <v>0</v>
      </c>
      <c r="AA166" s="25">
        <v>0</v>
      </c>
      <c r="AB166" s="25">
        <v>0</v>
      </c>
      <c r="AC166" s="25">
        <v>0</v>
      </c>
      <c r="AD166" s="25">
        <v>0</v>
      </c>
      <c r="AE166" s="25">
        <v>0</v>
      </c>
      <c r="AF166" s="25">
        <v>0</v>
      </c>
      <c r="AG166" s="25">
        <v>0</v>
      </c>
      <c r="AH166" s="25">
        <v>0</v>
      </c>
      <c r="AI166" s="25">
        <v>0</v>
      </c>
      <c r="AJ166" s="25">
        <v>0</v>
      </c>
    </row>
    <row r="167" spans="1:36" x14ac:dyDescent="0.25">
      <c r="A167" s="77" t="s">
        <v>576</v>
      </c>
      <c r="B167" t="s">
        <v>305</v>
      </c>
      <c r="C167" s="25">
        <v>0</v>
      </c>
      <c r="D167" s="25">
        <v>0</v>
      </c>
      <c r="E167" s="25">
        <v>0</v>
      </c>
      <c r="F167" s="25">
        <v>0</v>
      </c>
      <c r="G167" s="25">
        <v>0</v>
      </c>
      <c r="H167" s="25">
        <v>0</v>
      </c>
      <c r="I167" s="25">
        <v>0</v>
      </c>
      <c r="J167" s="25">
        <v>0</v>
      </c>
      <c r="K167" s="25">
        <v>0</v>
      </c>
      <c r="L167" s="25">
        <v>0</v>
      </c>
      <c r="M167" s="25">
        <v>0</v>
      </c>
      <c r="N167" s="25">
        <v>0</v>
      </c>
      <c r="O167" s="25">
        <v>0</v>
      </c>
      <c r="P167" s="25">
        <v>0</v>
      </c>
      <c r="Q167" s="25">
        <v>0</v>
      </c>
      <c r="R167" s="25">
        <v>0</v>
      </c>
      <c r="S167" s="25">
        <v>0</v>
      </c>
      <c r="T167" s="25">
        <v>0</v>
      </c>
      <c r="U167" s="25">
        <v>0</v>
      </c>
      <c r="V167" s="25">
        <v>0</v>
      </c>
      <c r="W167" s="25">
        <v>0</v>
      </c>
      <c r="X167" s="25">
        <v>0</v>
      </c>
      <c r="Y167" s="25">
        <v>0</v>
      </c>
      <c r="Z167" s="25">
        <v>0</v>
      </c>
      <c r="AA167" s="25">
        <v>0</v>
      </c>
      <c r="AB167" s="25">
        <v>0</v>
      </c>
      <c r="AC167" s="25">
        <v>0</v>
      </c>
      <c r="AD167" s="25">
        <v>0</v>
      </c>
      <c r="AE167" s="25">
        <v>0</v>
      </c>
      <c r="AF167" s="25">
        <v>0</v>
      </c>
      <c r="AG167" s="25">
        <v>0</v>
      </c>
      <c r="AH167" s="25">
        <v>0</v>
      </c>
      <c r="AI167" s="25">
        <v>0</v>
      </c>
      <c r="AJ167" s="25">
        <v>0</v>
      </c>
    </row>
    <row r="168" spans="1:36" x14ac:dyDescent="0.25">
      <c r="A168" s="77" t="s">
        <v>577</v>
      </c>
      <c r="B168" t="s">
        <v>305</v>
      </c>
      <c r="C168" s="25">
        <v>0</v>
      </c>
      <c r="D168" s="25">
        <v>0</v>
      </c>
      <c r="E168" s="25">
        <v>0</v>
      </c>
      <c r="F168" s="25">
        <v>0</v>
      </c>
      <c r="G168" s="25">
        <v>0</v>
      </c>
      <c r="H168" s="25">
        <v>0</v>
      </c>
      <c r="I168" s="25">
        <v>0</v>
      </c>
      <c r="J168" s="25">
        <v>0</v>
      </c>
      <c r="K168" s="25">
        <v>0</v>
      </c>
      <c r="L168" s="25">
        <v>0</v>
      </c>
      <c r="M168" s="25">
        <v>0</v>
      </c>
      <c r="N168" s="25">
        <v>0</v>
      </c>
      <c r="O168" s="25">
        <v>0</v>
      </c>
      <c r="P168" s="25">
        <v>0</v>
      </c>
      <c r="Q168" s="25">
        <v>0</v>
      </c>
      <c r="R168" s="25">
        <v>0</v>
      </c>
      <c r="S168" s="25">
        <v>0</v>
      </c>
      <c r="T168" s="25">
        <v>0</v>
      </c>
      <c r="U168" s="25">
        <v>0</v>
      </c>
      <c r="V168" s="25">
        <v>0</v>
      </c>
      <c r="W168" s="25">
        <v>0</v>
      </c>
      <c r="X168" s="25">
        <v>0</v>
      </c>
      <c r="Y168" s="25">
        <v>0</v>
      </c>
      <c r="Z168" s="25">
        <v>0</v>
      </c>
      <c r="AA168" s="25">
        <v>0</v>
      </c>
      <c r="AB168" s="25">
        <v>0</v>
      </c>
      <c r="AC168" s="25">
        <v>0</v>
      </c>
      <c r="AD168" s="25">
        <v>0</v>
      </c>
      <c r="AE168" s="25">
        <v>0</v>
      </c>
      <c r="AF168" s="25">
        <v>0</v>
      </c>
      <c r="AG168" s="25">
        <v>0</v>
      </c>
      <c r="AH168" s="25">
        <v>0</v>
      </c>
      <c r="AI168" s="25">
        <v>0</v>
      </c>
      <c r="AJ168" s="25">
        <v>0</v>
      </c>
    </row>
    <row r="169" spans="1:36" x14ac:dyDescent="0.25">
      <c r="A169" s="77" t="s">
        <v>578</v>
      </c>
      <c r="B169" t="s">
        <v>305</v>
      </c>
      <c r="C169" s="25">
        <v>0</v>
      </c>
      <c r="D169" s="25">
        <v>0</v>
      </c>
      <c r="E169" s="25">
        <v>0</v>
      </c>
      <c r="F169" s="25">
        <v>0</v>
      </c>
      <c r="G169" s="25">
        <v>0</v>
      </c>
      <c r="H169" s="25">
        <v>0</v>
      </c>
      <c r="I169" s="25">
        <v>0</v>
      </c>
      <c r="J169" s="25">
        <v>0</v>
      </c>
      <c r="K169" s="25">
        <v>0</v>
      </c>
      <c r="L169" s="25">
        <v>0</v>
      </c>
      <c r="M169" s="25">
        <v>0</v>
      </c>
      <c r="N169" s="25">
        <v>0</v>
      </c>
      <c r="O169" s="25">
        <v>0</v>
      </c>
      <c r="P169" s="25">
        <v>0</v>
      </c>
      <c r="Q169" s="25">
        <v>0</v>
      </c>
      <c r="R169" s="25">
        <v>0</v>
      </c>
      <c r="S169" s="25">
        <v>0</v>
      </c>
      <c r="T169" s="25">
        <v>0</v>
      </c>
      <c r="U169" s="25">
        <v>0</v>
      </c>
      <c r="V169" s="25">
        <v>0</v>
      </c>
      <c r="W169" s="25">
        <v>0</v>
      </c>
      <c r="X169" s="25">
        <v>0</v>
      </c>
      <c r="Y169" s="25">
        <v>0</v>
      </c>
      <c r="Z169" s="25">
        <v>0</v>
      </c>
      <c r="AA169" s="25">
        <v>0</v>
      </c>
      <c r="AB169" s="25">
        <v>0</v>
      </c>
      <c r="AC169" s="25">
        <v>0</v>
      </c>
      <c r="AD169" s="25">
        <v>0</v>
      </c>
      <c r="AE169" s="25">
        <v>0</v>
      </c>
      <c r="AF169" s="25">
        <v>0</v>
      </c>
      <c r="AG169" s="25">
        <v>0</v>
      </c>
      <c r="AH169" s="25">
        <v>0</v>
      </c>
      <c r="AI169" s="25">
        <v>0</v>
      </c>
      <c r="AJ169" s="25">
        <v>0</v>
      </c>
    </row>
    <row r="170" spans="1:36" x14ac:dyDescent="0.25">
      <c r="A170" s="77" t="s">
        <v>763</v>
      </c>
      <c r="B170" t="s">
        <v>305</v>
      </c>
      <c r="C170" s="25">
        <v>0</v>
      </c>
      <c r="D170" s="25">
        <v>0</v>
      </c>
      <c r="E170" s="25">
        <v>0</v>
      </c>
      <c r="F170" s="25">
        <v>0</v>
      </c>
      <c r="G170" s="25">
        <v>0</v>
      </c>
      <c r="H170" s="25">
        <v>0</v>
      </c>
      <c r="I170" s="25">
        <v>0</v>
      </c>
      <c r="J170" s="25">
        <v>0</v>
      </c>
      <c r="K170" s="25">
        <v>0</v>
      </c>
      <c r="L170" s="25">
        <v>0</v>
      </c>
      <c r="M170" s="25">
        <v>0</v>
      </c>
      <c r="N170" s="25">
        <v>0</v>
      </c>
      <c r="O170" s="25">
        <v>0</v>
      </c>
      <c r="P170" s="25">
        <v>0</v>
      </c>
      <c r="Q170" s="25">
        <v>0</v>
      </c>
      <c r="R170" s="25">
        <v>0</v>
      </c>
      <c r="S170" s="25">
        <v>0</v>
      </c>
      <c r="T170" s="25">
        <v>0</v>
      </c>
      <c r="U170" s="25">
        <v>0</v>
      </c>
      <c r="V170" s="25">
        <v>0</v>
      </c>
      <c r="W170" s="25">
        <v>0</v>
      </c>
      <c r="X170" s="25">
        <v>0</v>
      </c>
      <c r="Y170" s="25">
        <v>0</v>
      </c>
      <c r="Z170" s="25">
        <v>0</v>
      </c>
      <c r="AA170" s="25">
        <v>0</v>
      </c>
      <c r="AB170" s="25">
        <v>0</v>
      </c>
      <c r="AC170" s="25">
        <v>0</v>
      </c>
      <c r="AD170" s="25">
        <v>0</v>
      </c>
      <c r="AE170" s="25">
        <v>0</v>
      </c>
      <c r="AF170" s="25">
        <v>0</v>
      </c>
      <c r="AG170" s="25">
        <v>0</v>
      </c>
      <c r="AH170" s="25">
        <v>0</v>
      </c>
      <c r="AI170" s="25">
        <v>0</v>
      </c>
      <c r="AJ170" s="25">
        <v>0</v>
      </c>
    </row>
    <row r="171" spans="1:36" s="78" customFormat="1" x14ac:dyDescent="0.25">
      <c r="A171" s="78" t="s">
        <v>780</v>
      </c>
      <c r="C171" s="79">
        <f>+SUM(C160:C170)</f>
        <v>100</v>
      </c>
      <c r="D171" s="79">
        <f t="shared" ref="D171" si="331">+SUM(D160:D170)</f>
        <v>100</v>
      </c>
      <c r="E171" s="79">
        <f t="shared" ref="E171" si="332">+SUM(E160:E170)</f>
        <v>100</v>
      </c>
      <c r="F171" s="79">
        <f t="shared" ref="F171" si="333">+SUM(F160:F170)</f>
        <v>100</v>
      </c>
      <c r="G171" s="79">
        <f t="shared" ref="G171" si="334">+SUM(G160:G170)</f>
        <v>100</v>
      </c>
      <c r="H171" s="79">
        <f t="shared" ref="H171" si="335">+SUM(H160:H170)</f>
        <v>100</v>
      </c>
      <c r="I171" s="79">
        <f t="shared" ref="I171" si="336">+SUM(I160:I170)</f>
        <v>100</v>
      </c>
      <c r="J171" s="79">
        <f t="shared" ref="J171" si="337">+SUM(J160:J170)</f>
        <v>100</v>
      </c>
      <c r="K171" s="79">
        <f t="shared" ref="K171" si="338">+SUM(K160:K170)</f>
        <v>100</v>
      </c>
      <c r="L171" s="79">
        <f t="shared" ref="L171" si="339">+SUM(L160:L170)</f>
        <v>100</v>
      </c>
      <c r="M171" s="79">
        <f t="shared" ref="M171" si="340">+SUM(M160:M170)</f>
        <v>100</v>
      </c>
      <c r="N171" s="79">
        <f t="shared" ref="N171" si="341">+SUM(N160:N170)</f>
        <v>100</v>
      </c>
      <c r="O171" s="79">
        <f t="shared" ref="O171" si="342">+SUM(O160:O170)</f>
        <v>100</v>
      </c>
      <c r="P171" s="79">
        <f t="shared" ref="P171" si="343">+SUM(P160:P170)</f>
        <v>100</v>
      </c>
      <c r="Q171" s="79">
        <f t="shared" ref="Q171" si="344">+SUM(Q160:Q170)</f>
        <v>100</v>
      </c>
      <c r="R171" s="79">
        <f t="shared" ref="R171" si="345">+SUM(R160:R170)</f>
        <v>100</v>
      </c>
      <c r="S171" s="79">
        <f t="shared" ref="S171" si="346">+SUM(S160:S170)</f>
        <v>100</v>
      </c>
      <c r="T171" s="79">
        <f t="shared" ref="T171" si="347">+SUM(T160:T170)</f>
        <v>100</v>
      </c>
      <c r="U171" s="79">
        <f t="shared" ref="U171" si="348">+SUM(U160:U170)</f>
        <v>100</v>
      </c>
      <c r="V171" s="79">
        <f t="shared" ref="V171" si="349">+SUM(V160:V170)</f>
        <v>100</v>
      </c>
      <c r="W171" s="79">
        <f t="shared" ref="W171" si="350">+SUM(W160:W170)</f>
        <v>100</v>
      </c>
      <c r="X171" s="79">
        <f t="shared" ref="X171" si="351">+SUM(X160:X170)</f>
        <v>100</v>
      </c>
      <c r="Y171" s="79">
        <f t="shared" ref="Y171" si="352">+SUM(Y160:Y170)</f>
        <v>100</v>
      </c>
      <c r="Z171" s="79">
        <f t="shared" ref="Z171" si="353">+SUM(Z160:Z170)</f>
        <v>100</v>
      </c>
      <c r="AA171" s="79">
        <f t="shared" ref="AA171" si="354">+SUM(AA160:AA170)</f>
        <v>100</v>
      </c>
      <c r="AB171" s="79">
        <f t="shared" ref="AB171" si="355">+SUM(AB160:AB170)</f>
        <v>100</v>
      </c>
      <c r="AC171" s="79">
        <f t="shared" ref="AC171" si="356">+SUM(AC160:AC170)</f>
        <v>100</v>
      </c>
      <c r="AD171" s="79">
        <f t="shared" ref="AD171" si="357">+SUM(AD160:AD170)</f>
        <v>100</v>
      </c>
      <c r="AE171" s="79">
        <f t="shared" ref="AE171" si="358">+SUM(AE160:AE170)</f>
        <v>100</v>
      </c>
      <c r="AF171" s="79">
        <f t="shared" ref="AF171" si="359">+SUM(AF160:AF170)</f>
        <v>100</v>
      </c>
      <c r="AG171" s="79">
        <f t="shared" ref="AG171" si="360">+SUM(AG160:AG170)</f>
        <v>100</v>
      </c>
      <c r="AH171" s="79">
        <f t="shared" ref="AH171" si="361">+SUM(AH160:AH170)</f>
        <v>100</v>
      </c>
      <c r="AI171" s="79">
        <f t="shared" ref="AI171" si="362">+SUM(AI160:AI170)</f>
        <v>100</v>
      </c>
      <c r="AJ171" s="79">
        <f t="shared" ref="AJ171" si="363">+SUM(AJ160:AJ170)</f>
        <v>100</v>
      </c>
    </row>
    <row r="172" spans="1:36" x14ac:dyDescent="0.25">
      <c r="A172" t="s">
        <v>579</v>
      </c>
      <c r="B172" t="s">
        <v>305</v>
      </c>
      <c r="C172" s="25">
        <v>25</v>
      </c>
      <c r="D172" s="25">
        <v>25</v>
      </c>
      <c r="E172" s="25">
        <v>25</v>
      </c>
      <c r="F172" s="25">
        <v>25</v>
      </c>
      <c r="G172" s="25">
        <v>25</v>
      </c>
      <c r="H172" s="25">
        <v>25</v>
      </c>
      <c r="I172" s="25">
        <v>25</v>
      </c>
      <c r="J172" s="25">
        <v>25</v>
      </c>
      <c r="K172" s="25">
        <v>25</v>
      </c>
      <c r="L172" s="25">
        <v>25</v>
      </c>
      <c r="M172" s="25">
        <v>25</v>
      </c>
      <c r="N172" s="25">
        <v>25</v>
      </c>
      <c r="O172" s="25">
        <v>25</v>
      </c>
      <c r="P172" s="25">
        <v>25</v>
      </c>
      <c r="Q172" s="25">
        <v>25</v>
      </c>
      <c r="R172" s="25">
        <v>25</v>
      </c>
      <c r="S172" s="25">
        <v>25</v>
      </c>
      <c r="T172" s="25">
        <v>25</v>
      </c>
      <c r="U172" s="25">
        <v>25</v>
      </c>
      <c r="V172" s="25">
        <v>25</v>
      </c>
      <c r="W172" s="25">
        <v>25</v>
      </c>
      <c r="X172" s="25">
        <v>25</v>
      </c>
      <c r="Y172" s="25">
        <v>25</v>
      </c>
      <c r="Z172" s="25">
        <v>25</v>
      </c>
      <c r="AA172" s="25">
        <v>25</v>
      </c>
      <c r="AB172" s="25">
        <v>25</v>
      </c>
      <c r="AC172" s="25">
        <v>25</v>
      </c>
      <c r="AD172" s="25">
        <v>25</v>
      </c>
      <c r="AE172" s="25">
        <v>25</v>
      </c>
      <c r="AF172" s="25">
        <v>25</v>
      </c>
      <c r="AG172" s="25">
        <v>25</v>
      </c>
      <c r="AH172" s="25">
        <v>25</v>
      </c>
      <c r="AI172" s="25">
        <v>25</v>
      </c>
      <c r="AJ172" s="25">
        <v>25</v>
      </c>
    </row>
    <row r="173" spans="1:36" x14ac:dyDescent="0.25">
      <c r="A173" t="s">
        <v>580</v>
      </c>
      <c r="B173" t="s">
        <v>305</v>
      </c>
      <c r="C173" s="25">
        <v>10</v>
      </c>
      <c r="D173" s="25">
        <v>10</v>
      </c>
      <c r="E173" s="25">
        <v>10</v>
      </c>
      <c r="F173" s="25">
        <v>10</v>
      </c>
      <c r="G173" s="25">
        <v>10</v>
      </c>
      <c r="H173" s="25">
        <v>10</v>
      </c>
      <c r="I173" s="25">
        <v>10</v>
      </c>
      <c r="J173" s="25">
        <v>10</v>
      </c>
      <c r="K173" s="25">
        <v>10</v>
      </c>
      <c r="L173" s="25">
        <v>10</v>
      </c>
      <c r="M173" s="25">
        <v>10</v>
      </c>
      <c r="N173" s="25">
        <v>10</v>
      </c>
      <c r="O173" s="25">
        <v>10</v>
      </c>
      <c r="P173" s="25">
        <v>10</v>
      </c>
      <c r="Q173" s="25">
        <v>10</v>
      </c>
      <c r="R173" s="25">
        <v>10</v>
      </c>
      <c r="S173" s="25">
        <v>10</v>
      </c>
      <c r="T173" s="25">
        <v>10</v>
      </c>
      <c r="U173" s="25">
        <v>10</v>
      </c>
      <c r="V173" s="25">
        <v>10</v>
      </c>
      <c r="W173" s="25">
        <v>10</v>
      </c>
      <c r="X173" s="25">
        <v>10</v>
      </c>
      <c r="Y173" s="25">
        <v>10</v>
      </c>
      <c r="Z173" s="25">
        <v>10</v>
      </c>
      <c r="AA173" s="25">
        <v>10</v>
      </c>
      <c r="AB173" s="25">
        <v>10</v>
      </c>
      <c r="AC173" s="25">
        <v>10</v>
      </c>
      <c r="AD173" s="25">
        <v>10</v>
      </c>
      <c r="AE173" s="25">
        <v>10</v>
      </c>
      <c r="AF173" s="25">
        <v>10</v>
      </c>
      <c r="AG173" s="25">
        <v>10</v>
      </c>
      <c r="AH173" s="25">
        <v>10</v>
      </c>
      <c r="AI173" s="25">
        <v>10</v>
      </c>
      <c r="AJ173" s="25">
        <v>10</v>
      </c>
    </row>
    <row r="174" spans="1:36" x14ac:dyDescent="0.25">
      <c r="A174" t="s">
        <v>581</v>
      </c>
      <c r="B174" t="s">
        <v>305</v>
      </c>
      <c r="C174" s="25">
        <v>35</v>
      </c>
      <c r="D174" s="25">
        <v>35</v>
      </c>
      <c r="E174" s="25">
        <v>35</v>
      </c>
      <c r="F174" s="25">
        <v>35</v>
      </c>
      <c r="G174" s="25">
        <v>35</v>
      </c>
      <c r="H174" s="25">
        <v>35</v>
      </c>
      <c r="I174" s="25">
        <v>35</v>
      </c>
      <c r="J174" s="25">
        <v>35</v>
      </c>
      <c r="K174" s="25">
        <v>35</v>
      </c>
      <c r="L174" s="25">
        <v>35</v>
      </c>
      <c r="M174" s="25">
        <v>35</v>
      </c>
      <c r="N174" s="25">
        <v>35</v>
      </c>
      <c r="O174" s="25">
        <v>35</v>
      </c>
      <c r="P174" s="25">
        <v>35</v>
      </c>
      <c r="Q174" s="25">
        <v>35</v>
      </c>
      <c r="R174" s="25">
        <v>35</v>
      </c>
      <c r="S174" s="25">
        <v>35</v>
      </c>
      <c r="T174" s="25">
        <v>35</v>
      </c>
      <c r="U174" s="25">
        <v>35</v>
      </c>
      <c r="V174" s="25">
        <v>35</v>
      </c>
      <c r="W174" s="25">
        <v>35</v>
      </c>
      <c r="X174" s="25">
        <v>35</v>
      </c>
      <c r="Y174" s="25">
        <v>35</v>
      </c>
      <c r="Z174" s="25">
        <v>35</v>
      </c>
      <c r="AA174" s="25">
        <v>35</v>
      </c>
      <c r="AB174" s="25">
        <v>35</v>
      </c>
      <c r="AC174" s="25">
        <v>35</v>
      </c>
      <c r="AD174" s="25">
        <v>35</v>
      </c>
      <c r="AE174" s="25">
        <v>35</v>
      </c>
      <c r="AF174" s="25">
        <v>35</v>
      </c>
      <c r="AG174" s="25">
        <v>35</v>
      </c>
      <c r="AH174" s="25">
        <v>35</v>
      </c>
      <c r="AI174" s="25">
        <v>35</v>
      </c>
      <c r="AJ174" s="25">
        <v>35</v>
      </c>
    </row>
    <row r="175" spans="1:36" x14ac:dyDescent="0.25">
      <c r="A175" t="s">
        <v>582</v>
      </c>
      <c r="B175" t="s">
        <v>305</v>
      </c>
      <c r="C175" s="25">
        <v>0</v>
      </c>
      <c r="D175" s="25">
        <v>0</v>
      </c>
      <c r="E175" s="25">
        <v>0</v>
      </c>
      <c r="F175" s="25">
        <v>0</v>
      </c>
      <c r="G175" s="25">
        <v>0</v>
      </c>
      <c r="H175" s="25">
        <v>0</v>
      </c>
      <c r="I175" s="25">
        <v>0</v>
      </c>
      <c r="J175" s="25">
        <v>0</v>
      </c>
      <c r="K175" s="25">
        <v>0</v>
      </c>
      <c r="L175" s="25">
        <v>0</v>
      </c>
      <c r="M175" s="25">
        <v>0</v>
      </c>
      <c r="N175" s="25">
        <v>0</v>
      </c>
      <c r="O175" s="25">
        <v>0</v>
      </c>
      <c r="P175" s="25">
        <v>0</v>
      </c>
      <c r="Q175" s="25">
        <v>0</v>
      </c>
      <c r="R175" s="25">
        <v>0</v>
      </c>
      <c r="S175" s="25">
        <v>0</v>
      </c>
      <c r="T175" s="25">
        <v>0</v>
      </c>
      <c r="U175" s="25">
        <v>0</v>
      </c>
      <c r="V175" s="25">
        <v>0</v>
      </c>
      <c r="W175" s="25">
        <v>0</v>
      </c>
      <c r="X175" s="25">
        <v>0</v>
      </c>
      <c r="Y175" s="25">
        <v>0</v>
      </c>
      <c r="Z175" s="25">
        <v>0</v>
      </c>
      <c r="AA175" s="25">
        <v>0</v>
      </c>
      <c r="AB175" s="25">
        <v>0</v>
      </c>
      <c r="AC175" s="25">
        <v>0</v>
      </c>
      <c r="AD175" s="25">
        <v>0</v>
      </c>
      <c r="AE175" s="25">
        <v>0</v>
      </c>
      <c r="AF175" s="25">
        <v>0</v>
      </c>
      <c r="AG175" s="25">
        <v>0</v>
      </c>
      <c r="AH175" s="25">
        <v>0</v>
      </c>
      <c r="AI175" s="25">
        <v>0</v>
      </c>
      <c r="AJ175" s="25">
        <v>0</v>
      </c>
    </row>
    <row r="176" spans="1:36" x14ac:dyDescent="0.25">
      <c r="A176" t="s">
        <v>583</v>
      </c>
      <c r="B176" t="s">
        <v>305</v>
      </c>
      <c r="C176" s="25">
        <v>28</v>
      </c>
      <c r="D176" s="25">
        <v>28</v>
      </c>
      <c r="E176" s="25">
        <v>28</v>
      </c>
      <c r="F176" s="25">
        <v>28</v>
      </c>
      <c r="G176" s="25">
        <v>28</v>
      </c>
      <c r="H176" s="25">
        <v>28</v>
      </c>
      <c r="I176" s="25">
        <v>28</v>
      </c>
      <c r="J176" s="25">
        <v>28</v>
      </c>
      <c r="K176" s="25">
        <v>28</v>
      </c>
      <c r="L176" s="25">
        <v>28</v>
      </c>
      <c r="M176" s="25">
        <v>28</v>
      </c>
      <c r="N176" s="25">
        <v>28</v>
      </c>
      <c r="O176" s="25">
        <v>28</v>
      </c>
      <c r="P176" s="25">
        <v>28</v>
      </c>
      <c r="Q176" s="25">
        <v>28</v>
      </c>
      <c r="R176" s="25">
        <v>28</v>
      </c>
      <c r="S176" s="25">
        <v>28</v>
      </c>
      <c r="T176" s="25">
        <v>28</v>
      </c>
      <c r="U176" s="25">
        <v>28</v>
      </c>
      <c r="V176" s="25">
        <v>28</v>
      </c>
      <c r="W176" s="25">
        <v>28</v>
      </c>
      <c r="X176" s="25">
        <v>28</v>
      </c>
      <c r="Y176" s="25">
        <v>28</v>
      </c>
      <c r="Z176" s="25">
        <v>28</v>
      </c>
      <c r="AA176" s="25">
        <v>28</v>
      </c>
      <c r="AB176" s="25">
        <v>28</v>
      </c>
      <c r="AC176" s="25">
        <v>28</v>
      </c>
      <c r="AD176" s="25">
        <v>28</v>
      </c>
      <c r="AE176" s="25">
        <v>28</v>
      </c>
      <c r="AF176" s="25">
        <v>28</v>
      </c>
      <c r="AG176" s="25">
        <v>28</v>
      </c>
      <c r="AH176" s="25">
        <v>28</v>
      </c>
      <c r="AI176" s="25">
        <v>28</v>
      </c>
      <c r="AJ176" s="25">
        <v>28</v>
      </c>
    </row>
    <row r="177" spans="1:36" x14ac:dyDescent="0.25">
      <c r="A177" t="s">
        <v>584</v>
      </c>
      <c r="B177" t="s">
        <v>305</v>
      </c>
      <c r="C177" s="25">
        <v>2</v>
      </c>
      <c r="D177" s="25">
        <v>2</v>
      </c>
      <c r="E177" s="25">
        <v>2</v>
      </c>
      <c r="F177" s="25">
        <v>2</v>
      </c>
      <c r="G177" s="25">
        <v>2</v>
      </c>
      <c r="H177" s="25">
        <v>2</v>
      </c>
      <c r="I177" s="25">
        <v>2</v>
      </c>
      <c r="J177" s="25">
        <v>2</v>
      </c>
      <c r="K177" s="25">
        <v>2</v>
      </c>
      <c r="L177" s="25">
        <v>2</v>
      </c>
      <c r="M177" s="25">
        <v>2</v>
      </c>
      <c r="N177" s="25">
        <v>2</v>
      </c>
      <c r="O177" s="25">
        <v>2</v>
      </c>
      <c r="P177" s="25">
        <v>2</v>
      </c>
      <c r="Q177" s="25">
        <v>2</v>
      </c>
      <c r="R177" s="25">
        <v>2</v>
      </c>
      <c r="S177" s="25">
        <v>2</v>
      </c>
      <c r="T177" s="25">
        <v>2</v>
      </c>
      <c r="U177" s="25">
        <v>2</v>
      </c>
      <c r="V177" s="25">
        <v>2</v>
      </c>
      <c r="W177" s="25">
        <v>2</v>
      </c>
      <c r="X177" s="25">
        <v>2</v>
      </c>
      <c r="Y177" s="25">
        <v>2</v>
      </c>
      <c r="Z177" s="25">
        <v>2</v>
      </c>
      <c r="AA177" s="25">
        <v>2</v>
      </c>
      <c r="AB177" s="25">
        <v>2</v>
      </c>
      <c r="AC177" s="25">
        <v>2</v>
      </c>
      <c r="AD177" s="25">
        <v>2</v>
      </c>
      <c r="AE177" s="25">
        <v>2</v>
      </c>
      <c r="AF177" s="25">
        <v>2</v>
      </c>
      <c r="AG177" s="25">
        <v>2</v>
      </c>
      <c r="AH177" s="25">
        <v>2</v>
      </c>
      <c r="AI177" s="25">
        <v>2</v>
      </c>
      <c r="AJ177" s="25">
        <v>2</v>
      </c>
    </row>
    <row r="178" spans="1:36" x14ac:dyDescent="0.25">
      <c r="A178" t="s">
        <v>585</v>
      </c>
      <c r="B178" t="s">
        <v>305</v>
      </c>
      <c r="C178" s="25">
        <v>0</v>
      </c>
      <c r="D178" s="25">
        <v>0</v>
      </c>
      <c r="E178" s="25">
        <v>0</v>
      </c>
      <c r="F178" s="25">
        <v>0</v>
      </c>
      <c r="G178" s="25">
        <v>0</v>
      </c>
      <c r="H178" s="25">
        <v>0</v>
      </c>
      <c r="I178" s="25">
        <v>0</v>
      </c>
      <c r="J178" s="25">
        <v>0</v>
      </c>
      <c r="K178" s="25">
        <v>0</v>
      </c>
      <c r="L178" s="25">
        <v>0</v>
      </c>
      <c r="M178" s="25">
        <v>0</v>
      </c>
      <c r="N178" s="25">
        <v>0</v>
      </c>
      <c r="O178" s="25">
        <v>0</v>
      </c>
      <c r="P178" s="25">
        <v>0</v>
      </c>
      <c r="Q178" s="25">
        <v>0</v>
      </c>
      <c r="R178" s="25">
        <v>0</v>
      </c>
      <c r="S178" s="25">
        <v>0</v>
      </c>
      <c r="T178" s="25">
        <v>0</v>
      </c>
      <c r="U178" s="25">
        <v>0</v>
      </c>
      <c r="V178" s="25">
        <v>0</v>
      </c>
      <c r="W178" s="25">
        <v>0</v>
      </c>
      <c r="X178" s="25">
        <v>0</v>
      </c>
      <c r="Y178" s="25">
        <v>0</v>
      </c>
      <c r="Z178" s="25">
        <v>0</v>
      </c>
      <c r="AA178" s="25">
        <v>0</v>
      </c>
      <c r="AB178" s="25">
        <v>0</v>
      </c>
      <c r="AC178" s="25">
        <v>0</v>
      </c>
      <c r="AD178" s="25">
        <v>0</v>
      </c>
      <c r="AE178" s="25">
        <v>0</v>
      </c>
      <c r="AF178" s="25">
        <v>0</v>
      </c>
      <c r="AG178" s="25">
        <v>0</v>
      </c>
      <c r="AH178" s="25">
        <v>0</v>
      </c>
      <c r="AI178" s="25">
        <v>0</v>
      </c>
      <c r="AJ178" s="25">
        <v>0</v>
      </c>
    </row>
    <row r="179" spans="1:36" x14ac:dyDescent="0.25">
      <c r="A179" t="s">
        <v>586</v>
      </c>
      <c r="B179" t="s">
        <v>305</v>
      </c>
      <c r="C179" s="25">
        <v>0</v>
      </c>
      <c r="D179" s="25">
        <v>0</v>
      </c>
      <c r="E179" s="25">
        <v>0</v>
      </c>
      <c r="F179" s="25">
        <v>0</v>
      </c>
      <c r="G179" s="25">
        <v>0</v>
      </c>
      <c r="H179" s="25">
        <v>0</v>
      </c>
      <c r="I179" s="25">
        <v>0</v>
      </c>
      <c r="J179" s="25">
        <v>0</v>
      </c>
      <c r="K179" s="25">
        <v>0</v>
      </c>
      <c r="L179" s="25">
        <v>0</v>
      </c>
      <c r="M179" s="25">
        <v>0</v>
      </c>
      <c r="N179" s="25">
        <v>0</v>
      </c>
      <c r="O179" s="25">
        <v>0</v>
      </c>
      <c r="P179" s="25">
        <v>0</v>
      </c>
      <c r="Q179" s="25">
        <v>0</v>
      </c>
      <c r="R179" s="25">
        <v>0</v>
      </c>
      <c r="S179" s="25">
        <v>0</v>
      </c>
      <c r="T179" s="25">
        <v>0</v>
      </c>
      <c r="U179" s="25">
        <v>0</v>
      </c>
      <c r="V179" s="25">
        <v>0</v>
      </c>
      <c r="W179" s="25">
        <v>0</v>
      </c>
      <c r="X179" s="25">
        <v>0</v>
      </c>
      <c r="Y179" s="25">
        <v>0</v>
      </c>
      <c r="Z179" s="25">
        <v>0</v>
      </c>
      <c r="AA179" s="25">
        <v>0</v>
      </c>
      <c r="AB179" s="25">
        <v>0</v>
      </c>
      <c r="AC179" s="25">
        <v>0</v>
      </c>
      <c r="AD179" s="25">
        <v>0</v>
      </c>
      <c r="AE179" s="25">
        <v>0</v>
      </c>
      <c r="AF179" s="25">
        <v>0</v>
      </c>
      <c r="AG179" s="25">
        <v>0</v>
      </c>
      <c r="AH179" s="25">
        <v>0</v>
      </c>
      <c r="AI179" s="25">
        <v>0</v>
      </c>
      <c r="AJ179" s="25">
        <v>0</v>
      </c>
    </row>
    <row r="180" spans="1:36" x14ac:dyDescent="0.25">
      <c r="A180" t="s">
        <v>587</v>
      </c>
      <c r="B180" t="s">
        <v>305</v>
      </c>
      <c r="C180" s="25">
        <v>0</v>
      </c>
      <c r="D180" s="25">
        <v>0</v>
      </c>
      <c r="E180" s="25">
        <v>0</v>
      </c>
      <c r="F180" s="25">
        <v>0</v>
      </c>
      <c r="G180" s="25">
        <v>0</v>
      </c>
      <c r="H180" s="25">
        <v>0</v>
      </c>
      <c r="I180" s="25">
        <v>0</v>
      </c>
      <c r="J180" s="25">
        <v>0</v>
      </c>
      <c r="K180" s="25">
        <v>0</v>
      </c>
      <c r="L180" s="25">
        <v>0</v>
      </c>
      <c r="M180" s="25">
        <v>0</v>
      </c>
      <c r="N180" s="25">
        <v>0</v>
      </c>
      <c r="O180" s="25">
        <v>0</v>
      </c>
      <c r="P180" s="25">
        <v>0</v>
      </c>
      <c r="Q180" s="25">
        <v>0</v>
      </c>
      <c r="R180" s="25">
        <v>0</v>
      </c>
      <c r="S180" s="25">
        <v>0</v>
      </c>
      <c r="T180" s="25">
        <v>0</v>
      </c>
      <c r="U180" s="25">
        <v>0</v>
      </c>
      <c r="V180" s="25">
        <v>0</v>
      </c>
      <c r="W180" s="25">
        <v>0</v>
      </c>
      <c r="X180" s="25">
        <v>0</v>
      </c>
      <c r="Y180" s="25">
        <v>0</v>
      </c>
      <c r="Z180" s="25">
        <v>0</v>
      </c>
      <c r="AA180" s="25">
        <v>0</v>
      </c>
      <c r="AB180" s="25">
        <v>0</v>
      </c>
      <c r="AC180" s="25">
        <v>0</v>
      </c>
      <c r="AD180" s="25">
        <v>0</v>
      </c>
      <c r="AE180" s="25">
        <v>0</v>
      </c>
      <c r="AF180" s="25">
        <v>0</v>
      </c>
      <c r="AG180" s="25">
        <v>0</v>
      </c>
      <c r="AH180" s="25">
        <v>0</v>
      </c>
      <c r="AI180" s="25">
        <v>0</v>
      </c>
      <c r="AJ180" s="25">
        <v>0</v>
      </c>
    </row>
    <row r="181" spans="1:36" x14ac:dyDescent="0.25">
      <c r="A181" t="s">
        <v>588</v>
      </c>
      <c r="B181" t="s">
        <v>305</v>
      </c>
      <c r="C181" s="25">
        <v>0</v>
      </c>
      <c r="D181" s="25">
        <v>0</v>
      </c>
      <c r="E181" s="25">
        <v>0</v>
      </c>
      <c r="F181" s="25">
        <v>0</v>
      </c>
      <c r="G181" s="25">
        <v>0</v>
      </c>
      <c r="H181" s="25">
        <v>0</v>
      </c>
      <c r="I181" s="25">
        <v>0</v>
      </c>
      <c r="J181" s="25">
        <v>0</v>
      </c>
      <c r="K181" s="25">
        <v>0</v>
      </c>
      <c r="L181" s="25">
        <v>0</v>
      </c>
      <c r="M181" s="25">
        <v>0</v>
      </c>
      <c r="N181" s="25">
        <v>0</v>
      </c>
      <c r="O181" s="25">
        <v>0</v>
      </c>
      <c r="P181" s="25">
        <v>0</v>
      </c>
      <c r="Q181" s="25">
        <v>0</v>
      </c>
      <c r="R181" s="25">
        <v>0</v>
      </c>
      <c r="S181" s="25">
        <v>0</v>
      </c>
      <c r="T181" s="25">
        <v>0</v>
      </c>
      <c r="U181" s="25">
        <v>0</v>
      </c>
      <c r="V181" s="25">
        <v>0</v>
      </c>
      <c r="W181" s="25">
        <v>0</v>
      </c>
      <c r="X181" s="25">
        <v>0</v>
      </c>
      <c r="Y181" s="25">
        <v>0</v>
      </c>
      <c r="Z181" s="25">
        <v>0</v>
      </c>
      <c r="AA181" s="25">
        <v>0</v>
      </c>
      <c r="AB181" s="25">
        <v>0</v>
      </c>
      <c r="AC181" s="25">
        <v>0</v>
      </c>
      <c r="AD181" s="25">
        <v>0</v>
      </c>
      <c r="AE181" s="25">
        <v>0</v>
      </c>
      <c r="AF181" s="25">
        <v>0</v>
      </c>
      <c r="AG181" s="25">
        <v>0</v>
      </c>
      <c r="AH181" s="25">
        <v>0</v>
      </c>
      <c r="AI181" s="25">
        <v>0</v>
      </c>
      <c r="AJ181" s="25">
        <v>0</v>
      </c>
    </row>
    <row r="182" spans="1:36" x14ac:dyDescent="0.25">
      <c r="A182" t="s">
        <v>764</v>
      </c>
      <c r="B182" t="s">
        <v>305</v>
      </c>
      <c r="C182" s="25">
        <v>0</v>
      </c>
      <c r="D182" s="25">
        <v>0</v>
      </c>
      <c r="E182" s="25">
        <v>0</v>
      </c>
      <c r="F182" s="25">
        <v>0</v>
      </c>
      <c r="G182" s="25">
        <v>0</v>
      </c>
      <c r="H182" s="25">
        <v>0</v>
      </c>
      <c r="I182" s="25">
        <v>0</v>
      </c>
      <c r="J182" s="25">
        <v>0</v>
      </c>
      <c r="K182" s="25">
        <v>0</v>
      </c>
      <c r="L182" s="25">
        <v>0</v>
      </c>
      <c r="M182" s="25">
        <v>0</v>
      </c>
      <c r="N182" s="25">
        <v>0</v>
      </c>
      <c r="O182" s="25">
        <v>0</v>
      </c>
      <c r="P182" s="25">
        <v>0</v>
      </c>
      <c r="Q182" s="25">
        <v>0</v>
      </c>
      <c r="R182" s="25">
        <v>0</v>
      </c>
      <c r="S182" s="25">
        <v>0</v>
      </c>
      <c r="T182" s="25">
        <v>0</v>
      </c>
      <c r="U182" s="25">
        <v>0</v>
      </c>
      <c r="V182" s="25">
        <v>0</v>
      </c>
      <c r="W182" s="25">
        <v>0</v>
      </c>
      <c r="X182" s="25">
        <v>0</v>
      </c>
      <c r="Y182" s="25">
        <v>0</v>
      </c>
      <c r="Z182" s="25">
        <v>0</v>
      </c>
      <c r="AA182" s="25">
        <v>0</v>
      </c>
      <c r="AB182" s="25">
        <v>0</v>
      </c>
      <c r="AC182" s="25">
        <v>0</v>
      </c>
      <c r="AD182" s="25">
        <v>0</v>
      </c>
      <c r="AE182" s="25">
        <v>0</v>
      </c>
      <c r="AF182" s="25">
        <v>0</v>
      </c>
      <c r="AG182" s="25">
        <v>0</v>
      </c>
      <c r="AH182" s="25">
        <v>0</v>
      </c>
      <c r="AI182" s="25">
        <v>0</v>
      </c>
      <c r="AJ182" s="25">
        <v>0</v>
      </c>
    </row>
    <row r="183" spans="1:36" s="78" customFormat="1" x14ac:dyDescent="0.25">
      <c r="A183" s="78" t="s">
        <v>780</v>
      </c>
      <c r="C183" s="79">
        <f>+SUM(C172:C182)</f>
        <v>100</v>
      </c>
      <c r="D183" s="79">
        <f t="shared" ref="D183" si="364">+SUM(D172:D182)</f>
        <v>100</v>
      </c>
      <c r="E183" s="79">
        <f t="shared" ref="E183" si="365">+SUM(E172:E182)</f>
        <v>100</v>
      </c>
      <c r="F183" s="79">
        <f t="shared" ref="F183" si="366">+SUM(F172:F182)</f>
        <v>100</v>
      </c>
      <c r="G183" s="79">
        <f t="shared" ref="G183" si="367">+SUM(G172:G182)</f>
        <v>100</v>
      </c>
      <c r="H183" s="79">
        <f t="shared" ref="H183" si="368">+SUM(H172:H182)</f>
        <v>100</v>
      </c>
      <c r="I183" s="79">
        <f t="shared" ref="I183" si="369">+SUM(I172:I182)</f>
        <v>100</v>
      </c>
      <c r="J183" s="79">
        <f t="shared" ref="J183" si="370">+SUM(J172:J182)</f>
        <v>100</v>
      </c>
      <c r="K183" s="79">
        <f t="shared" ref="K183" si="371">+SUM(K172:K182)</f>
        <v>100</v>
      </c>
      <c r="L183" s="79">
        <f t="shared" ref="L183" si="372">+SUM(L172:L182)</f>
        <v>100</v>
      </c>
      <c r="M183" s="79">
        <f t="shared" ref="M183" si="373">+SUM(M172:M182)</f>
        <v>100</v>
      </c>
      <c r="N183" s="79">
        <f t="shared" ref="N183" si="374">+SUM(N172:N182)</f>
        <v>100</v>
      </c>
      <c r="O183" s="79">
        <f t="shared" ref="O183" si="375">+SUM(O172:O182)</f>
        <v>100</v>
      </c>
      <c r="P183" s="79">
        <f t="shared" ref="P183" si="376">+SUM(P172:P182)</f>
        <v>100</v>
      </c>
      <c r="Q183" s="79">
        <f t="shared" ref="Q183" si="377">+SUM(Q172:Q182)</f>
        <v>100</v>
      </c>
      <c r="R183" s="79">
        <f t="shared" ref="R183" si="378">+SUM(R172:R182)</f>
        <v>100</v>
      </c>
      <c r="S183" s="79">
        <f t="shared" ref="S183" si="379">+SUM(S172:S182)</f>
        <v>100</v>
      </c>
      <c r="T183" s="79">
        <f t="shared" ref="T183" si="380">+SUM(T172:T182)</f>
        <v>100</v>
      </c>
      <c r="U183" s="79">
        <f t="shared" ref="U183" si="381">+SUM(U172:U182)</f>
        <v>100</v>
      </c>
      <c r="V183" s="79">
        <f t="shared" ref="V183" si="382">+SUM(V172:V182)</f>
        <v>100</v>
      </c>
      <c r="W183" s="79">
        <f t="shared" ref="W183" si="383">+SUM(W172:W182)</f>
        <v>100</v>
      </c>
      <c r="X183" s="79">
        <f t="shared" ref="X183" si="384">+SUM(X172:X182)</f>
        <v>100</v>
      </c>
      <c r="Y183" s="79">
        <f t="shared" ref="Y183" si="385">+SUM(Y172:Y182)</f>
        <v>100</v>
      </c>
      <c r="Z183" s="79">
        <f t="shared" ref="Z183" si="386">+SUM(Z172:Z182)</f>
        <v>100</v>
      </c>
      <c r="AA183" s="79">
        <f t="shared" ref="AA183" si="387">+SUM(AA172:AA182)</f>
        <v>100</v>
      </c>
      <c r="AB183" s="79">
        <f t="shared" ref="AB183" si="388">+SUM(AB172:AB182)</f>
        <v>100</v>
      </c>
      <c r="AC183" s="79">
        <f t="shared" ref="AC183" si="389">+SUM(AC172:AC182)</f>
        <v>100</v>
      </c>
      <c r="AD183" s="79">
        <f t="shared" ref="AD183" si="390">+SUM(AD172:AD182)</f>
        <v>100</v>
      </c>
      <c r="AE183" s="79">
        <f t="shared" ref="AE183" si="391">+SUM(AE172:AE182)</f>
        <v>100</v>
      </c>
      <c r="AF183" s="79">
        <f t="shared" ref="AF183" si="392">+SUM(AF172:AF182)</f>
        <v>100</v>
      </c>
      <c r="AG183" s="79">
        <f t="shared" ref="AG183" si="393">+SUM(AG172:AG182)</f>
        <v>100</v>
      </c>
      <c r="AH183" s="79">
        <f t="shared" ref="AH183" si="394">+SUM(AH172:AH182)</f>
        <v>100</v>
      </c>
      <c r="AI183" s="79">
        <f t="shared" ref="AI183" si="395">+SUM(AI172:AI182)</f>
        <v>100</v>
      </c>
      <c r="AJ183" s="79">
        <f t="shared" ref="AJ183" si="396">+SUM(AJ172:AJ182)</f>
        <v>100</v>
      </c>
    </row>
    <row r="184" spans="1:36" s="76" customFormat="1" ht="15.75" x14ac:dyDescent="0.25">
      <c r="A184" s="74" t="s">
        <v>777</v>
      </c>
      <c r="B184" s="75"/>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c r="AA184" s="74"/>
      <c r="AB184" s="74"/>
      <c r="AC184" s="74"/>
      <c r="AD184" s="74"/>
      <c r="AE184" s="74"/>
      <c r="AF184" s="74"/>
      <c r="AG184" s="74"/>
      <c r="AH184" s="74"/>
      <c r="AI184" s="74"/>
      <c r="AJ184" s="74"/>
    </row>
    <row r="185" spans="1:36" x14ac:dyDescent="0.25">
      <c r="A185" s="77" t="s">
        <v>589</v>
      </c>
      <c r="B185" t="s">
        <v>305</v>
      </c>
      <c r="C185" s="25">
        <v>0</v>
      </c>
      <c r="D185" s="25">
        <v>0</v>
      </c>
      <c r="E185" s="25">
        <v>0</v>
      </c>
      <c r="F185" s="25">
        <v>0</v>
      </c>
      <c r="G185" s="25">
        <v>0</v>
      </c>
      <c r="H185" s="25">
        <v>0</v>
      </c>
      <c r="I185" s="25">
        <v>0</v>
      </c>
      <c r="J185" s="25">
        <v>0</v>
      </c>
      <c r="K185" s="25">
        <v>0</v>
      </c>
      <c r="L185" s="25">
        <v>0</v>
      </c>
      <c r="M185" s="25">
        <v>0</v>
      </c>
      <c r="N185" s="25">
        <v>0</v>
      </c>
      <c r="O185" s="25">
        <v>0</v>
      </c>
      <c r="P185" s="25">
        <v>0</v>
      </c>
      <c r="Q185" s="25">
        <v>0</v>
      </c>
      <c r="R185" s="25">
        <v>0</v>
      </c>
      <c r="S185" s="25">
        <v>0</v>
      </c>
      <c r="T185" s="25">
        <v>0</v>
      </c>
      <c r="U185" s="25">
        <v>0</v>
      </c>
      <c r="V185" s="25">
        <v>0</v>
      </c>
      <c r="W185" s="25">
        <v>0</v>
      </c>
      <c r="X185" s="25">
        <v>0</v>
      </c>
      <c r="Y185" s="25">
        <v>0</v>
      </c>
      <c r="Z185" s="25">
        <v>0</v>
      </c>
      <c r="AA185" s="25">
        <v>0</v>
      </c>
      <c r="AB185" s="25">
        <v>0</v>
      </c>
      <c r="AC185" s="25">
        <v>0</v>
      </c>
      <c r="AD185" s="25">
        <v>0</v>
      </c>
      <c r="AE185" s="25">
        <v>0</v>
      </c>
      <c r="AF185" s="25">
        <v>0</v>
      </c>
      <c r="AG185" s="25">
        <v>0</v>
      </c>
      <c r="AH185" s="25">
        <v>0</v>
      </c>
      <c r="AI185" s="25">
        <v>0</v>
      </c>
      <c r="AJ185" s="25">
        <v>0</v>
      </c>
    </row>
    <row r="186" spans="1:36" x14ac:dyDescent="0.25">
      <c r="A186" s="77" t="s">
        <v>590</v>
      </c>
      <c r="B186" t="s">
        <v>305</v>
      </c>
      <c r="C186" s="25">
        <v>5</v>
      </c>
      <c r="D186" s="25">
        <v>5</v>
      </c>
      <c r="E186" s="25">
        <v>5</v>
      </c>
      <c r="F186" s="25">
        <v>5</v>
      </c>
      <c r="G186" s="25">
        <v>5</v>
      </c>
      <c r="H186" s="25">
        <v>5</v>
      </c>
      <c r="I186" s="25">
        <v>5</v>
      </c>
      <c r="J186" s="25">
        <v>5</v>
      </c>
      <c r="K186" s="25">
        <v>5</v>
      </c>
      <c r="L186" s="25">
        <v>5</v>
      </c>
      <c r="M186" s="25">
        <v>5</v>
      </c>
      <c r="N186" s="25">
        <v>5</v>
      </c>
      <c r="O186" s="25">
        <v>5</v>
      </c>
      <c r="P186" s="25">
        <v>5</v>
      </c>
      <c r="Q186" s="25">
        <v>5</v>
      </c>
      <c r="R186" s="25">
        <v>5</v>
      </c>
      <c r="S186" s="25">
        <v>5</v>
      </c>
      <c r="T186" s="25">
        <v>5</v>
      </c>
      <c r="U186" s="25">
        <v>5</v>
      </c>
      <c r="V186" s="25">
        <v>5</v>
      </c>
      <c r="W186" s="25">
        <v>5</v>
      </c>
      <c r="X186" s="25">
        <v>5</v>
      </c>
      <c r="Y186" s="25">
        <v>5</v>
      </c>
      <c r="Z186" s="25">
        <v>5</v>
      </c>
      <c r="AA186" s="25">
        <v>5</v>
      </c>
      <c r="AB186" s="25">
        <v>5</v>
      </c>
      <c r="AC186" s="25">
        <v>5</v>
      </c>
      <c r="AD186" s="25">
        <v>5</v>
      </c>
      <c r="AE186" s="25">
        <v>5</v>
      </c>
      <c r="AF186" s="25">
        <v>5</v>
      </c>
      <c r="AG186" s="25">
        <v>5</v>
      </c>
      <c r="AH186" s="25">
        <v>5</v>
      </c>
      <c r="AI186" s="25">
        <v>5</v>
      </c>
      <c r="AJ186" s="25">
        <v>5</v>
      </c>
    </row>
    <row r="187" spans="1:36" x14ac:dyDescent="0.25">
      <c r="A187" s="77" t="s">
        <v>591</v>
      </c>
      <c r="B187" t="s">
        <v>305</v>
      </c>
      <c r="C187" s="25">
        <v>70</v>
      </c>
      <c r="D187" s="25">
        <v>70</v>
      </c>
      <c r="E187" s="25">
        <v>70</v>
      </c>
      <c r="F187" s="25">
        <v>70</v>
      </c>
      <c r="G187" s="25">
        <v>70</v>
      </c>
      <c r="H187" s="25">
        <v>70</v>
      </c>
      <c r="I187" s="25">
        <v>70</v>
      </c>
      <c r="J187" s="25">
        <v>70</v>
      </c>
      <c r="K187" s="25">
        <v>70</v>
      </c>
      <c r="L187" s="25">
        <v>70</v>
      </c>
      <c r="M187" s="25">
        <v>70</v>
      </c>
      <c r="N187" s="25">
        <v>70</v>
      </c>
      <c r="O187" s="25">
        <v>70</v>
      </c>
      <c r="P187" s="25">
        <v>70</v>
      </c>
      <c r="Q187" s="25">
        <v>70</v>
      </c>
      <c r="R187" s="25">
        <v>70</v>
      </c>
      <c r="S187" s="25">
        <v>70</v>
      </c>
      <c r="T187" s="25">
        <v>70</v>
      </c>
      <c r="U187" s="25">
        <v>70</v>
      </c>
      <c r="V187" s="25">
        <v>70</v>
      </c>
      <c r="W187" s="25">
        <v>70</v>
      </c>
      <c r="X187" s="25">
        <v>70</v>
      </c>
      <c r="Y187" s="25">
        <v>70</v>
      </c>
      <c r="Z187" s="25">
        <v>70</v>
      </c>
      <c r="AA187" s="25">
        <v>70</v>
      </c>
      <c r="AB187" s="25">
        <v>70</v>
      </c>
      <c r="AC187" s="25">
        <v>70</v>
      </c>
      <c r="AD187" s="25">
        <v>70</v>
      </c>
      <c r="AE187" s="25">
        <v>70</v>
      </c>
      <c r="AF187" s="25">
        <v>70</v>
      </c>
      <c r="AG187" s="25">
        <v>70</v>
      </c>
      <c r="AH187" s="25">
        <v>70</v>
      </c>
      <c r="AI187" s="25">
        <v>70</v>
      </c>
      <c r="AJ187" s="25">
        <v>70</v>
      </c>
    </row>
    <row r="188" spans="1:36" x14ac:dyDescent="0.25">
      <c r="A188" s="77" t="s">
        <v>592</v>
      </c>
      <c r="B188" t="s">
        <v>305</v>
      </c>
      <c r="C188" s="25">
        <v>0</v>
      </c>
      <c r="D188" s="25">
        <v>0</v>
      </c>
      <c r="E188" s="25">
        <v>0</v>
      </c>
      <c r="F188" s="25">
        <v>0</v>
      </c>
      <c r="G188" s="25">
        <v>0</v>
      </c>
      <c r="H188" s="25">
        <v>0</v>
      </c>
      <c r="I188" s="25">
        <v>0</v>
      </c>
      <c r="J188" s="25">
        <v>0</v>
      </c>
      <c r="K188" s="25">
        <v>0</v>
      </c>
      <c r="L188" s="25">
        <v>0</v>
      </c>
      <c r="M188" s="25">
        <v>0</v>
      </c>
      <c r="N188" s="25">
        <v>0</v>
      </c>
      <c r="O188" s="25">
        <v>0</v>
      </c>
      <c r="P188" s="25">
        <v>0</v>
      </c>
      <c r="Q188" s="25">
        <v>0</v>
      </c>
      <c r="R188" s="25">
        <v>0</v>
      </c>
      <c r="S188" s="25">
        <v>0</v>
      </c>
      <c r="T188" s="25">
        <v>0</v>
      </c>
      <c r="U188" s="25">
        <v>0</v>
      </c>
      <c r="V188" s="25">
        <v>0</v>
      </c>
      <c r="W188" s="25">
        <v>0</v>
      </c>
      <c r="X188" s="25">
        <v>0</v>
      </c>
      <c r="Y188" s="25">
        <v>0</v>
      </c>
      <c r="Z188" s="25">
        <v>0</v>
      </c>
      <c r="AA188" s="25">
        <v>0</v>
      </c>
      <c r="AB188" s="25">
        <v>0</v>
      </c>
      <c r="AC188" s="25">
        <v>0</v>
      </c>
      <c r="AD188" s="25">
        <v>0</v>
      </c>
      <c r="AE188" s="25">
        <v>0</v>
      </c>
      <c r="AF188" s="25">
        <v>0</v>
      </c>
      <c r="AG188" s="25">
        <v>0</v>
      </c>
      <c r="AH188" s="25">
        <v>0</v>
      </c>
      <c r="AI188" s="25">
        <v>0</v>
      </c>
      <c r="AJ188" s="25">
        <v>0</v>
      </c>
    </row>
    <row r="189" spans="1:36" x14ac:dyDescent="0.25">
      <c r="A189" s="77" t="s">
        <v>593</v>
      </c>
      <c r="B189" t="s">
        <v>305</v>
      </c>
      <c r="C189" s="25">
        <v>5</v>
      </c>
      <c r="D189" s="25">
        <v>5</v>
      </c>
      <c r="E189" s="25">
        <v>5</v>
      </c>
      <c r="F189" s="25">
        <v>5</v>
      </c>
      <c r="G189" s="25">
        <v>5</v>
      </c>
      <c r="H189" s="25">
        <v>5</v>
      </c>
      <c r="I189" s="25">
        <v>5</v>
      </c>
      <c r="J189" s="25">
        <v>5</v>
      </c>
      <c r="K189" s="25">
        <v>5</v>
      </c>
      <c r="L189" s="25">
        <v>5</v>
      </c>
      <c r="M189" s="25">
        <v>5</v>
      </c>
      <c r="N189" s="25">
        <v>5</v>
      </c>
      <c r="O189" s="25">
        <v>5</v>
      </c>
      <c r="P189" s="25">
        <v>5</v>
      </c>
      <c r="Q189" s="25">
        <v>5</v>
      </c>
      <c r="R189" s="25">
        <v>5</v>
      </c>
      <c r="S189" s="25">
        <v>5</v>
      </c>
      <c r="T189" s="25">
        <v>5</v>
      </c>
      <c r="U189" s="25">
        <v>5</v>
      </c>
      <c r="V189" s="25">
        <v>5</v>
      </c>
      <c r="W189" s="25">
        <v>5</v>
      </c>
      <c r="X189" s="25">
        <v>5</v>
      </c>
      <c r="Y189" s="25">
        <v>5</v>
      </c>
      <c r="Z189" s="25">
        <v>5</v>
      </c>
      <c r="AA189" s="25">
        <v>5</v>
      </c>
      <c r="AB189" s="25">
        <v>5</v>
      </c>
      <c r="AC189" s="25">
        <v>5</v>
      </c>
      <c r="AD189" s="25">
        <v>5</v>
      </c>
      <c r="AE189" s="25">
        <v>5</v>
      </c>
      <c r="AF189" s="25">
        <v>5</v>
      </c>
      <c r="AG189" s="25">
        <v>5</v>
      </c>
      <c r="AH189" s="25">
        <v>5</v>
      </c>
      <c r="AI189" s="25">
        <v>5</v>
      </c>
      <c r="AJ189" s="25">
        <v>5</v>
      </c>
    </row>
    <row r="190" spans="1:36" x14ac:dyDescent="0.25">
      <c r="A190" s="77" t="s">
        <v>594</v>
      </c>
      <c r="B190" t="s">
        <v>305</v>
      </c>
      <c r="C190" s="25">
        <v>10</v>
      </c>
      <c r="D190" s="25">
        <v>10</v>
      </c>
      <c r="E190" s="25">
        <v>10</v>
      </c>
      <c r="F190" s="25">
        <v>10</v>
      </c>
      <c r="G190" s="25">
        <v>10</v>
      </c>
      <c r="H190" s="25">
        <v>10</v>
      </c>
      <c r="I190" s="25">
        <v>10</v>
      </c>
      <c r="J190" s="25">
        <v>10</v>
      </c>
      <c r="K190" s="25">
        <v>10</v>
      </c>
      <c r="L190" s="25">
        <v>10</v>
      </c>
      <c r="M190" s="25">
        <v>10</v>
      </c>
      <c r="N190" s="25">
        <v>10</v>
      </c>
      <c r="O190" s="25">
        <v>10</v>
      </c>
      <c r="P190" s="25">
        <v>10</v>
      </c>
      <c r="Q190" s="25">
        <v>10</v>
      </c>
      <c r="R190" s="25">
        <v>10</v>
      </c>
      <c r="S190" s="25">
        <v>10</v>
      </c>
      <c r="T190" s="25">
        <v>10</v>
      </c>
      <c r="U190" s="25">
        <v>10</v>
      </c>
      <c r="V190" s="25">
        <v>10</v>
      </c>
      <c r="W190" s="25">
        <v>10</v>
      </c>
      <c r="X190" s="25">
        <v>10</v>
      </c>
      <c r="Y190" s="25">
        <v>10</v>
      </c>
      <c r="Z190" s="25">
        <v>10</v>
      </c>
      <c r="AA190" s="25">
        <v>10</v>
      </c>
      <c r="AB190" s="25">
        <v>10</v>
      </c>
      <c r="AC190" s="25">
        <v>10</v>
      </c>
      <c r="AD190" s="25">
        <v>10</v>
      </c>
      <c r="AE190" s="25">
        <v>10</v>
      </c>
      <c r="AF190" s="25">
        <v>10</v>
      </c>
      <c r="AG190" s="25">
        <v>10</v>
      </c>
      <c r="AH190" s="25">
        <v>10</v>
      </c>
      <c r="AI190" s="25">
        <v>10</v>
      </c>
      <c r="AJ190" s="25">
        <v>10</v>
      </c>
    </row>
    <row r="191" spans="1:36" x14ac:dyDescent="0.25">
      <c r="A191" s="77" t="s">
        <v>595</v>
      </c>
      <c r="B191" t="s">
        <v>305</v>
      </c>
      <c r="C191" s="25">
        <v>0</v>
      </c>
      <c r="D191" s="25">
        <v>0</v>
      </c>
      <c r="E191" s="25">
        <v>0</v>
      </c>
      <c r="F191" s="25">
        <v>0</v>
      </c>
      <c r="G191" s="25">
        <v>0</v>
      </c>
      <c r="H191" s="25">
        <v>0</v>
      </c>
      <c r="I191" s="25">
        <v>0</v>
      </c>
      <c r="J191" s="25">
        <v>0</v>
      </c>
      <c r="K191" s="25">
        <v>0</v>
      </c>
      <c r="L191" s="25">
        <v>0</v>
      </c>
      <c r="M191" s="25">
        <v>0</v>
      </c>
      <c r="N191" s="25">
        <v>0</v>
      </c>
      <c r="O191" s="25">
        <v>0</v>
      </c>
      <c r="P191" s="25">
        <v>0</v>
      </c>
      <c r="Q191" s="25">
        <v>0</v>
      </c>
      <c r="R191" s="25">
        <v>0</v>
      </c>
      <c r="S191" s="25">
        <v>0</v>
      </c>
      <c r="T191" s="25">
        <v>0</v>
      </c>
      <c r="U191" s="25">
        <v>0</v>
      </c>
      <c r="V191" s="25">
        <v>0</v>
      </c>
      <c r="W191" s="25">
        <v>0</v>
      </c>
      <c r="X191" s="25">
        <v>0</v>
      </c>
      <c r="Y191" s="25">
        <v>0</v>
      </c>
      <c r="Z191" s="25">
        <v>0</v>
      </c>
      <c r="AA191" s="25">
        <v>0</v>
      </c>
      <c r="AB191" s="25">
        <v>0</v>
      </c>
      <c r="AC191" s="25">
        <v>0</v>
      </c>
      <c r="AD191" s="25">
        <v>0</v>
      </c>
      <c r="AE191" s="25">
        <v>0</v>
      </c>
      <c r="AF191" s="25">
        <v>0</v>
      </c>
      <c r="AG191" s="25">
        <v>0</v>
      </c>
      <c r="AH191" s="25">
        <v>0</v>
      </c>
      <c r="AI191" s="25">
        <v>0</v>
      </c>
      <c r="AJ191" s="25">
        <v>0</v>
      </c>
    </row>
    <row r="192" spans="1:36" x14ac:dyDescent="0.25">
      <c r="A192" s="77" t="s">
        <v>596</v>
      </c>
      <c r="B192" t="s">
        <v>305</v>
      </c>
      <c r="C192" s="25">
        <v>10</v>
      </c>
      <c r="D192" s="25">
        <v>10</v>
      </c>
      <c r="E192" s="25">
        <v>10</v>
      </c>
      <c r="F192" s="25">
        <v>10</v>
      </c>
      <c r="G192" s="25">
        <v>10</v>
      </c>
      <c r="H192" s="25">
        <v>10</v>
      </c>
      <c r="I192" s="25">
        <v>10</v>
      </c>
      <c r="J192" s="25">
        <v>10</v>
      </c>
      <c r="K192" s="25">
        <v>10</v>
      </c>
      <c r="L192" s="25">
        <v>10</v>
      </c>
      <c r="M192" s="25">
        <v>10</v>
      </c>
      <c r="N192" s="25">
        <v>10</v>
      </c>
      <c r="O192" s="25">
        <v>10</v>
      </c>
      <c r="P192" s="25">
        <v>10</v>
      </c>
      <c r="Q192" s="25">
        <v>10</v>
      </c>
      <c r="R192" s="25">
        <v>10</v>
      </c>
      <c r="S192" s="25">
        <v>10</v>
      </c>
      <c r="T192" s="25">
        <v>10</v>
      </c>
      <c r="U192" s="25">
        <v>10</v>
      </c>
      <c r="V192" s="25">
        <v>10</v>
      </c>
      <c r="W192" s="25">
        <v>10</v>
      </c>
      <c r="X192" s="25">
        <v>10</v>
      </c>
      <c r="Y192" s="25">
        <v>10</v>
      </c>
      <c r="Z192" s="25">
        <v>10</v>
      </c>
      <c r="AA192" s="25">
        <v>10</v>
      </c>
      <c r="AB192" s="25">
        <v>10</v>
      </c>
      <c r="AC192" s="25">
        <v>10</v>
      </c>
      <c r="AD192" s="25">
        <v>10</v>
      </c>
      <c r="AE192" s="25">
        <v>10</v>
      </c>
      <c r="AF192" s="25">
        <v>10</v>
      </c>
      <c r="AG192" s="25">
        <v>10</v>
      </c>
      <c r="AH192" s="25">
        <v>10</v>
      </c>
      <c r="AI192" s="25">
        <v>10</v>
      </c>
      <c r="AJ192" s="25">
        <v>10</v>
      </c>
    </row>
    <row r="193" spans="1:36" x14ac:dyDescent="0.25">
      <c r="A193" s="77" t="s">
        <v>597</v>
      </c>
      <c r="B193" t="s">
        <v>305</v>
      </c>
      <c r="C193" s="25">
        <v>0</v>
      </c>
      <c r="D193" s="25">
        <v>0</v>
      </c>
      <c r="E193" s="25">
        <v>0</v>
      </c>
      <c r="F193" s="25">
        <v>0</v>
      </c>
      <c r="G193" s="25">
        <v>0</v>
      </c>
      <c r="H193" s="25">
        <v>0</v>
      </c>
      <c r="I193" s="25">
        <v>0</v>
      </c>
      <c r="J193" s="25">
        <v>0</v>
      </c>
      <c r="K193" s="25">
        <v>0</v>
      </c>
      <c r="L193" s="25">
        <v>0</v>
      </c>
      <c r="M193" s="25">
        <v>0</v>
      </c>
      <c r="N193" s="25">
        <v>0</v>
      </c>
      <c r="O193" s="25">
        <v>0</v>
      </c>
      <c r="P193" s="25">
        <v>0</v>
      </c>
      <c r="Q193" s="25">
        <v>0</v>
      </c>
      <c r="R193" s="25">
        <v>0</v>
      </c>
      <c r="S193" s="25">
        <v>0</v>
      </c>
      <c r="T193" s="25">
        <v>0</v>
      </c>
      <c r="U193" s="25">
        <v>0</v>
      </c>
      <c r="V193" s="25">
        <v>0</v>
      </c>
      <c r="W193" s="25">
        <v>0</v>
      </c>
      <c r="X193" s="25">
        <v>0</v>
      </c>
      <c r="Y193" s="25">
        <v>0</v>
      </c>
      <c r="Z193" s="25">
        <v>0</v>
      </c>
      <c r="AA193" s="25">
        <v>0</v>
      </c>
      <c r="AB193" s="25">
        <v>0</v>
      </c>
      <c r="AC193" s="25">
        <v>0</v>
      </c>
      <c r="AD193" s="25">
        <v>0</v>
      </c>
      <c r="AE193" s="25">
        <v>0</v>
      </c>
      <c r="AF193" s="25">
        <v>0</v>
      </c>
      <c r="AG193" s="25">
        <v>0</v>
      </c>
      <c r="AH193" s="25">
        <v>0</v>
      </c>
      <c r="AI193" s="25">
        <v>0</v>
      </c>
      <c r="AJ193" s="25">
        <v>0</v>
      </c>
    </row>
    <row r="194" spans="1:36" x14ac:dyDescent="0.25">
      <c r="A194" s="77" t="s">
        <v>598</v>
      </c>
      <c r="B194" t="s">
        <v>305</v>
      </c>
      <c r="C194" s="25">
        <v>0</v>
      </c>
      <c r="D194" s="25">
        <v>0</v>
      </c>
      <c r="E194" s="25">
        <v>0</v>
      </c>
      <c r="F194" s="25">
        <v>0</v>
      </c>
      <c r="G194" s="25">
        <v>0</v>
      </c>
      <c r="H194" s="25">
        <v>0</v>
      </c>
      <c r="I194" s="25">
        <v>0</v>
      </c>
      <c r="J194" s="25">
        <v>0</v>
      </c>
      <c r="K194" s="25">
        <v>0</v>
      </c>
      <c r="L194" s="25">
        <v>0</v>
      </c>
      <c r="M194" s="25">
        <v>0</v>
      </c>
      <c r="N194" s="25">
        <v>0</v>
      </c>
      <c r="O194" s="25">
        <v>0</v>
      </c>
      <c r="P194" s="25">
        <v>0</v>
      </c>
      <c r="Q194" s="25">
        <v>0</v>
      </c>
      <c r="R194" s="25">
        <v>0</v>
      </c>
      <c r="S194" s="25">
        <v>0</v>
      </c>
      <c r="T194" s="25">
        <v>0</v>
      </c>
      <c r="U194" s="25">
        <v>0</v>
      </c>
      <c r="V194" s="25">
        <v>0</v>
      </c>
      <c r="W194" s="25">
        <v>0</v>
      </c>
      <c r="X194" s="25">
        <v>0</v>
      </c>
      <c r="Y194" s="25">
        <v>0</v>
      </c>
      <c r="Z194" s="25">
        <v>0</v>
      </c>
      <c r="AA194" s="25">
        <v>0</v>
      </c>
      <c r="AB194" s="25">
        <v>0</v>
      </c>
      <c r="AC194" s="25">
        <v>0</v>
      </c>
      <c r="AD194" s="25">
        <v>0</v>
      </c>
      <c r="AE194" s="25">
        <v>0</v>
      </c>
      <c r="AF194" s="25">
        <v>0</v>
      </c>
      <c r="AG194" s="25">
        <v>0</v>
      </c>
      <c r="AH194" s="25">
        <v>0</v>
      </c>
      <c r="AI194" s="25">
        <v>0</v>
      </c>
      <c r="AJ194" s="25">
        <v>0</v>
      </c>
    </row>
    <row r="195" spans="1:36" x14ac:dyDescent="0.25">
      <c r="A195" s="77" t="s">
        <v>765</v>
      </c>
      <c r="B195" t="s">
        <v>305</v>
      </c>
      <c r="C195" s="25">
        <v>0</v>
      </c>
      <c r="D195" s="25">
        <v>0</v>
      </c>
      <c r="E195" s="25">
        <v>0</v>
      </c>
      <c r="F195" s="25">
        <v>0</v>
      </c>
      <c r="G195" s="25">
        <v>0</v>
      </c>
      <c r="H195" s="25">
        <v>0</v>
      </c>
      <c r="I195" s="25">
        <v>0</v>
      </c>
      <c r="J195" s="25">
        <v>0</v>
      </c>
      <c r="K195" s="25">
        <v>0</v>
      </c>
      <c r="L195" s="25">
        <v>0</v>
      </c>
      <c r="M195" s="25">
        <v>0</v>
      </c>
      <c r="N195" s="25">
        <v>0</v>
      </c>
      <c r="O195" s="25">
        <v>0</v>
      </c>
      <c r="P195" s="25">
        <v>0</v>
      </c>
      <c r="Q195" s="25">
        <v>0</v>
      </c>
      <c r="R195" s="25">
        <v>0</v>
      </c>
      <c r="S195" s="25">
        <v>0</v>
      </c>
      <c r="T195" s="25">
        <v>0</v>
      </c>
      <c r="U195" s="25">
        <v>0</v>
      </c>
      <c r="V195" s="25">
        <v>0</v>
      </c>
      <c r="W195" s="25">
        <v>0</v>
      </c>
      <c r="X195" s="25">
        <v>0</v>
      </c>
      <c r="Y195" s="25">
        <v>0</v>
      </c>
      <c r="Z195" s="25">
        <v>0</v>
      </c>
      <c r="AA195" s="25">
        <v>0</v>
      </c>
      <c r="AB195" s="25">
        <v>0</v>
      </c>
      <c r="AC195" s="25">
        <v>0</v>
      </c>
      <c r="AD195" s="25">
        <v>0</v>
      </c>
      <c r="AE195" s="25">
        <v>0</v>
      </c>
      <c r="AF195" s="25">
        <v>0</v>
      </c>
      <c r="AG195" s="25">
        <v>0</v>
      </c>
      <c r="AH195" s="25">
        <v>0</v>
      </c>
      <c r="AI195" s="25">
        <v>0</v>
      </c>
      <c r="AJ195" s="25">
        <v>0</v>
      </c>
    </row>
    <row r="196" spans="1:36" s="78" customFormat="1" x14ac:dyDescent="0.25">
      <c r="A196" s="78" t="s">
        <v>780</v>
      </c>
      <c r="C196" s="79">
        <f>+SUM(C185:C195)</f>
        <v>100</v>
      </c>
      <c r="D196" s="79">
        <f t="shared" ref="D196" si="397">+SUM(D185:D195)</f>
        <v>100</v>
      </c>
      <c r="E196" s="79">
        <f t="shared" ref="E196" si="398">+SUM(E185:E195)</f>
        <v>100</v>
      </c>
      <c r="F196" s="79">
        <f t="shared" ref="F196" si="399">+SUM(F185:F195)</f>
        <v>100</v>
      </c>
      <c r="G196" s="79">
        <f t="shared" ref="G196" si="400">+SUM(G185:G195)</f>
        <v>100</v>
      </c>
      <c r="H196" s="79">
        <f t="shared" ref="H196" si="401">+SUM(H185:H195)</f>
        <v>100</v>
      </c>
      <c r="I196" s="79">
        <f t="shared" ref="I196" si="402">+SUM(I185:I195)</f>
        <v>100</v>
      </c>
      <c r="J196" s="79">
        <f t="shared" ref="J196" si="403">+SUM(J185:J195)</f>
        <v>100</v>
      </c>
      <c r="K196" s="79">
        <f t="shared" ref="K196" si="404">+SUM(K185:K195)</f>
        <v>100</v>
      </c>
      <c r="L196" s="79">
        <f t="shared" ref="L196" si="405">+SUM(L185:L195)</f>
        <v>100</v>
      </c>
      <c r="M196" s="79">
        <f t="shared" ref="M196" si="406">+SUM(M185:M195)</f>
        <v>100</v>
      </c>
      <c r="N196" s="79">
        <f t="shared" ref="N196" si="407">+SUM(N185:N195)</f>
        <v>100</v>
      </c>
      <c r="O196" s="79">
        <f t="shared" ref="O196" si="408">+SUM(O185:O195)</f>
        <v>100</v>
      </c>
      <c r="P196" s="79">
        <f t="shared" ref="P196" si="409">+SUM(P185:P195)</f>
        <v>100</v>
      </c>
      <c r="Q196" s="79">
        <f t="shared" ref="Q196" si="410">+SUM(Q185:Q195)</f>
        <v>100</v>
      </c>
      <c r="R196" s="79">
        <f t="shared" ref="R196" si="411">+SUM(R185:R195)</f>
        <v>100</v>
      </c>
      <c r="S196" s="79">
        <f t="shared" ref="S196" si="412">+SUM(S185:S195)</f>
        <v>100</v>
      </c>
      <c r="T196" s="79">
        <f t="shared" ref="T196" si="413">+SUM(T185:T195)</f>
        <v>100</v>
      </c>
      <c r="U196" s="79">
        <f t="shared" ref="U196" si="414">+SUM(U185:U195)</f>
        <v>100</v>
      </c>
      <c r="V196" s="79">
        <f t="shared" ref="V196" si="415">+SUM(V185:V195)</f>
        <v>100</v>
      </c>
      <c r="W196" s="79">
        <f t="shared" ref="W196" si="416">+SUM(W185:W195)</f>
        <v>100</v>
      </c>
      <c r="X196" s="79">
        <f t="shared" ref="X196" si="417">+SUM(X185:X195)</f>
        <v>100</v>
      </c>
      <c r="Y196" s="79">
        <f t="shared" ref="Y196" si="418">+SUM(Y185:Y195)</f>
        <v>100</v>
      </c>
      <c r="Z196" s="79">
        <f t="shared" ref="Z196" si="419">+SUM(Z185:Z195)</f>
        <v>100</v>
      </c>
      <c r="AA196" s="79">
        <f t="shared" ref="AA196" si="420">+SUM(AA185:AA195)</f>
        <v>100</v>
      </c>
      <c r="AB196" s="79">
        <f t="shared" ref="AB196" si="421">+SUM(AB185:AB195)</f>
        <v>100</v>
      </c>
      <c r="AC196" s="79">
        <f t="shared" ref="AC196" si="422">+SUM(AC185:AC195)</f>
        <v>100</v>
      </c>
      <c r="AD196" s="79">
        <f t="shared" ref="AD196" si="423">+SUM(AD185:AD195)</f>
        <v>100</v>
      </c>
      <c r="AE196" s="79">
        <f t="shared" ref="AE196" si="424">+SUM(AE185:AE195)</f>
        <v>100</v>
      </c>
      <c r="AF196" s="79">
        <f t="shared" ref="AF196" si="425">+SUM(AF185:AF195)</f>
        <v>100</v>
      </c>
      <c r="AG196" s="79">
        <f t="shared" ref="AG196" si="426">+SUM(AG185:AG195)</f>
        <v>100</v>
      </c>
      <c r="AH196" s="79">
        <f t="shared" ref="AH196" si="427">+SUM(AH185:AH195)</f>
        <v>100</v>
      </c>
      <c r="AI196" s="79">
        <f t="shared" ref="AI196" si="428">+SUM(AI185:AI195)</f>
        <v>100</v>
      </c>
      <c r="AJ196" s="79">
        <f t="shared" ref="AJ196" si="429">+SUM(AJ185:AJ195)</f>
        <v>100</v>
      </c>
    </row>
    <row r="197" spans="1:36" x14ac:dyDescent="0.25">
      <c r="A197" s="77" t="s">
        <v>599</v>
      </c>
      <c r="B197" t="s">
        <v>305</v>
      </c>
      <c r="C197" s="25">
        <v>0</v>
      </c>
      <c r="D197" s="25">
        <v>0</v>
      </c>
      <c r="E197" s="25">
        <v>0</v>
      </c>
      <c r="F197" s="25">
        <v>0</v>
      </c>
      <c r="G197" s="25">
        <v>0</v>
      </c>
      <c r="H197" s="25">
        <v>0</v>
      </c>
      <c r="I197" s="25">
        <v>0</v>
      </c>
      <c r="J197" s="25">
        <v>0</v>
      </c>
      <c r="K197" s="25">
        <v>0</v>
      </c>
      <c r="L197" s="25">
        <v>0</v>
      </c>
      <c r="M197" s="25">
        <v>0</v>
      </c>
      <c r="N197" s="25">
        <v>0</v>
      </c>
      <c r="O197" s="25">
        <v>0</v>
      </c>
      <c r="P197" s="25">
        <v>0</v>
      </c>
      <c r="Q197" s="25">
        <v>0</v>
      </c>
      <c r="R197" s="25">
        <v>0</v>
      </c>
      <c r="S197" s="25">
        <v>0</v>
      </c>
      <c r="T197" s="25">
        <v>0</v>
      </c>
      <c r="U197" s="25">
        <v>0</v>
      </c>
      <c r="V197" s="25">
        <v>0</v>
      </c>
      <c r="W197" s="25">
        <v>0</v>
      </c>
      <c r="X197" s="25">
        <v>0</v>
      </c>
      <c r="Y197" s="25">
        <v>0</v>
      </c>
      <c r="Z197" s="25">
        <v>0</v>
      </c>
      <c r="AA197" s="25">
        <v>0</v>
      </c>
      <c r="AB197" s="25">
        <v>0</v>
      </c>
      <c r="AC197" s="25">
        <v>0</v>
      </c>
      <c r="AD197" s="25">
        <v>0</v>
      </c>
      <c r="AE197" s="25">
        <v>0</v>
      </c>
      <c r="AF197" s="25">
        <v>0</v>
      </c>
      <c r="AG197" s="25">
        <v>0</v>
      </c>
      <c r="AH197" s="25">
        <v>0</v>
      </c>
      <c r="AI197" s="25">
        <v>0</v>
      </c>
      <c r="AJ197" s="25">
        <v>0</v>
      </c>
    </row>
    <row r="198" spans="1:36" x14ac:dyDescent="0.25">
      <c r="A198" s="77" t="s">
        <v>600</v>
      </c>
      <c r="B198" t="s">
        <v>305</v>
      </c>
      <c r="C198" s="25">
        <v>0</v>
      </c>
      <c r="D198" s="25">
        <v>0</v>
      </c>
      <c r="E198" s="25">
        <v>0</v>
      </c>
      <c r="F198" s="25">
        <v>0</v>
      </c>
      <c r="G198" s="25">
        <v>0</v>
      </c>
      <c r="H198" s="25">
        <v>0</v>
      </c>
      <c r="I198" s="25">
        <v>0</v>
      </c>
      <c r="J198" s="25">
        <v>0</v>
      </c>
      <c r="K198" s="25">
        <v>0</v>
      </c>
      <c r="L198" s="25">
        <v>0</v>
      </c>
      <c r="M198" s="25">
        <v>0</v>
      </c>
      <c r="N198" s="25">
        <v>0</v>
      </c>
      <c r="O198" s="25">
        <v>0</v>
      </c>
      <c r="P198" s="25">
        <v>0</v>
      </c>
      <c r="Q198" s="25">
        <v>0</v>
      </c>
      <c r="R198" s="25">
        <v>0</v>
      </c>
      <c r="S198" s="25">
        <v>0</v>
      </c>
      <c r="T198" s="25">
        <v>0</v>
      </c>
      <c r="U198" s="25">
        <v>0</v>
      </c>
      <c r="V198" s="25">
        <v>0</v>
      </c>
      <c r="W198" s="25">
        <v>0</v>
      </c>
      <c r="X198" s="25">
        <v>0</v>
      </c>
      <c r="Y198" s="25">
        <v>0</v>
      </c>
      <c r="Z198" s="25">
        <v>0</v>
      </c>
      <c r="AA198" s="25">
        <v>0</v>
      </c>
      <c r="AB198" s="25">
        <v>0</v>
      </c>
      <c r="AC198" s="25">
        <v>0</v>
      </c>
      <c r="AD198" s="25">
        <v>0</v>
      </c>
      <c r="AE198" s="25">
        <v>0</v>
      </c>
      <c r="AF198" s="25">
        <v>0</v>
      </c>
      <c r="AG198" s="25">
        <v>0</v>
      </c>
      <c r="AH198" s="25">
        <v>0</v>
      </c>
      <c r="AI198" s="25">
        <v>0</v>
      </c>
      <c r="AJ198" s="25">
        <v>0</v>
      </c>
    </row>
    <row r="199" spans="1:36" x14ac:dyDescent="0.25">
      <c r="A199" s="77" t="s">
        <v>601</v>
      </c>
      <c r="B199" t="s">
        <v>305</v>
      </c>
      <c r="C199" s="25">
        <v>80</v>
      </c>
      <c r="D199" s="25">
        <v>80</v>
      </c>
      <c r="E199" s="25">
        <v>80</v>
      </c>
      <c r="F199" s="25">
        <v>80</v>
      </c>
      <c r="G199" s="25">
        <v>80</v>
      </c>
      <c r="H199" s="25">
        <v>80</v>
      </c>
      <c r="I199" s="25">
        <v>80</v>
      </c>
      <c r="J199" s="25">
        <v>80</v>
      </c>
      <c r="K199" s="25">
        <v>80</v>
      </c>
      <c r="L199" s="25">
        <v>80</v>
      </c>
      <c r="M199" s="25">
        <v>80</v>
      </c>
      <c r="N199" s="25">
        <v>80</v>
      </c>
      <c r="O199" s="25">
        <v>80</v>
      </c>
      <c r="P199" s="25">
        <v>80</v>
      </c>
      <c r="Q199" s="25">
        <v>80</v>
      </c>
      <c r="R199" s="25">
        <v>80</v>
      </c>
      <c r="S199" s="25">
        <v>80</v>
      </c>
      <c r="T199" s="25">
        <v>80</v>
      </c>
      <c r="U199" s="25">
        <v>80</v>
      </c>
      <c r="V199" s="25">
        <v>80</v>
      </c>
      <c r="W199" s="25">
        <v>80</v>
      </c>
      <c r="X199" s="25">
        <v>80</v>
      </c>
      <c r="Y199" s="25">
        <v>80</v>
      </c>
      <c r="Z199" s="25">
        <v>80</v>
      </c>
      <c r="AA199" s="25">
        <v>80</v>
      </c>
      <c r="AB199" s="25">
        <v>80</v>
      </c>
      <c r="AC199" s="25">
        <v>80</v>
      </c>
      <c r="AD199" s="25">
        <v>80</v>
      </c>
      <c r="AE199" s="25">
        <v>80</v>
      </c>
      <c r="AF199" s="25">
        <v>80</v>
      </c>
      <c r="AG199" s="25">
        <v>80</v>
      </c>
      <c r="AH199" s="25">
        <v>80</v>
      </c>
      <c r="AI199" s="25">
        <v>80</v>
      </c>
      <c r="AJ199" s="25">
        <v>80</v>
      </c>
    </row>
    <row r="200" spans="1:36" x14ac:dyDescent="0.25">
      <c r="A200" s="77" t="s">
        <v>602</v>
      </c>
      <c r="B200" t="s">
        <v>305</v>
      </c>
      <c r="C200" s="25">
        <v>0</v>
      </c>
      <c r="D200" s="25">
        <v>0</v>
      </c>
      <c r="E200" s="25">
        <v>0</v>
      </c>
      <c r="F200" s="25">
        <v>0</v>
      </c>
      <c r="G200" s="25">
        <v>0</v>
      </c>
      <c r="H200" s="25">
        <v>0</v>
      </c>
      <c r="I200" s="25">
        <v>0</v>
      </c>
      <c r="J200" s="25">
        <v>0</v>
      </c>
      <c r="K200" s="25">
        <v>0</v>
      </c>
      <c r="L200" s="25">
        <v>0</v>
      </c>
      <c r="M200" s="25">
        <v>0</v>
      </c>
      <c r="N200" s="25">
        <v>0</v>
      </c>
      <c r="O200" s="25">
        <v>0</v>
      </c>
      <c r="P200" s="25">
        <v>0</v>
      </c>
      <c r="Q200" s="25">
        <v>0</v>
      </c>
      <c r="R200" s="25">
        <v>0</v>
      </c>
      <c r="S200" s="25">
        <v>0</v>
      </c>
      <c r="T200" s="25">
        <v>0</v>
      </c>
      <c r="U200" s="25">
        <v>0</v>
      </c>
      <c r="V200" s="25">
        <v>0</v>
      </c>
      <c r="W200" s="25">
        <v>0</v>
      </c>
      <c r="X200" s="25">
        <v>0</v>
      </c>
      <c r="Y200" s="25">
        <v>0</v>
      </c>
      <c r="Z200" s="25">
        <v>0</v>
      </c>
      <c r="AA200" s="25">
        <v>0</v>
      </c>
      <c r="AB200" s="25">
        <v>0</v>
      </c>
      <c r="AC200" s="25">
        <v>0</v>
      </c>
      <c r="AD200" s="25">
        <v>0</v>
      </c>
      <c r="AE200" s="25">
        <v>0</v>
      </c>
      <c r="AF200" s="25">
        <v>0</v>
      </c>
      <c r="AG200" s="25">
        <v>0</v>
      </c>
      <c r="AH200" s="25">
        <v>0</v>
      </c>
      <c r="AI200" s="25">
        <v>0</v>
      </c>
      <c r="AJ200" s="25">
        <v>0</v>
      </c>
    </row>
    <row r="201" spans="1:36" x14ac:dyDescent="0.25">
      <c r="A201" s="77" t="s">
        <v>603</v>
      </c>
      <c r="B201" t="s">
        <v>305</v>
      </c>
      <c r="C201" s="25">
        <v>0</v>
      </c>
      <c r="D201" s="25">
        <v>0</v>
      </c>
      <c r="E201" s="25">
        <v>0</v>
      </c>
      <c r="F201" s="25">
        <v>0</v>
      </c>
      <c r="G201" s="25">
        <v>0</v>
      </c>
      <c r="H201" s="25">
        <v>0</v>
      </c>
      <c r="I201" s="25">
        <v>0</v>
      </c>
      <c r="J201" s="25">
        <v>0</v>
      </c>
      <c r="K201" s="25">
        <v>0</v>
      </c>
      <c r="L201" s="25">
        <v>0</v>
      </c>
      <c r="M201" s="25">
        <v>0</v>
      </c>
      <c r="N201" s="25">
        <v>0</v>
      </c>
      <c r="O201" s="25">
        <v>0</v>
      </c>
      <c r="P201" s="25">
        <v>0</v>
      </c>
      <c r="Q201" s="25">
        <v>0</v>
      </c>
      <c r="R201" s="25">
        <v>0</v>
      </c>
      <c r="S201" s="25">
        <v>0</v>
      </c>
      <c r="T201" s="25">
        <v>0</v>
      </c>
      <c r="U201" s="25">
        <v>0</v>
      </c>
      <c r="V201" s="25">
        <v>0</v>
      </c>
      <c r="W201" s="25">
        <v>0</v>
      </c>
      <c r="X201" s="25">
        <v>0</v>
      </c>
      <c r="Y201" s="25">
        <v>0</v>
      </c>
      <c r="Z201" s="25">
        <v>0</v>
      </c>
      <c r="AA201" s="25">
        <v>0</v>
      </c>
      <c r="AB201" s="25">
        <v>0</v>
      </c>
      <c r="AC201" s="25">
        <v>0</v>
      </c>
      <c r="AD201" s="25">
        <v>0</v>
      </c>
      <c r="AE201" s="25">
        <v>0</v>
      </c>
      <c r="AF201" s="25">
        <v>0</v>
      </c>
      <c r="AG201" s="25">
        <v>0</v>
      </c>
      <c r="AH201" s="25">
        <v>0</v>
      </c>
      <c r="AI201" s="25">
        <v>0</v>
      </c>
      <c r="AJ201" s="25">
        <v>0</v>
      </c>
    </row>
    <row r="202" spans="1:36" x14ac:dyDescent="0.25">
      <c r="A202" s="77" t="s">
        <v>604</v>
      </c>
      <c r="B202" t="s">
        <v>305</v>
      </c>
      <c r="C202" s="25">
        <v>5</v>
      </c>
      <c r="D202" s="25">
        <v>5</v>
      </c>
      <c r="E202" s="25">
        <v>5</v>
      </c>
      <c r="F202" s="25">
        <v>5</v>
      </c>
      <c r="G202" s="25">
        <v>5</v>
      </c>
      <c r="H202" s="25">
        <v>5</v>
      </c>
      <c r="I202" s="25">
        <v>5</v>
      </c>
      <c r="J202" s="25">
        <v>5</v>
      </c>
      <c r="K202" s="25">
        <v>5</v>
      </c>
      <c r="L202" s="25">
        <v>5</v>
      </c>
      <c r="M202" s="25">
        <v>5</v>
      </c>
      <c r="N202" s="25">
        <v>5</v>
      </c>
      <c r="O202" s="25">
        <v>5</v>
      </c>
      <c r="P202" s="25">
        <v>5</v>
      </c>
      <c r="Q202" s="25">
        <v>5</v>
      </c>
      <c r="R202" s="25">
        <v>5</v>
      </c>
      <c r="S202" s="25">
        <v>5</v>
      </c>
      <c r="T202" s="25">
        <v>5</v>
      </c>
      <c r="U202" s="25">
        <v>5</v>
      </c>
      <c r="V202" s="25">
        <v>5</v>
      </c>
      <c r="W202" s="25">
        <v>5</v>
      </c>
      <c r="X202" s="25">
        <v>5</v>
      </c>
      <c r="Y202" s="25">
        <v>5</v>
      </c>
      <c r="Z202" s="25">
        <v>5</v>
      </c>
      <c r="AA202" s="25">
        <v>5</v>
      </c>
      <c r="AB202" s="25">
        <v>5</v>
      </c>
      <c r="AC202" s="25">
        <v>5</v>
      </c>
      <c r="AD202" s="25">
        <v>5</v>
      </c>
      <c r="AE202" s="25">
        <v>5</v>
      </c>
      <c r="AF202" s="25">
        <v>5</v>
      </c>
      <c r="AG202" s="25">
        <v>5</v>
      </c>
      <c r="AH202" s="25">
        <v>5</v>
      </c>
      <c r="AI202" s="25">
        <v>5</v>
      </c>
      <c r="AJ202" s="25">
        <v>5</v>
      </c>
    </row>
    <row r="203" spans="1:36" x14ac:dyDescent="0.25">
      <c r="A203" s="77" t="s">
        <v>605</v>
      </c>
      <c r="B203" t="s">
        <v>305</v>
      </c>
      <c r="C203" s="25">
        <v>0</v>
      </c>
      <c r="D203" s="25">
        <v>0</v>
      </c>
      <c r="E203" s="25">
        <v>0</v>
      </c>
      <c r="F203" s="25">
        <v>0</v>
      </c>
      <c r="G203" s="25">
        <v>0</v>
      </c>
      <c r="H203" s="25">
        <v>0</v>
      </c>
      <c r="I203" s="25">
        <v>0</v>
      </c>
      <c r="J203" s="25">
        <v>0</v>
      </c>
      <c r="K203" s="25">
        <v>0</v>
      </c>
      <c r="L203" s="25">
        <v>0</v>
      </c>
      <c r="M203" s="25">
        <v>0</v>
      </c>
      <c r="N203" s="25">
        <v>0</v>
      </c>
      <c r="O203" s="25">
        <v>0</v>
      </c>
      <c r="P203" s="25">
        <v>0</v>
      </c>
      <c r="Q203" s="25">
        <v>0</v>
      </c>
      <c r="R203" s="25">
        <v>0</v>
      </c>
      <c r="S203" s="25">
        <v>0</v>
      </c>
      <c r="T203" s="25">
        <v>0</v>
      </c>
      <c r="U203" s="25">
        <v>0</v>
      </c>
      <c r="V203" s="25">
        <v>0</v>
      </c>
      <c r="W203" s="25">
        <v>0</v>
      </c>
      <c r="X203" s="25">
        <v>0</v>
      </c>
      <c r="Y203" s="25">
        <v>0</v>
      </c>
      <c r="Z203" s="25">
        <v>0</v>
      </c>
      <c r="AA203" s="25">
        <v>0</v>
      </c>
      <c r="AB203" s="25">
        <v>0</v>
      </c>
      <c r="AC203" s="25">
        <v>0</v>
      </c>
      <c r="AD203" s="25">
        <v>0</v>
      </c>
      <c r="AE203" s="25">
        <v>0</v>
      </c>
      <c r="AF203" s="25">
        <v>0</v>
      </c>
      <c r="AG203" s="25">
        <v>0</v>
      </c>
      <c r="AH203" s="25">
        <v>0</v>
      </c>
      <c r="AI203" s="25">
        <v>0</v>
      </c>
      <c r="AJ203" s="25">
        <v>0</v>
      </c>
    </row>
    <row r="204" spans="1:36" x14ac:dyDescent="0.25">
      <c r="A204" s="77" t="s">
        <v>606</v>
      </c>
      <c r="B204" t="s">
        <v>305</v>
      </c>
      <c r="C204" s="25">
        <v>0</v>
      </c>
      <c r="D204" s="25">
        <v>0</v>
      </c>
      <c r="E204" s="25">
        <v>0</v>
      </c>
      <c r="F204" s="25">
        <v>0</v>
      </c>
      <c r="G204" s="25">
        <v>0</v>
      </c>
      <c r="H204" s="25">
        <v>0</v>
      </c>
      <c r="I204" s="25">
        <v>0</v>
      </c>
      <c r="J204" s="25">
        <v>0</v>
      </c>
      <c r="K204" s="25">
        <v>0</v>
      </c>
      <c r="L204" s="25">
        <v>0</v>
      </c>
      <c r="M204" s="25">
        <v>0</v>
      </c>
      <c r="N204" s="25">
        <v>0</v>
      </c>
      <c r="O204" s="25">
        <v>0</v>
      </c>
      <c r="P204" s="25">
        <v>0</v>
      </c>
      <c r="Q204" s="25">
        <v>0</v>
      </c>
      <c r="R204" s="25">
        <v>0</v>
      </c>
      <c r="S204" s="25">
        <v>0</v>
      </c>
      <c r="T204" s="25">
        <v>0</v>
      </c>
      <c r="U204" s="25">
        <v>0</v>
      </c>
      <c r="V204" s="25">
        <v>0</v>
      </c>
      <c r="W204" s="25">
        <v>0</v>
      </c>
      <c r="X204" s="25">
        <v>0</v>
      </c>
      <c r="Y204" s="25">
        <v>0</v>
      </c>
      <c r="Z204" s="25">
        <v>0</v>
      </c>
      <c r="AA204" s="25">
        <v>0</v>
      </c>
      <c r="AB204" s="25">
        <v>0</v>
      </c>
      <c r="AC204" s="25">
        <v>0</v>
      </c>
      <c r="AD204" s="25">
        <v>0</v>
      </c>
      <c r="AE204" s="25">
        <v>0</v>
      </c>
      <c r="AF204" s="25">
        <v>0</v>
      </c>
      <c r="AG204" s="25">
        <v>0</v>
      </c>
      <c r="AH204" s="25">
        <v>0</v>
      </c>
      <c r="AI204" s="25">
        <v>0</v>
      </c>
      <c r="AJ204" s="25">
        <v>0</v>
      </c>
    </row>
    <row r="205" spans="1:36" x14ac:dyDescent="0.25">
      <c r="A205" s="77" t="s">
        <v>607</v>
      </c>
      <c r="B205" t="s">
        <v>305</v>
      </c>
      <c r="C205" s="25">
        <v>15</v>
      </c>
      <c r="D205" s="25">
        <v>15</v>
      </c>
      <c r="E205" s="25">
        <v>15</v>
      </c>
      <c r="F205" s="25">
        <v>15</v>
      </c>
      <c r="G205" s="25">
        <v>15</v>
      </c>
      <c r="H205" s="25">
        <v>15</v>
      </c>
      <c r="I205" s="25">
        <v>15</v>
      </c>
      <c r="J205" s="25">
        <v>15</v>
      </c>
      <c r="K205" s="25">
        <v>15</v>
      </c>
      <c r="L205" s="25">
        <v>15</v>
      </c>
      <c r="M205" s="25">
        <v>15</v>
      </c>
      <c r="N205" s="25">
        <v>15</v>
      </c>
      <c r="O205" s="25">
        <v>15</v>
      </c>
      <c r="P205" s="25">
        <v>15</v>
      </c>
      <c r="Q205" s="25">
        <v>15</v>
      </c>
      <c r="R205" s="25">
        <v>15</v>
      </c>
      <c r="S205" s="25">
        <v>15</v>
      </c>
      <c r="T205" s="25">
        <v>15</v>
      </c>
      <c r="U205" s="25">
        <v>15</v>
      </c>
      <c r="V205" s="25">
        <v>15</v>
      </c>
      <c r="W205" s="25">
        <v>15</v>
      </c>
      <c r="X205" s="25">
        <v>15</v>
      </c>
      <c r="Y205" s="25">
        <v>15</v>
      </c>
      <c r="Z205" s="25">
        <v>15</v>
      </c>
      <c r="AA205" s="25">
        <v>15</v>
      </c>
      <c r="AB205" s="25">
        <v>15</v>
      </c>
      <c r="AC205" s="25">
        <v>15</v>
      </c>
      <c r="AD205" s="25">
        <v>15</v>
      </c>
      <c r="AE205" s="25">
        <v>15</v>
      </c>
      <c r="AF205" s="25">
        <v>15</v>
      </c>
      <c r="AG205" s="25">
        <v>15</v>
      </c>
      <c r="AH205" s="25">
        <v>15</v>
      </c>
      <c r="AI205" s="25">
        <v>15</v>
      </c>
      <c r="AJ205" s="25">
        <v>15</v>
      </c>
    </row>
    <row r="206" spans="1:36" x14ac:dyDescent="0.25">
      <c r="A206" s="77" t="s">
        <v>608</v>
      </c>
      <c r="B206" t="s">
        <v>305</v>
      </c>
      <c r="C206" s="25">
        <v>0</v>
      </c>
      <c r="D206" s="25">
        <v>0</v>
      </c>
      <c r="E206" s="25">
        <v>0</v>
      </c>
      <c r="F206" s="25">
        <v>0</v>
      </c>
      <c r="G206" s="25">
        <v>0</v>
      </c>
      <c r="H206" s="25">
        <v>0</v>
      </c>
      <c r="I206" s="25">
        <v>0</v>
      </c>
      <c r="J206" s="25">
        <v>0</v>
      </c>
      <c r="K206" s="25">
        <v>0</v>
      </c>
      <c r="L206" s="25">
        <v>0</v>
      </c>
      <c r="M206" s="25">
        <v>0</v>
      </c>
      <c r="N206" s="25">
        <v>0</v>
      </c>
      <c r="O206" s="25">
        <v>0</v>
      </c>
      <c r="P206" s="25">
        <v>0</v>
      </c>
      <c r="Q206" s="25">
        <v>0</v>
      </c>
      <c r="R206" s="25">
        <v>0</v>
      </c>
      <c r="S206" s="25">
        <v>0</v>
      </c>
      <c r="T206" s="25">
        <v>0</v>
      </c>
      <c r="U206" s="25">
        <v>0</v>
      </c>
      <c r="V206" s="25">
        <v>0</v>
      </c>
      <c r="W206" s="25">
        <v>0</v>
      </c>
      <c r="X206" s="25">
        <v>0</v>
      </c>
      <c r="Y206" s="25">
        <v>0</v>
      </c>
      <c r="Z206" s="25">
        <v>0</v>
      </c>
      <c r="AA206" s="25">
        <v>0</v>
      </c>
      <c r="AB206" s="25">
        <v>0</v>
      </c>
      <c r="AC206" s="25">
        <v>0</v>
      </c>
      <c r="AD206" s="25">
        <v>0</v>
      </c>
      <c r="AE206" s="25">
        <v>0</v>
      </c>
      <c r="AF206" s="25">
        <v>0</v>
      </c>
      <c r="AG206" s="25">
        <v>0</v>
      </c>
      <c r="AH206" s="25">
        <v>0</v>
      </c>
      <c r="AI206" s="25">
        <v>0</v>
      </c>
      <c r="AJ206" s="25">
        <v>0</v>
      </c>
    </row>
    <row r="207" spans="1:36" x14ac:dyDescent="0.25">
      <c r="A207" s="77" t="s">
        <v>766</v>
      </c>
      <c r="B207" t="s">
        <v>305</v>
      </c>
      <c r="C207" s="25">
        <v>0</v>
      </c>
      <c r="D207" s="25">
        <v>0</v>
      </c>
      <c r="E207" s="25">
        <v>0</v>
      </c>
      <c r="F207" s="25">
        <v>0</v>
      </c>
      <c r="G207" s="25">
        <v>0</v>
      </c>
      <c r="H207" s="25">
        <v>0</v>
      </c>
      <c r="I207" s="25">
        <v>0</v>
      </c>
      <c r="J207" s="25">
        <v>0</v>
      </c>
      <c r="K207" s="25">
        <v>0</v>
      </c>
      <c r="L207" s="25">
        <v>0</v>
      </c>
      <c r="M207" s="25">
        <v>0</v>
      </c>
      <c r="N207" s="25">
        <v>0</v>
      </c>
      <c r="O207" s="25">
        <v>0</v>
      </c>
      <c r="P207" s="25">
        <v>0</v>
      </c>
      <c r="Q207" s="25">
        <v>0</v>
      </c>
      <c r="R207" s="25">
        <v>0</v>
      </c>
      <c r="S207" s="25">
        <v>0</v>
      </c>
      <c r="T207" s="25">
        <v>0</v>
      </c>
      <c r="U207" s="25">
        <v>0</v>
      </c>
      <c r="V207" s="25">
        <v>0</v>
      </c>
      <c r="W207" s="25">
        <v>0</v>
      </c>
      <c r="X207" s="25">
        <v>0</v>
      </c>
      <c r="Y207" s="25">
        <v>0</v>
      </c>
      <c r="Z207" s="25">
        <v>0</v>
      </c>
      <c r="AA207" s="25">
        <v>0</v>
      </c>
      <c r="AB207" s="25">
        <v>0</v>
      </c>
      <c r="AC207" s="25">
        <v>0</v>
      </c>
      <c r="AD207" s="25">
        <v>0</v>
      </c>
      <c r="AE207" s="25">
        <v>0</v>
      </c>
      <c r="AF207" s="25">
        <v>0</v>
      </c>
      <c r="AG207" s="25">
        <v>0</v>
      </c>
      <c r="AH207" s="25">
        <v>0</v>
      </c>
      <c r="AI207" s="25">
        <v>0</v>
      </c>
      <c r="AJ207" s="25">
        <v>0</v>
      </c>
    </row>
    <row r="208" spans="1:36" s="78" customFormat="1" x14ac:dyDescent="0.25">
      <c r="A208" s="78" t="s">
        <v>780</v>
      </c>
      <c r="C208" s="79">
        <f>+SUM(C197:C207)</f>
        <v>100</v>
      </c>
      <c r="D208" s="79">
        <f t="shared" ref="D208" si="430">+SUM(D197:D207)</f>
        <v>100</v>
      </c>
      <c r="E208" s="79">
        <f t="shared" ref="E208" si="431">+SUM(E197:E207)</f>
        <v>100</v>
      </c>
      <c r="F208" s="79">
        <f t="shared" ref="F208" si="432">+SUM(F197:F207)</f>
        <v>100</v>
      </c>
      <c r="G208" s="79">
        <f t="shared" ref="G208" si="433">+SUM(G197:G207)</f>
        <v>100</v>
      </c>
      <c r="H208" s="79">
        <f t="shared" ref="H208" si="434">+SUM(H197:H207)</f>
        <v>100</v>
      </c>
      <c r="I208" s="79">
        <f t="shared" ref="I208" si="435">+SUM(I197:I207)</f>
        <v>100</v>
      </c>
      <c r="J208" s="79">
        <f t="shared" ref="J208" si="436">+SUM(J197:J207)</f>
        <v>100</v>
      </c>
      <c r="K208" s="79">
        <f t="shared" ref="K208" si="437">+SUM(K197:K207)</f>
        <v>100</v>
      </c>
      <c r="L208" s="79">
        <f t="shared" ref="L208" si="438">+SUM(L197:L207)</f>
        <v>100</v>
      </c>
      <c r="M208" s="79">
        <f t="shared" ref="M208" si="439">+SUM(M197:M207)</f>
        <v>100</v>
      </c>
      <c r="N208" s="79">
        <f t="shared" ref="N208" si="440">+SUM(N197:N207)</f>
        <v>100</v>
      </c>
      <c r="O208" s="79">
        <f t="shared" ref="O208" si="441">+SUM(O197:O207)</f>
        <v>100</v>
      </c>
      <c r="P208" s="79">
        <f t="shared" ref="P208" si="442">+SUM(P197:P207)</f>
        <v>100</v>
      </c>
      <c r="Q208" s="79">
        <f t="shared" ref="Q208" si="443">+SUM(Q197:Q207)</f>
        <v>100</v>
      </c>
      <c r="R208" s="79">
        <f t="shared" ref="R208" si="444">+SUM(R197:R207)</f>
        <v>100</v>
      </c>
      <c r="S208" s="79">
        <f t="shared" ref="S208" si="445">+SUM(S197:S207)</f>
        <v>100</v>
      </c>
      <c r="T208" s="79">
        <f t="shared" ref="T208" si="446">+SUM(T197:T207)</f>
        <v>100</v>
      </c>
      <c r="U208" s="79">
        <f t="shared" ref="U208" si="447">+SUM(U197:U207)</f>
        <v>100</v>
      </c>
      <c r="V208" s="79">
        <f t="shared" ref="V208" si="448">+SUM(V197:V207)</f>
        <v>100</v>
      </c>
      <c r="W208" s="79">
        <f t="shared" ref="W208" si="449">+SUM(W197:W207)</f>
        <v>100</v>
      </c>
      <c r="X208" s="79">
        <f t="shared" ref="X208" si="450">+SUM(X197:X207)</f>
        <v>100</v>
      </c>
      <c r="Y208" s="79">
        <f t="shared" ref="Y208" si="451">+SUM(Y197:Y207)</f>
        <v>100</v>
      </c>
      <c r="Z208" s="79">
        <f t="shared" ref="Z208" si="452">+SUM(Z197:Z207)</f>
        <v>100</v>
      </c>
      <c r="AA208" s="79">
        <f t="shared" ref="AA208" si="453">+SUM(AA197:AA207)</f>
        <v>100</v>
      </c>
      <c r="AB208" s="79">
        <f t="shared" ref="AB208" si="454">+SUM(AB197:AB207)</f>
        <v>100</v>
      </c>
      <c r="AC208" s="79">
        <f t="shared" ref="AC208" si="455">+SUM(AC197:AC207)</f>
        <v>100</v>
      </c>
      <c r="AD208" s="79">
        <f t="shared" ref="AD208" si="456">+SUM(AD197:AD207)</f>
        <v>100</v>
      </c>
      <c r="AE208" s="79">
        <f t="shared" ref="AE208" si="457">+SUM(AE197:AE207)</f>
        <v>100</v>
      </c>
      <c r="AF208" s="79">
        <f t="shared" ref="AF208" si="458">+SUM(AF197:AF207)</f>
        <v>100</v>
      </c>
      <c r="AG208" s="79">
        <f t="shared" ref="AG208" si="459">+SUM(AG197:AG207)</f>
        <v>100</v>
      </c>
      <c r="AH208" s="79">
        <f t="shared" ref="AH208" si="460">+SUM(AH197:AH207)</f>
        <v>100</v>
      </c>
      <c r="AI208" s="79">
        <f t="shared" ref="AI208" si="461">+SUM(AI197:AI207)</f>
        <v>100</v>
      </c>
      <c r="AJ208" s="79">
        <f t="shared" ref="AJ208" si="462">+SUM(AJ197:AJ207)</f>
        <v>100</v>
      </c>
    </row>
    <row r="209" spans="1:36" x14ac:dyDescent="0.25">
      <c r="A209" t="s">
        <v>609</v>
      </c>
      <c r="B209" t="s">
        <v>305</v>
      </c>
      <c r="C209" s="25">
        <v>0</v>
      </c>
      <c r="D209" s="25">
        <v>0</v>
      </c>
      <c r="E209" s="25">
        <v>0</v>
      </c>
      <c r="F209" s="25">
        <v>0</v>
      </c>
      <c r="G209" s="25">
        <v>0</v>
      </c>
      <c r="H209" s="25">
        <v>0</v>
      </c>
      <c r="I209" s="25">
        <v>0</v>
      </c>
      <c r="J209" s="25">
        <v>0</v>
      </c>
      <c r="K209" s="25">
        <v>0</v>
      </c>
      <c r="L209" s="25">
        <v>0</v>
      </c>
      <c r="M209" s="25">
        <v>0</v>
      </c>
      <c r="N209" s="25">
        <v>0</v>
      </c>
      <c r="O209" s="25">
        <v>0</v>
      </c>
      <c r="P209" s="25">
        <v>0</v>
      </c>
      <c r="Q209" s="25">
        <v>0</v>
      </c>
      <c r="R209" s="25">
        <v>0</v>
      </c>
      <c r="S209" s="25">
        <v>0</v>
      </c>
      <c r="T209" s="25">
        <v>0</v>
      </c>
      <c r="U209" s="25">
        <v>0</v>
      </c>
      <c r="V209" s="25">
        <v>0</v>
      </c>
      <c r="W209" s="25">
        <v>0</v>
      </c>
      <c r="X209" s="25">
        <v>0</v>
      </c>
      <c r="Y209" s="25">
        <v>0</v>
      </c>
      <c r="Z209" s="25">
        <v>0</v>
      </c>
      <c r="AA209" s="25">
        <v>0</v>
      </c>
      <c r="AB209" s="25">
        <v>0</v>
      </c>
      <c r="AC209" s="25">
        <v>0</v>
      </c>
      <c r="AD209" s="25">
        <v>0</v>
      </c>
      <c r="AE209" s="25">
        <v>0</v>
      </c>
      <c r="AF209" s="25">
        <v>0</v>
      </c>
      <c r="AG209" s="25">
        <v>0</v>
      </c>
      <c r="AH209" s="25">
        <v>0</v>
      </c>
      <c r="AI209" s="25">
        <v>0</v>
      </c>
      <c r="AJ209" s="25">
        <v>0</v>
      </c>
    </row>
    <row r="210" spans="1:36" x14ac:dyDescent="0.25">
      <c r="A210" t="s">
        <v>610</v>
      </c>
      <c r="B210" t="s">
        <v>305</v>
      </c>
      <c r="C210" s="25">
        <v>5</v>
      </c>
      <c r="D210" s="25">
        <v>5</v>
      </c>
      <c r="E210" s="25">
        <v>5</v>
      </c>
      <c r="F210" s="25">
        <v>5</v>
      </c>
      <c r="G210" s="25">
        <v>5</v>
      </c>
      <c r="H210" s="25">
        <v>5</v>
      </c>
      <c r="I210" s="25">
        <v>5</v>
      </c>
      <c r="J210" s="25">
        <v>5</v>
      </c>
      <c r="K210" s="25">
        <v>5</v>
      </c>
      <c r="L210" s="25">
        <v>5</v>
      </c>
      <c r="M210" s="25">
        <v>5</v>
      </c>
      <c r="N210" s="25">
        <v>5</v>
      </c>
      <c r="O210" s="25">
        <v>5</v>
      </c>
      <c r="P210" s="25">
        <v>5</v>
      </c>
      <c r="Q210" s="25">
        <v>5</v>
      </c>
      <c r="R210" s="25">
        <v>5</v>
      </c>
      <c r="S210" s="25">
        <v>5</v>
      </c>
      <c r="T210" s="25">
        <v>5</v>
      </c>
      <c r="U210" s="25">
        <v>5</v>
      </c>
      <c r="V210" s="25">
        <v>5</v>
      </c>
      <c r="W210" s="25">
        <v>5</v>
      </c>
      <c r="X210" s="25">
        <v>5</v>
      </c>
      <c r="Y210" s="25">
        <v>5</v>
      </c>
      <c r="Z210" s="25">
        <v>5</v>
      </c>
      <c r="AA210" s="25">
        <v>5</v>
      </c>
      <c r="AB210" s="25">
        <v>5</v>
      </c>
      <c r="AC210" s="25">
        <v>5</v>
      </c>
      <c r="AD210" s="25">
        <v>5</v>
      </c>
      <c r="AE210" s="25">
        <v>5</v>
      </c>
      <c r="AF210" s="25">
        <v>5</v>
      </c>
      <c r="AG210" s="25">
        <v>5</v>
      </c>
      <c r="AH210" s="25">
        <v>5</v>
      </c>
      <c r="AI210" s="25">
        <v>5</v>
      </c>
      <c r="AJ210" s="25">
        <v>5</v>
      </c>
    </row>
    <row r="211" spans="1:36" x14ac:dyDescent="0.25">
      <c r="A211" t="s">
        <v>611</v>
      </c>
      <c r="B211" t="s">
        <v>305</v>
      </c>
      <c r="C211" s="25">
        <v>70</v>
      </c>
      <c r="D211" s="25">
        <v>70</v>
      </c>
      <c r="E211" s="25">
        <v>70</v>
      </c>
      <c r="F211" s="25">
        <v>70</v>
      </c>
      <c r="G211" s="25">
        <v>70</v>
      </c>
      <c r="H211" s="25">
        <v>70</v>
      </c>
      <c r="I211" s="25">
        <v>70</v>
      </c>
      <c r="J211" s="25">
        <v>70</v>
      </c>
      <c r="K211" s="25">
        <v>70</v>
      </c>
      <c r="L211" s="25">
        <v>70</v>
      </c>
      <c r="M211" s="25">
        <v>70</v>
      </c>
      <c r="N211" s="25">
        <v>70</v>
      </c>
      <c r="O211" s="25">
        <v>70</v>
      </c>
      <c r="P211" s="25">
        <v>70</v>
      </c>
      <c r="Q211" s="25">
        <v>70</v>
      </c>
      <c r="R211" s="25">
        <v>70</v>
      </c>
      <c r="S211" s="25">
        <v>70</v>
      </c>
      <c r="T211" s="25">
        <v>70</v>
      </c>
      <c r="U211" s="25">
        <v>70</v>
      </c>
      <c r="V211" s="25">
        <v>70</v>
      </c>
      <c r="W211" s="25">
        <v>70</v>
      </c>
      <c r="X211" s="25">
        <v>70</v>
      </c>
      <c r="Y211" s="25">
        <v>70</v>
      </c>
      <c r="Z211" s="25">
        <v>70</v>
      </c>
      <c r="AA211" s="25">
        <v>70</v>
      </c>
      <c r="AB211" s="25">
        <v>70</v>
      </c>
      <c r="AC211" s="25">
        <v>70</v>
      </c>
      <c r="AD211" s="25">
        <v>70</v>
      </c>
      <c r="AE211" s="25">
        <v>70</v>
      </c>
      <c r="AF211" s="25">
        <v>70</v>
      </c>
      <c r="AG211" s="25">
        <v>70</v>
      </c>
      <c r="AH211" s="25">
        <v>70</v>
      </c>
      <c r="AI211" s="25">
        <v>70</v>
      </c>
      <c r="AJ211" s="25">
        <v>70</v>
      </c>
    </row>
    <row r="212" spans="1:36" x14ac:dyDescent="0.25">
      <c r="A212" t="s">
        <v>612</v>
      </c>
      <c r="B212" t="s">
        <v>305</v>
      </c>
      <c r="C212" s="25">
        <v>0</v>
      </c>
      <c r="D212" s="25">
        <v>0</v>
      </c>
      <c r="E212" s="25">
        <v>0</v>
      </c>
      <c r="F212" s="25">
        <v>0</v>
      </c>
      <c r="G212" s="25">
        <v>0</v>
      </c>
      <c r="H212" s="25">
        <v>0</v>
      </c>
      <c r="I212" s="25">
        <v>0</v>
      </c>
      <c r="J212" s="25">
        <v>0</v>
      </c>
      <c r="K212" s="25">
        <v>0</v>
      </c>
      <c r="L212" s="25">
        <v>0</v>
      </c>
      <c r="M212" s="25">
        <v>0</v>
      </c>
      <c r="N212" s="25">
        <v>0</v>
      </c>
      <c r="O212" s="25">
        <v>0</v>
      </c>
      <c r="P212" s="25">
        <v>0</v>
      </c>
      <c r="Q212" s="25">
        <v>0</v>
      </c>
      <c r="R212" s="25">
        <v>0</v>
      </c>
      <c r="S212" s="25">
        <v>0</v>
      </c>
      <c r="T212" s="25">
        <v>0</v>
      </c>
      <c r="U212" s="25">
        <v>0</v>
      </c>
      <c r="V212" s="25">
        <v>0</v>
      </c>
      <c r="W212" s="25">
        <v>0</v>
      </c>
      <c r="X212" s="25">
        <v>0</v>
      </c>
      <c r="Y212" s="25">
        <v>0</v>
      </c>
      <c r="Z212" s="25">
        <v>0</v>
      </c>
      <c r="AA212" s="25">
        <v>0</v>
      </c>
      <c r="AB212" s="25">
        <v>0</v>
      </c>
      <c r="AC212" s="25">
        <v>0</v>
      </c>
      <c r="AD212" s="25">
        <v>0</v>
      </c>
      <c r="AE212" s="25">
        <v>0</v>
      </c>
      <c r="AF212" s="25">
        <v>0</v>
      </c>
      <c r="AG212" s="25">
        <v>0</v>
      </c>
      <c r="AH212" s="25">
        <v>0</v>
      </c>
      <c r="AI212" s="25">
        <v>0</v>
      </c>
      <c r="AJ212" s="25">
        <v>0</v>
      </c>
    </row>
    <row r="213" spans="1:36" x14ac:dyDescent="0.25">
      <c r="A213" t="s">
        <v>613</v>
      </c>
      <c r="B213" t="s">
        <v>305</v>
      </c>
      <c r="C213" s="25">
        <v>5</v>
      </c>
      <c r="D213" s="25">
        <v>5</v>
      </c>
      <c r="E213" s="25">
        <v>5</v>
      </c>
      <c r="F213" s="25">
        <v>5</v>
      </c>
      <c r="G213" s="25">
        <v>5</v>
      </c>
      <c r="H213" s="25">
        <v>5</v>
      </c>
      <c r="I213" s="25">
        <v>5</v>
      </c>
      <c r="J213" s="25">
        <v>5</v>
      </c>
      <c r="K213" s="25">
        <v>5</v>
      </c>
      <c r="L213" s="25">
        <v>5</v>
      </c>
      <c r="M213" s="25">
        <v>5</v>
      </c>
      <c r="N213" s="25">
        <v>5</v>
      </c>
      <c r="O213" s="25">
        <v>5</v>
      </c>
      <c r="P213" s="25">
        <v>5</v>
      </c>
      <c r="Q213" s="25">
        <v>5</v>
      </c>
      <c r="R213" s="25">
        <v>5</v>
      </c>
      <c r="S213" s="25">
        <v>5</v>
      </c>
      <c r="T213" s="25">
        <v>5</v>
      </c>
      <c r="U213" s="25">
        <v>5</v>
      </c>
      <c r="V213" s="25">
        <v>5</v>
      </c>
      <c r="W213" s="25">
        <v>5</v>
      </c>
      <c r="X213" s="25">
        <v>5</v>
      </c>
      <c r="Y213" s="25">
        <v>5</v>
      </c>
      <c r="Z213" s="25">
        <v>5</v>
      </c>
      <c r="AA213" s="25">
        <v>5</v>
      </c>
      <c r="AB213" s="25">
        <v>5</v>
      </c>
      <c r="AC213" s="25">
        <v>5</v>
      </c>
      <c r="AD213" s="25">
        <v>5</v>
      </c>
      <c r="AE213" s="25">
        <v>5</v>
      </c>
      <c r="AF213" s="25">
        <v>5</v>
      </c>
      <c r="AG213" s="25">
        <v>5</v>
      </c>
      <c r="AH213" s="25">
        <v>5</v>
      </c>
      <c r="AI213" s="25">
        <v>5</v>
      </c>
      <c r="AJ213" s="25">
        <v>5</v>
      </c>
    </row>
    <row r="214" spans="1:36" x14ac:dyDescent="0.25">
      <c r="A214" t="s">
        <v>614</v>
      </c>
      <c r="B214" t="s">
        <v>305</v>
      </c>
      <c r="C214" s="25">
        <v>10</v>
      </c>
      <c r="D214" s="25">
        <v>10</v>
      </c>
      <c r="E214" s="25">
        <v>10</v>
      </c>
      <c r="F214" s="25">
        <v>10</v>
      </c>
      <c r="G214" s="25">
        <v>10</v>
      </c>
      <c r="H214" s="25">
        <v>10</v>
      </c>
      <c r="I214" s="25">
        <v>10</v>
      </c>
      <c r="J214" s="25">
        <v>10</v>
      </c>
      <c r="K214" s="25">
        <v>10</v>
      </c>
      <c r="L214" s="25">
        <v>10</v>
      </c>
      <c r="M214" s="25">
        <v>10</v>
      </c>
      <c r="N214" s="25">
        <v>10</v>
      </c>
      <c r="O214" s="25">
        <v>10</v>
      </c>
      <c r="P214" s="25">
        <v>10</v>
      </c>
      <c r="Q214" s="25">
        <v>10</v>
      </c>
      <c r="R214" s="25">
        <v>10</v>
      </c>
      <c r="S214" s="25">
        <v>10</v>
      </c>
      <c r="T214" s="25">
        <v>10</v>
      </c>
      <c r="U214" s="25">
        <v>10</v>
      </c>
      <c r="V214" s="25">
        <v>10</v>
      </c>
      <c r="W214" s="25">
        <v>10</v>
      </c>
      <c r="X214" s="25">
        <v>10</v>
      </c>
      <c r="Y214" s="25">
        <v>10</v>
      </c>
      <c r="Z214" s="25">
        <v>10</v>
      </c>
      <c r="AA214" s="25">
        <v>10</v>
      </c>
      <c r="AB214" s="25">
        <v>10</v>
      </c>
      <c r="AC214" s="25">
        <v>10</v>
      </c>
      <c r="AD214" s="25">
        <v>10</v>
      </c>
      <c r="AE214" s="25">
        <v>10</v>
      </c>
      <c r="AF214" s="25">
        <v>10</v>
      </c>
      <c r="AG214" s="25">
        <v>10</v>
      </c>
      <c r="AH214" s="25">
        <v>10</v>
      </c>
      <c r="AI214" s="25">
        <v>10</v>
      </c>
      <c r="AJ214" s="25">
        <v>10</v>
      </c>
    </row>
    <row r="215" spans="1:36" x14ac:dyDescent="0.25">
      <c r="A215" t="s">
        <v>615</v>
      </c>
      <c r="B215" t="s">
        <v>305</v>
      </c>
      <c r="C215" s="25">
        <v>0</v>
      </c>
      <c r="D215" s="25">
        <v>0</v>
      </c>
      <c r="E215" s="25">
        <v>0</v>
      </c>
      <c r="F215" s="25">
        <v>0</v>
      </c>
      <c r="G215" s="25">
        <v>0</v>
      </c>
      <c r="H215" s="25">
        <v>0</v>
      </c>
      <c r="I215" s="25">
        <v>0</v>
      </c>
      <c r="J215" s="25">
        <v>0</v>
      </c>
      <c r="K215" s="25">
        <v>0</v>
      </c>
      <c r="L215" s="25">
        <v>0</v>
      </c>
      <c r="M215" s="25">
        <v>0</v>
      </c>
      <c r="N215" s="25">
        <v>0</v>
      </c>
      <c r="O215" s="25">
        <v>0</v>
      </c>
      <c r="P215" s="25">
        <v>0</v>
      </c>
      <c r="Q215" s="25">
        <v>0</v>
      </c>
      <c r="R215" s="25">
        <v>0</v>
      </c>
      <c r="S215" s="25">
        <v>0</v>
      </c>
      <c r="T215" s="25">
        <v>0</v>
      </c>
      <c r="U215" s="25">
        <v>0</v>
      </c>
      <c r="V215" s="25">
        <v>0</v>
      </c>
      <c r="W215" s="25">
        <v>0</v>
      </c>
      <c r="X215" s="25">
        <v>0</v>
      </c>
      <c r="Y215" s="25">
        <v>0</v>
      </c>
      <c r="Z215" s="25">
        <v>0</v>
      </c>
      <c r="AA215" s="25">
        <v>0</v>
      </c>
      <c r="AB215" s="25">
        <v>0</v>
      </c>
      <c r="AC215" s="25">
        <v>0</v>
      </c>
      <c r="AD215" s="25">
        <v>0</v>
      </c>
      <c r="AE215" s="25">
        <v>0</v>
      </c>
      <c r="AF215" s="25">
        <v>0</v>
      </c>
      <c r="AG215" s="25">
        <v>0</v>
      </c>
      <c r="AH215" s="25">
        <v>0</v>
      </c>
      <c r="AI215" s="25">
        <v>0</v>
      </c>
      <c r="AJ215" s="25">
        <v>0</v>
      </c>
    </row>
    <row r="216" spans="1:36" x14ac:dyDescent="0.25">
      <c r="A216" t="s">
        <v>616</v>
      </c>
      <c r="B216" t="s">
        <v>305</v>
      </c>
      <c r="C216" s="25">
        <v>10</v>
      </c>
      <c r="D216" s="25">
        <v>10</v>
      </c>
      <c r="E216" s="25">
        <v>10</v>
      </c>
      <c r="F216" s="25">
        <v>10</v>
      </c>
      <c r="G216" s="25">
        <v>10</v>
      </c>
      <c r="H216" s="25">
        <v>10</v>
      </c>
      <c r="I216" s="25">
        <v>10</v>
      </c>
      <c r="J216" s="25">
        <v>10</v>
      </c>
      <c r="K216" s="25">
        <v>10</v>
      </c>
      <c r="L216" s="25">
        <v>10</v>
      </c>
      <c r="M216" s="25">
        <v>10</v>
      </c>
      <c r="N216" s="25">
        <v>10</v>
      </c>
      <c r="O216" s="25">
        <v>10</v>
      </c>
      <c r="P216" s="25">
        <v>10</v>
      </c>
      <c r="Q216" s="25">
        <v>10</v>
      </c>
      <c r="R216" s="25">
        <v>10</v>
      </c>
      <c r="S216" s="25">
        <v>10</v>
      </c>
      <c r="T216" s="25">
        <v>10</v>
      </c>
      <c r="U216" s="25">
        <v>10</v>
      </c>
      <c r="V216" s="25">
        <v>10</v>
      </c>
      <c r="W216" s="25">
        <v>10</v>
      </c>
      <c r="X216" s="25">
        <v>10</v>
      </c>
      <c r="Y216" s="25">
        <v>10</v>
      </c>
      <c r="Z216" s="25">
        <v>10</v>
      </c>
      <c r="AA216" s="25">
        <v>10</v>
      </c>
      <c r="AB216" s="25">
        <v>10</v>
      </c>
      <c r="AC216" s="25">
        <v>10</v>
      </c>
      <c r="AD216" s="25">
        <v>10</v>
      </c>
      <c r="AE216" s="25">
        <v>10</v>
      </c>
      <c r="AF216" s="25">
        <v>10</v>
      </c>
      <c r="AG216" s="25">
        <v>10</v>
      </c>
      <c r="AH216" s="25">
        <v>10</v>
      </c>
      <c r="AI216" s="25">
        <v>10</v>
      </c>
      <c r="AJ216" s="25">
        <v>10</v>
      </c>
    </row>
    <row r="217" spans="1:36" x14ac:dyDescent="0.25">
      <c r="A217" t="s">
        <v>617</v>
      </c>
      <c r="B217" t="s">
        <v>305</v>
      </c>
      <c r="C217" s="25">
        <v>0</v>
      </c>
      <c r="D217" s="25">
        <v>0</v>
      </c>
      <c r="E217" s="25">
        <v>0</v>
      </c>
      <c r="F217" s="25">
        <v>0</v>
      </c>
      <c r="G217" s="25">
        <v>0</v>
      </c>
      <c r="H217" s="25">
        <v>0</v>
      </c>
      <c r="I217" s="25">
        <v>0</v>
      </c>
      <c r="J217" s="25">
        <v>0</v>
      </c>
      <c r="K217" s="25">
        <v>0</v>
      </c>
      <c r="L217" s="25">
        <v>0</v>
      </c>
      <c r="M217" s="25">
        <v>0</v>
      </c>
      <c r="N217" s="25">
        <v>0</v>
      </c>
      <c r="O217" s="25">
        <v>0</v>
      </c>
      <c r="P217" s="25">
        <v>0</v>
      </c>
      <c r="Q217" s="25">
        <v>0</v>
      </c>
      <c r="R217" s="25">
        <v>0</v>
      </c>
      <c r="S217" s="25">
        <v>0</v>
      </c>
      <c r="T217" s="25">
        <v>0</v>
      </c>
      <c r="U217" s="25">
        <v>0</v>
      </c>
      <c r="V217" s="25">
        <v>0</v>
      </c>
      <c r="W217" s="25">
        <v>0</v>
      </c>
      <c r="X217" s="25">
        <v>0</v>
      </c>
      <c r="Y217" s="25">
        <v>0</v>
      </c>
      <c r="Z217" s="25">
        <v>0</v>
      </c>
      <c r="AA217" s="25">
        <v>0</v>
      </c>
      <c r="AB217" s="25">
        <v>0</v>
      </c>
      <c r="AC217" s="25">
        <v>0</v>
      </c>
      <c r="AD217" s="25">
        <v>0</v>
      </c>
      <c r="AE217" s="25">
        <v>0</v>
      </c>
      <c r="AF217" s="25">
        <v>0</v>
      </c>
      <c r="AG217" s="25">
        <v>0</v>
      </c>
      <c r="AH217" s="25">
        <v>0</v>
      </c>
      <c r="AI217" s="25">
        <v>0</v>
      </c>
      <c r="AJ217" s="25">
        <v>0</v>
      </c>
    </row>
    <row r="218" spans="1:36" x14ac:dyDescent="0.25">
      <c r="A218" t="s">
        <v>618</v>
      </c>
      <c r="B218" t="s">
        <v>305</v>
      </c>
      <c r="C218" s="25">
        <v>0</v>
      </c>
      <c r="D218" s="25">
        <v>0</v>
      </c>
      <c r="E218" s="25">
        <v>0</v>
      </c>
      <c r="F218" s="25">
        <v>0</v>
      </c>
      <c r="G218" s="25">
        <v>0</v>
      </c>
      <c r="H218" s="25">
        <v>0</v>
      </c>
      <c r="I218" s="25">
        <v>0</v>
      </c>
      <c r="J218" s="25">
        <v>0</v>
      </c>
      <c r="K218" s="25">
        <v>0</v>
      </c>
      <c r="L218" s="25">
        <v>0</v>
      </c>
      <c r="M218" s="25">
        <v>0</v>
      </c>
      <c r="N218" s="25">
        <v>0</v>
      </c>
      <c r="O218" s="25">
        <v>0</v>
      </c>
      <c r="P218" s="25">
        <v>0</v>
      </c>
      <c r="Q218" s="25">
        <v>0</v>
      </c>
      <c r="R218" s="25">
        <v>0</v>
      </c>
      <c r="S218" s="25">
        <v>0</v>
      </c>
      <c r="T218" s="25">
        <v>0</v>
      </c>
      <c r="U218" s="25">
        <v>0</v>
      </c>
      <c r="V218" s="25">
        <v>0</v>
      </c>
      <c r="W218" s="25">
        <v>0</v>
      </c>
      <c r="X218" s="25">
        <v>0</v>
      </c>
      <c r="Y218" s="25">
        <v>0</v>
      </c>
      <c r="Z218" s="25">
        <v>0</v>
      </c>
      <c r="AA218" s="25">
        <v>0</v>
      </c>
      <c r="AB218" s="25">
        <v>0</v>
      </c>
      <c r="AC218" s="25">
        <v>0</v>
      </c>
      <c r="AD218" s="25">
        <v>0</v>
      </c>
      <c r="AE218" s="25">
        <v>0</v>
      </c>
      <c r="AF218" s="25">
        <v>0</v>
      </c>
      <c r="AG218" s="25">
        <v>0</v>
      </c>
      <c r="AH218" s="25">
        <v>0</v>
      </c>
      <c r="AI218" s="25">
        <v>0</v>
      </c>
      <c r="AJ218" s="25">
        <v>0</v>
      </c>
    </row>
    <row r="219" spans="1:36" x14ac:dyDescent="0.25">
      <c r="A219" t="s">
        <v>767</v>
      </c>
      <c r="B219" t="s">
        <v>305</v>
      </c>
      <c r="C219" s="25">
        <v>0</v>
      </c>
      <c r="D219" s="25">
        <v>0</v>
      </c>
      <c r="E219" s="25">
        <v>0</v>
      </c>
      <c r="F219" s="25">
        <v>0</v>
      </c>
      <c r="G219" s="25">
        <v>0</v>
      </c>
      <c r="H219" s="25">
        <v>0</v>
      </c>
      <c r="I219" s="25">
        <v>0</v>
      </c>
      <c r="J219" s="25">
        <v>0</v>
      </c>
      <c r="K219" s="25">
        <v>0</v>
      </c>
      <c r="L219" s="25">
        <v>0</v>
      </c>
      <c r="M219" s="25">
        <v>0</v>
      </c>
      <c r="N219" s="25">
        <v>0</v>
      </c>
      <c r="O219" s="25">
        <v>0</v>
      </c>
      <c r="P219" s="25">
        <v>0</v>
      </c>
      <c r="Q219" s="25">
        <v>0</v>
      </c>
      <c r="R219" s="25">
        <v>0</v>
      </c>
      <c r="S219" s="25">
        <v>0</v>
      </c>
      <c r="T219" s="25">
        <v>0</v>
      </c>
      <c r="U219" s="25">
        <v>0</v>
      </c>
      <c r="V219" s="25">
        <v>0</v>
      </c>
      <c r="W219" s="25">
        <v>0</v>
      </c>
      <c r="X219" s="25">
        <v>0</v>
      </c>
      <c r="Y219" s="25">
        <v>0</v>
      </c>
      <c r="Z219" s="25">
        <v>0</v>
      </c>
      <c r="AA219" s="25">
        <v>0</v>
      </c>
      <c r="AB219" s="25">
        <v>0</v>
      </c>
      <c r="AC219" s="25">
        <v>0</v>
      </c>
      <c r="AD219" s="25">
        <v>0</v>
      </c>
      <c r="AE219" s="25">
        <v>0</v>
      </c>
      <c r="AF219" s="25">
        <v>0</v>
      </c>
      <c r="AG219" s="25">
        <v>0</v>
      </c>
      <c r="AH219" s="25">
        <v>0</v>
      </c>
      <c r="AI219" s="25">
        <v>0</v>
      </c>
      <c r="AJ219" s="25">
        <v>0</v>
      </c>
    </row>
    <row r="220" spans="1:36" s="78" customFormat="1" x14ac:dyDescent="0.25">
      <c r="A220" s="78" t="s">
        <v>780</v>
      </c>
      <c r="C220" s="79">
        <f>+SUM(C209:C219)</f>
        <v>100</v>
      </c>
      <c r="D220" s="79">
        <f t="shared" ref="D220" si="463">+SUM(D209:D219)</f>
        <v>100</v>
      </c>
      <c r="E220" s="79">
        <f t="shared" ref="E220" si="464">+SUM(E209:E219)</f>
        <v>100</v>
      </c>
      <c r="F220" s="79">
        <f t="shared" ref="F220" si="465">+SUM(F209:F219)</f>
        <v>100</v>
      </c>
      <c r="G220" s="79">
        <f t="shared" ref="G220" si="466">+SUM(G209:G219)</f>
        <v>100</v>
      </c>
      <c r="H220" s="79">
        <f t="shared" ref="H220" si="467">+SUM(H209:H219)</f>
        <v>100</v>
      </c>
      <c r="I220" s="79">
        <f t="shared" ref="I220" si="468">+SUM(I209:I219)</f>
        <v>100</v>
      </c>
      <c r="J220" s="79">
        <f t="shared" ref="J220" si="469">+SUM(J209:J219)</f>
        <v>100</v>
      </c>
      <c r="K220" s="79">
        <f t="shared" ref="K220" si="470">+SUM(K209:K219)</f>
        <v>100</v>
      </c>
      <c r="L220" s="79">
        <f t="shared" ref="L220" si="471">+SUM(L209:L219)</f>
        <v>100</v>
      </c>
      <c r="M220" s="79">
        <f t="shared" ref="M220" si="472">+SUM(M209:M219)</f>
        <v>100</v>
      </c>
      <c r="N220" s="79">
        <f t="shared" ref="N220" si="473">+SUM(N209:N219)</f>
        <v>100</v>
      </c>
      <c r="O220" s="79">
        <f t="shared" ref="O220" si="474">+SUM(O209:O219)</f>
        <v>100</v>
      </c>
      <c r="P220" s="79">
        <f t="shared" ref="P220" si="475">+SUM(P209:P219)</f>
        <v>100</v>
      </c>
      <c r="Q220" s="79">
        <f t="shared" ref="Q220" si="476">+SUM(Q209:Q219)</f>
        <v>100</v>
      </c>
      <c r="R220" s="79">
        <f t="shared" ref="R220" si="477">+SUM(R209:R219)</f>
        <v>100</v>
      </c>
      <c r="S220" s="79">
        <f t="shared" ref="S220" si="478">+SUM(S209:S219)</f>
        <v>100</v>
      </c>
      <c r="T220" s="79">
        <f t="shared" ref="T220" si="479">+SUM(T209:T219)</f>
        <v>100</v>
      </c>
      <c r="U220" s="79">
        <f t="shared" ref="U220" si="480">+SUM(U209:U219)</f>
        <v>100</v>
      </c>
      <c r="V220" s="79">
        <f t="shared" ref="V220" si="481">+SUM(V209:V219)</f>
        <v>100</v>
      </c>
      <c r="W220" s="79">
        <f t="shared" ref="W220" si="482">+SUM(W209:W219)</f>
        <v>100</v>
      </c>
      <c r="X220" s="79">
        <f t="shared" ref="X220" si="483">+SUM(X209:X219)</f>
        <v>100</v>
      </c>
      <c r="Y220" s="79">
        <f t="shared" ref="Y220" si="484">+SUM(Y209:Y219)</f>
        <v>100</v>
      </c>
      <c r="Z220" s="79">
        <f t="shared" ref="Z220" si="485">+SUM(Z209:Z219)</f>
        <v>100</v>
      </c>
      <c r="AA220" s="79">
        <f t="shared" ref="AA220" si="486">+SUM(AA209:AA219)</f>
        <v>100</v>
      </c>
      <c r="AB220" s="79">
        <f t="shared" ref="AB220" si="487">+SUM(AB209:AB219)</f>
        <v>100</v>
      </c>
      <c r="AC220" s="79">
        <f t="shared" ref="AC220" si="488">+SUM(AC209:AC219)</f>
        <v>100</v>
      </c>
      <c r="AD220" s="79">
        <f t="shared" ref="AD220" si="489">+SUM(AD209:AD219)</f>
        <v>100</v>
      </c>
      <c r="AE220" s="79">
        <f t="shared" ref="AE220" si="490">+SUM(AE209:AE219)</f>
        <v>100</v>
      </c>
      <c r="AF220" s="79">
        <f t="shared" ref="AF220" si="491">+SUM(AF209:AF219)</f>
        <v>100</v>
      </c>
      <c r="AG220" s="79">
        <f t="shared" ref="AG220" si="492">+SUM(AG209:AG219)</f>
        <v>100</v>
      </c>
      <c r="AH220" s="79">
        <f t="shared" ref="AH220" si="493">+SUM(AH209:AH219)</f>
        <v>100</v>
      </c>
      <c r="AI220" s="79">
        <f t="shared" ref="AI220" si="494">+SUM(AI209:AI219)</f>
        <v>100</v>
      </c>
      <c r="AJ220" s="79">
        <f t="shared" ref="AJ220" si="495">+SUM(AJ209:AJ219)</f>
        <v>100</v>
      </c>
    </row>
    <row r="221" spans="1:36" x14ac:dyDescent="0.25">
      <c r="A221" t="s">
        <v>619</v>
      </c>
      <c r="B221" t="s">
        <v>305</v>
      </c>
      <c r="C221" s="25">
        <v>0</v>
      </c>
      <c r="D221" s="25">
        <v>0</v>
      </c>
      <c r="E221" s="25">
        <v>0</v>
      </c>
      <c r="F221" s="25">
        <v>0</v>
      </c>
      <c r="G221" s="25">
        <v>0</v>
      </c>
      <c r="H221" s="25">
        <v>0</v>
      </c>
      <c r="I221" s="25">
        <v>0</v>
      </c>
      <c r="J221" s="25">
        <v>0</v>
      </c>
      <c r="K221" s="25">
        <v>0</v>
      </c>
      <c r="L221" s="25">
        <v>0</v>
      </c>
      <c r="M221" s="25">
        <v>0</v>
      </c>
      <c r="N221" s="25">
        <v>0</v>
      </c>
      <c r="O221" s="25">
        <v>0</v>
      </c>
      <c r="P221" s="25">
        <v>0</v>
      </c>
      <c r="Q221" s="25">
        <v>0</v>
      </c>
      <c r="R221" s="25">
        <v>0</v>
      </c>
      <c r="S221" s="25">
        <v>0</v>
      </c>
      <c r="T221" s="25">
        <v>0</v>
      </c>
      <c r="U221" s="25">
        <v>0</v>
      </c>
      <c r="V221" s="25">
        <v>0</v>
      </c>
      <c r="W221" s="25">
        <v>0</v>
      </c>
      <c r="X221" s="25">
        <v>0</v>
      </c>
      <c r="Y221" s="25">
        <v>0</v>
      </c>
      <c r="Z221" s="25">
        <v>0</v>
      </c>
      <c r="AA221" s="25">
        <v>0</v>
      </c>
      <c r="AB221" s="25">
        <v>0</v>
      </c>
      <c r="AC221" s="25">
        <v>0</v>
      </c>
      <c r="AD221" s="25">
        <v>0</v>
      </c>
      <c r="AE221" s="25">
        <v>0</v>
      </c>
      <c r="AF221" s="25">
        <v>0</v>
      </c>
      <c r="AG221" s="25">
        <v>0</v>
      </c>
      <c r="AH221" s="25">
        <v>0</v>
      </c>
      <c r="AI221" s="25">
        <v>0</v>
      </c>
      <c r="AJ221" s="25">
        <v>0</v>
      </c>
    </row>
    <row r="222" spans="1:36" x14ac:dyDescent="0.25">
      <c r="A222" t="s">
        <v>620</v>
      </c>
      <c r="B222" t="s">
        <v>305</v>
      </c>
      <c r="C222" s="25">
        <v>0</v>
      </c>
      <c r="D222" s="25">
        <v>0</v>
      </c>
      <c r="E222" s="25">
        <v>0</v>
      </c>
      <c r="F222" s="25">
        <v>0</v>
      </c>
      <c r="G222" s="25">
        <v>0</v>
      </c>
      <c r="H222" s="25">
        <v>0</v>
      </c>
      <c r="I222" s="25">
        <v>0</v>
      </c>
      <c r="J222" s="25">
        <v>0</v>
      </c>
      <c r="K222" s="25">
        <v>0</v>
      </c>
      <c r="L222" s="25">
        <v>0</v>
      </c>
      <c r="M222" s="25">
        <v>0</v>
      </c>
      <c r="N222" s="25">
        <v>0</v>
      </c>
      <c r="O222" s="25">
        <v>0</v>
      </c>
      <c r="P222" s="25">
        <v>0</v>
      </c>
      <c r="Q222" s="25">
        <v>0</v>
      </c>
      <c r="R222" s="25">
        <v>0</v>
      </c>
      <c r="S222" s="25">
        <v>0</v>
      </c>
      <c r="T222" s="25">
        <v>0</v>
      </c>
      <c r="U222" s="25">
        <v>0</v>
      </c>
      <c r="V222" s="25">
        <v>0</v>
      </c>
      <c r="W222" s="25">
        <v>0</v>
      </c>
      <c r="X222" s="25">
        <v>0</v>
      </c>
      <c r="Y222" s="25">
        <v>0</v>
      </c>
      <c r="Z222" s="25">
        <v>0</v>
      </c>
      <c r="AA222" s="25">
        <v>0</v>
      </c>
      <c r="AB222" s="25">
        <v>0</v>
      </c>
      <c r="AC222" s="25">
        <v>0</v>
      </c>
      <c r="AD222" s="25">
        <v>0</v>
      </c>
      <c r="AE222" s="25">
        <v>0</v>
      </c>
      <c r="AF222" s="25">
        <v>0</v>
      </c>
      <c r="AG222" s="25">
        <v>0</v>
      </c>
      <c r="AH222" s="25">
        <v>0</v>
      </c>
      <c r="AI222" s="25">
        <v>0</v>
      </c>
      <c r="AJ222" s="25">
        <v>0</v>
      </c>
    </row>
    <row r="223" spans="1:36" x14ac:dyDescent="0.25">
      <c r="A223" t="s">
        <v>621</v>
      </c>
      <c r="B223" t="s">
        <v>305</v>
      </c>
      <c r="C223" s="25">
        <v>80</v>
      </c>
      <c r="D223" s="25">
        <v>80</v>
      </c>
      <c r="E223" s="25">
        <v>80</v>
      </c>
      <c r="F223" s="25">
        <v>80</v>
      </c>
      <c r="G223" s="25">
        <v>80</v>
      </c>
      <c r="H223" s="25">
        <v>80</v>
      </c>
      <c r="I223" s="25">
        <v>80</v>
      </c>
      <c r="J223" s="25">
        <v>80</v>
      </c>
      <c r="K223" s="25">
        <v>80</v>
      </c>
      <c r="L223" s="25">
        <v>80</v>
      </c>
      <c r="M223" s="25">
        <v>80</v>
      </c>
      <c r="N223" s="25">
        <v>80</v>
      </c>
      <c r="O223" s="25">
        <v>80</v>
      </c>
      <c r="P223" s="25">
        <v>80</v>
      </c>
      <c r="Q223" s="25">
        <v>80</v>
      </c>
      <c r="R223" s="25">
        <v>80</v>
      </c>
      <c r="S223" s="25">
        <v>80</v>
      </c>
      <c r="T223" s="25">
        <v>80</v>
      </c>
      <c r="U223" s="25">
        <v>80</v>
      </c>
      <c r="V223" s="25">
        <v>80</v>
      </c>
      <c r="W223" s="25">
        <v>80</v>
      </c>
      <c r="X223" s="25">
        <v>80</v>
      </c>
      <c r="Y223" s="25">
        <v>80</v>
      </c>
      <c r="Z223" s="25">
        <v>80</v>
      </c>
      <c r="AA223" s="25">
        <v>80</v>
      </c>
      <c r="AB223" s="25">
        <v>80</v>
      </c>
      <c r="AC223" s="25">
        <v>80</v>
      </c>
      <c r="AD223" s="25">
        <v>80</v>
      </c>
      <c r="AE223" s="25">
        <v>80</v>
      </c>
      <c r="AF223" s="25">
        <v>80</v>
      </c>
      <c r="AG223" s="25">
        <v>80</v>
      </c>
      <c r="AH223" s="25">
        <v>80</v>
      </c>
      <c r="AI223" s="25">
        <v>80</v>
      </c>
      <c r="AJ223" s="25">
        <v>80</v>
      </c>
    </row>
    <row r="224" spans="1:36" x14ac:dyDescent="0.25">
      <c r="A224" t="s">
        <v>622</v>
      </c>
      <c r="B224" t="s">
        <v>305</v>
      </c>
      <c r="C224" s="25">
        <v>0</v>
      </c>
      <c r="D224" s="25">
        <v>0</v>
      </c>
      <c r="E224" s="25">
        <v>0</v>
      </c>
      <c r="F224" s="25">
        <v>0</v>
      </c>
      <c r="G224" s="25">
        <v>0</v>
      </c>
      <c r="H224" s="25">
        <v>0</v>
      </c>
      <c r="I224" s="25">
        <v>0</v>
      </c>
      <c r="J224" s="25">
        <v>0</v>
      </c>
      <c r="K224" s="25">
        <v>0</v>
      </c>
      <c r="L224" s="25">
        <v>0</v>
      </c>
      <c r="M224" s="25">
        <v>0</v>
      </c>
      <c r="N224" s="25">
        <v>0</v>
      </c>
      <c r="O224" s="25">
        <v>0</v>
      </c>
      <c r="P224" s="25">
        <v>0</v>
      </c>
      <c r="Q224" s="25">
        <v>0</v>
      </c>
      <c r="R224" s="25">
        <v>0</v>
      </c>
      <c r="S224" s="25">
        <v>0</v>
      </c>
      <c r="T224" s="25">
        <v>0</v>
      </c>
      <c r="U224" s="25">
        <v>0</v>
      </c>
      <c r="V224" s="25">
        <v>0</v>
      </c>
      <c r="W224" s="25">
        <v>0</v>
      </c>
      <c r="X224" s="25">
        <v>0</v>
      </c>
      <c r="Y224" s="25">
        <v>0</v>
      </c>
      <c r="Z224" s="25">
        <v>0</v>
      </c>
      <c r="AA224" s="25">
        <v>0</v>
      </c>
      <c r="AB224" s="25">
        <v>0</v>
      </c>
      <c r="AC224" s="25">
        <v>0</v>
      </c>
      <c r="AD224" s="25">
        <v>0</v>
      </c>
      <c r="AE224" s="25">
        <v>0</v>
      </c>
      <c r="AF224" s="25">
        <v>0</v>
      </c>
      <c r="AG224" s="25">
        <v>0</v>
      </c>
      <c r="AH224" s="25">
        <v>0</v>
      </c>
      <c r="AI224" s="25">
        <v>0</v>
      </c>
      <c r="AJ224" s="25">
        <v>0</v>
      </c>
    </row>
    <row r="225" spans="1:36" x14ac:dyDescent="0.25">
      <c r="A225" t="s">
        <v>623</v>
      </c>
      <c r="B225" t="s">
        <v>305</v>
      </c>
      <c r="C225" s="25">
        <v>0</v>
      </c>
      <c r="D225" s="25">
        <v>0</v>
      </c>
      <c r="E225" s="25">
        <v>0</v>
      </c>
      <c r="F225" s="25">
        <v>0</v>
      </c>
      <c r="G225" s="25">
        <v>0</v>
      </c>
      <c r="H225" s="25">
        <v>0</v>
      </c>
      <c r="I225" s="25">
        <v>0</v>
      </c>
      <c r="J225" s="25">
        <v>0</v>
      </c>
      <c r="K225" s="25">
        <v>0</v>
      </c>
      <c r="L225" s="25">
        <v>0</v>
      </c>
      <c r="M225" s="25">
        <v>0</v>
      </c>
      <c r="N225" s="25">
        <v>0</v>
      </c>
      <c r="O225" s="25">
        <v>0</v>
      </c>
      <c r="P225" s="25">
        <v>0</v>
      </c>
      <c r="Q225" s="25">
        <v>0</v>
      </c>
      <c r="R225" s="25">
        <v>0</v>
      </c>
      <c r="S225" s="25">
        <v>0</v>
      </c>
      <c r="T225" s="25">
        <v>0</v>
      </c>
      <c r="U225" s="25">
        <v>0</v>
      </c>
      <c r="V225" s="25">
        <v>0</v>
      </c>
      <c r="W225" s="25">
        <v>0</v>
      </c>
      <c r="X225" s="25">
        <v>0</v>
      </c>
      <c r="Y225" s="25">
        <v>0</v>
      </c>
      <c r="Z225" s="25">
        <v>0</v>
      </c>
      <c r="AA225" s="25">
        <v>0</v>
      </c>
      <c r="AB225" s="25">
        <v>0</v>
      </c>
      <c r="AC225" s="25">
        <v>0</v>
      </c>
      <c r="AD225" s="25">
        <v>0</v>
      </c>
      <c r="AE225" s="25">
        <v>0</v>
      </c>
      <c r="AF225" s="25">
        <v>0</v>
      </c>
      <c r="AG225" s="25">
        <v>0</v>
      </c>
      <c r="AH225" s="25">
        <v>0</v>
      </c>
      <c r="AI225" s="25">
        <v>0</v>
      </c>
      <c r="AJ225" s="25">
        <v>0</v>
      </c>
    </row>
    <row r="226" spans="1:36" x14ac:dyDescent="0.25">
      <c r="A226" t="s">
        <v>624</v>
      </c>
      <c r="B226" t="s">
        <v>305</v>
      </c>
      <c r="C226" s="25">
        <v>5</v>
      </c>
      <c r="D226" s="25">
        <v>5</v>
      </c>
      <c r="E226" s="25">
        <v>5</v>
      </c>
      <c r="F226" s="25">
        <v>5</v>
      </c>
      <c r="G226" s="25">
        <v>5</v>
      </c>
      <c r="H226" s="25">
        <v>5</v>
      </c>
      <c r="I226" s="25">
        <v>5</v>
      </c>
      <c r="J226" s="25">
        <v>5</v>
      </c>
      <c r="K226" s="25">
        <v>5</v>
      </c>
      <c r="L226" s="25">
        <v>5</v>
      </c>
      <c r="M226" s="25">
        <v>5</v>
      </c>
      <c r="N226" s="25">
        <v>5</v>
      </c>
      <c r="O226" s="25">
        <v>5</v>
      </c>
      <c r="P226" s="25">
        <v>5</v>
      </c>
      <c r="Q226" s="25">
        <v>5</v>
      </c>
      <c r="R226" s="25">
        <v>5</v>
      </c>
      <c r="S226" s="25">
        <v>5</v>
      </c>
      <c r="T226" s="25">
        <v>5</v>
      </c>
      <c r="U226" s="25">
        <v>5</v>
      </c>
      <c r="V226" s="25">
        <v>5</v>
      </c>
      <c r="W226" s="25">
        <v>5</v>
      </c>
      <c r="X226" s="25">
        <v>5</v>
      </c>
      <c r="Y226" s="25">
        <v>5</v>
      </c>
      <c r="Z226" s="25">
        <v>5</v>
      </c>
      <c r="AA226" s="25">
        <v>5</v>
      </c>
      <c r="AB226" s="25">
        <v>5</v>
      </c>
      <c r="AC226" s="25">
        <v>5</v>
      </c>
      <c r="AD226" s="25">
        <v>5</v>
      </c>
      <c r="AE226" s="25">
        <v>5</v>
      </c>
      <c r="AF226" s="25">
        <v>5</v>
      </c>
      <c r="AG226" s="25">
        <v>5</v>
      </c>
      <c r="AH226" s="25">
        <v>5</v>
      </c>
      <c r="AI226" s="25">
        <v>5</v>
      </c>
      <c r="AJ226" s="25">
        <v>5</v>
      </c>
    </row>
    <row r="227" spans="1:36" x14ac:dyDescent="0.25">
      <c r="A227" t="s">
        <v>625</v>
      </c>
      <c r="B227" t="s">
        <v>305</v>
      </c>
      <c r="C227" s="25">
        <v>0</v>
      </c>
      <c r="D227" s="25">
        <v>0</v>
      </c>
      <c r="E227" s="25">
        <v>0</v>
      </c>
      <c r="F227" s="25">
        <v>0</v>
      </c>
      <c r="G227" s="25">
        <v>0</v>
      </c>
      <c r="H227" s="25">
        <v>0</v>
      </c>
      <c r="I227" s="25">
        <v>0</v>
      </c>
      <c r="J227" s="25">
        <v>0</v>
      </c>
      <c r="K227" s="25">
        <v>0</v>
      </c>
      <c r="L227" s="25">
        <v>0</v>
      </c>
      <c r="M227" s="25">
        <v>0</v>
      </c>
      <c r="N227" s="25">
        <v>0</v>
      </c>
      <c r="O227" s="25">
        <v>0</v>
      </c>
      <c r="P227" s="25">
        <v>0</v>
      </c>
      <c r="Q227" s="25">
        <v>0</v>
      </c>
      <c r="R227" s="25">
        <v>0</v>
      </c>
      <c r="S227" s="25">
        <v>0</v>
      </c>
      <c r="T227" s="25">
        <v>0</v>
      </c>
      <c r="U227" s="25">
        <v>0</v>
      </c>
      <c r="V227" s="25">
        <v>0</v>
      </c>
      <c r="W227" s="25">
        <v>0</v>
      </c>
      <c r="X227" s="25">
        <v>0</v>
      </c>
      <c r="Y227" s="25">
        <v>0</v>
      </c>
      <c r="Z227" s="25">
        <v>0</v>
      </c>
      <c r="AA227" s="25">
        <v>0</v>
      </c>
      <c r="AB227" s="25">
        <v>0</v>
      </c>
      <c r="AC227" s="25">
        <v>0</v>
      </c>
      <c r="AD227" s="25">
        <v>0</v>
      </c>
      <c r="AE227" s="25">
        <v>0</v>
      </c>
      <c r="AF227" s="25">
        <v>0</v>
      </c>
      <c r="AG227" s="25">
        <v>0</v>
      </c>
      <c r="AH227" s="25">
        <v>0</v>
      </c>
      <c r="AI227" s="25">
        <v>0</v>
      </c>
      <c r="AJ227" s="25">
        <v>0</v>
      </c>
    </row>
    <row r="228" spans="1:36" x14ac:dyDescent="0.25">
      <c r="A228" t="s">
        <v>626</v>
      </c>
      <c r="B228" t="s">
        <v>305</v>
      </c>
      <c r="C228" s="25">
        <v>0</v>
      </c>
      <c r="D228" s="25">
        <v>0</v>
      </c>
      <c r="E228" s="25">
        <v>0</v>
      </c>
      <c r="F228" s="25">
        <v>0</v>
      </c>
      <c r="G228" s="25">
        <v>0</v>
      </c>
      <c r="H228" s="25">
        <v>0</v>
      </c>
      <c r="I228" s="25">
        <v>0</v>
      </c>
      <c r="J228" s="25">
        <v>0</v>
      </c>
      <c r="K228" s="25">
        <v>0</v>
      </c>
      <c r="L228" s="25">
        <v>0</v>
      </c>
      <c r="M228" s="25">
        <v>0</v>
      </c>
      <c r="N228" s="25">
        <v>0</v>
      </c>
      <c r="O228" s="25">
        <v>0</v>
      </c>
      <c r="P228" s="25">
        <v>0</v>
      </c>
      <c r="Q228" s="25">
        <v>0</v>
      </c>
      <c r="R228" s="25">
        <v>0</v>
      </c>
      <c r="S228" s="25">
        <v>0</v>
      </c>
      <c r="T228" s="25">
        <v>0</v>
      </c>
      <c r="U228" s="25">
        <v>0</v>
      </c>
      <c r="V228" s="25">
        <v>0</v>
      </c>
      <c r="W228" s="25">
        <v>0</v>
      </c>
      <c r="X228" s="25">
        <v>0</v>
      </c>
      <c r="Y228" s="25">
        <v>0</v>
      </c>
      <c r="Z228" s="25">
        <v>0</v>
      </c>
      <c r="AA228" s="25">
        <v>0</v>
      </c>
      <c r="AB228" s="25">
        <v>0</v>
      </c>
      <c r="AC228" s="25">
        <v>0</v>
      </c>
      <c r="AD228" s="25">
        <v>0</v>
      </c>
      <c r="AE228" s="25">
        <v>0</v>
      </c>
      <c r="AF228" s="25">
        <v>0</v>
      </c>
      <c r="AG228" s="25">
        <v>0</v>
      </c>
      <c r="AH228" s="25">
        <v>0</v>
      </c>
      <c r="AI228" s="25">
        <v>0</v>
      </c>
      <c r="AJ228" s="25">
        <v>0</v>
      </c>
    </row>
    <row r="229" spans="1:36" x14ac:dyDescent="0.25">
      <c r="A229" t="s">
        <v>627</v>
      </c>
      <c r="B229" t="s">
        <v>305</v>
      </c>
      <c r="C229" s="25">
        <v>15</v>
      </c>
      <c r="D229" s="25">
        <v>15</v>
      </c>
      <c r="E229" s="25">
        <v>15</v>
      </c>
      <c r="F229" s="25">
        <v>15</v>
      </c>
      <c r="G229" s="25">
        <v>15</v>
      </c>
      <c r="H229" s="25">
        <v>15</v>
      </c>
      <c r="I229" s="25">
        <v>15</v>
      </c>
      <c r="J229" s="25">
        <v>15</v>
      </c>
      <c r="K229" s="25">
        <v>15</v>
      </c>
      <c r="L229" s="25">
        <v>15</v>
      </c>
      <c r="M229" s="25">
        <v>15</v>
      </c>
      <c r="N229" s="25">
        <v>15</v>
      </c>
      <c r="O229" s="25">
        <v>15</v>
      </c>
      <c r="P229" s="25">
        <v>15</v>
      </c>
      <c r="Q229" s="25">
        <v>15</v>
      </c>
      <c r="R229" s="25">
        <v>15</v>
      </c>
      <c r="S229" s="25">
        <v>15</v>
      </c>
      <c r="T229" s="25">
        <v>15</v>
      </c>
      <c r="U229" s="25">
        <v>15</v>
      </c>
      <c r="V229" s="25">
        <v>15</v>
      </c>
      <c r="W229" s="25">
        <v>15</v>
      </c>
      <c r="X229" s="25">
        <v>15</v>
      </c>
      <c r="Y229" s="25">
        <v>15</v>
      </c>
      <c r="Z229" s="25">
        <v>15</v>
      </c>
      <c r="AA229" s="25">
        <v>15</v>
      </c>
      <c r="AB229" s="25">
        <v>15</v>
      </c>
      <c r="AC229" s="25">
        <v>15</v>
      </c>
      <c r="AD229" s="25">
        <v>15</v>
      </c>
      <c r="AE229" s="25">
        <v>15</v>
      </c>
      <c r="AF229" s="25">
        <v>15</v>
      </c>
      <c r="AG229" s="25">
        <v>15</v>
      </c>
      <c r="AH229" s="25">
        <v>15</v>
      </c>
      <c r="AI229" s="25">
        <v>15</v>
      </c>
      <c r="AJ229" s="25">
        <v>15</v>
      </c>
    </row>
    <row r="230" spans="1:36" x14ac:dyDescent="0.25">
      <c r="A230" t="s">
        <v>628</v>
      </c>
      <c r="B230" t="s">
        <v>305</v>
      </c>
      <c r="C230" s="25">
        <v>0</v>
      </c>
      <c r="D230" s="25">
        <v>0</v>
      </c>
      <c r="E230" s="25">
        <v>0</v>
      </c>
      <c r="F230" s="25">
        <v>0</v>
      </c>
      <c r="G230" s="25">
        <v>0</v>
      </c>
      <c r="H230" s="25">
        <v>0</v>
      </c>
      <c r="I230" s="25">
        <v>0</v>
      </c>
      <c r="J230" s="25">
        <v>0</v>
      </c>
      <c r="K230" s="25">
        <v>0</v>
      </c>
      <c r="L230" s="25">
        <v>0</v>
      </c>
      <c r="M230" s="25">
        <v>0</v>
      </c>
      <c r="N230" s="25">
        <v>0</v>
      </c>
      <c r="O230" s="25">
        <v>0</v>
      </c>
      <c r="P230" s="25">
        <v>0</v>
      </c>
      <c r="Q230" s="25">
        <v>0</v>
      </c>
      <c r="R230" s="25">
        <v>0</v>
      </c>
      <c r="S230" s="25">
        <v>0</v>
      </c>
      <c r="T230" s="25">
        <v>0</v>
      </c>
      <c r="U230" s="25">
        <v>0</v>
      </c>
      <c r="V230" s="25">
        <v>0</v>
      </c>
      <c r="W230" s="25">
        <v>0</v>
      </c>
      <c r="X230" s="25">
        <v>0</v>
      </c>
      <c r="Y230" s="25">
        <v>0</v>
      </c>
      <c r="Z230" s="25">
        <v>0</v>
      </c>
      <c r="AA230" s="25">
        <v>0</v>
      </c>
      <c r="AB230" s="25">
        <v>0</v>
      </c>
      <c r="AC230" s="25">
        <v>0</v>
      </c>
      <c r="AD230" s="25">
        <v>0</v>
      </c>
      <c r="AE230" s="25">
        <v>0</v>
      </c>
      <c r="AF230" s="25">
        <v>0</v>
      </c>
      <c r="AG230" s="25">
        <v>0</v>
      </c>
      <c r="AH230" s="25">
        <v>0</v>
      </c>
      <c r="AI230" s="25">
        <v>0</v>
      </c>
      <c r="AJ230" s="25">
        <v>0</v>
      </c>
    </row>
    <row r="231" spans="1:36" x14ac:dyDescent="0.25">
      <c r="A231" t="s">
        <v>768</v>
      </c>
      <c r="B231" t="s">
        <v>305</v>
      </c>
      <c r="C231" s="25">
        <v>0</v>
      </c>
      <c r="D231" s="25">
        <v>0</v>
      </c>
      <c r="E231" s="25">
        <v>0</v>
      </c>
      <c r="F231" s="25">
        <v>0</v>
      </c>
      <c r="G231" s="25">
        <v>0</v>
      </c>
      <c r="H231" s="25">
        <v>0</v>
      </c>
      <c r="I231" s="25">
        <v>0</v>
      </c>
      <c r="J231" s="25">
        <v>0</v>
      </c>
      <c r="K231" s="25">
        <v>0</v>
      </c>
      <c r="L231" s="25">
        <v>0</v>
      </c>
      <c r="M231" s="25">
        <v>0</v>
      </c>
      <c r="N231" s="25">
        <v>0</v>
      </c>
      <c r="O231" s="25">
        <v>0</v>
      </c>
      <c r="P231" s="25">
        <v>0</v>
      </c>
      <c r="Q231" s="25">
        <v>0</v>
      </c>
      <c r="R231" s="25">
        <v>0</v>
      </c>
      <c r="S231" s="25">
        <v>0</v>
      </c>
      <c r="T231" s="25">
        <v>0</v>
      </c>
      <c r="U231" s="25">
        <v>0</v>
      </c>
      <c r="V231" s="25">
        <v>0</v>
      </c>
      <c r="W231" s="25">
        <v>0</v>
      </c>
      <c r="X231" s="25">
        <v>0</v>
      </c>
      <c r="Y231" s="25">
        <v>0</v>
      </c>
      <c r="Z231" s="25">
        <v>0</v>
      </c>
      <c r="AA231" s="25">
        <v>0</v>
      </c>
      <c r="AB231" s="25">
        <v>0</v>
      </c>
      <c r="AC231" s="25">
        <v>0</v>
      </c>
      <c r="AD231" s="25">
        <v>0</v>
      </c>
      <c r="AE231" s="25">
        <v>0</v>
      </c>
      <c r="AF231" s="25">
        <v>0</v>
      </c>
      <c r="AG231" s="25">
        <v>0</v>
      </c>
      <c r="AH231" s="25">
        <v>0</v>
      </c>
      <c r="AI231" s="25">
        <v>0</v>
      </c>
      <c r="AJ231" s="25">
        <v>0</v>
      </c>
    </row>
    <row r="232" spans="1:36" s="78" customFormat="1" x14ac:dyDescent="0.25">
      <c r="A232" s="78" t="s">
        <v>780</v>
      </c>
      <c r="C232" s="79">
        <f>+SUM(C221:C231)</f>
        <v>100</v>
      </c>
      <c r="D232" s="79">
        <f t="shared" ref="D232" si="496">+SUM(D221:D231)</f>
        <v>100</v>
      </c>
      <c r="E232" s="79">
        <f t="shared" ref="E232" si="497">+SUM(E221:E231)</f>
        <v>100</v>
      </c>
      <c r="F232" s="79">
        <f t="shared" ref="F232" si="498">+SUM(F221:F231)</f>
        <v>100</v>
      </c>
      <c r="G232" s="79">
        <f t="shared" ref="G232" si="499">+SUM(G221:G231)</f>
        <v>100</v>
      </c>
      <c r="H232" s="79">
        <f t="shared" ref="H232" si="500">+SUM(H221:H231)</f>
        <v>100</v>
      </c>
      <c r="I232" s="79">
        <f t="shared" ref="I232" si="501">+SUM(I221:I231)</f>
        <v>100</v>
      </c>
      <c r="J232" s="79">
        <f t="shared" ref="J232" si="502">+SUM(J221:J231)</f>
        <v>100</v>
      </c>
      <c r="K232" s="79">
        <f t="shared" ref="K232" si="503">+SUM(K221:K231)</f>
        <v>100</v>
      </c>
      <c r="L232" s="79">
        <f t="shared" ref="L232" si="504">+SUM(L221:L231)</f>
        <v>100</v>
      </c>
      <c r="M232" s="79">
        <f t="shared" ref="M232" si="505">+SUM(M221:M231)</f>
        <v>100</v>
      </c>
      <c r="N232" s="79">
        <f t="shared" ref="N232" si="506">+SUM(N221:N231)</f>
        <v>100</v>
      </c>
      <c r="O232" s="79">
        <f t="shared" ref="O232" si="507">+SUM(O221:O231)</f>
        <v>100</v>
      </c>
      <c r="P232" s="79">
        <f t="shared" ref="P232" si="508">+SUM(P221:P231)</f>
        <v>100</v>
      </c>
      <c r="Q232" s="79">
        <f t="shared" ref="Q232" si="509">+SUM(Q221:Q231)</f>
        <v>100</v>
      </c>
      <c r="R232" s="79">
        <f t="shared" ref="R232" si="510">+SUM(R221:R231)</f>
        <v>100</v>
      </c>
      <c r="S232" s="79">
        <f t="shared" ref="S232" si="511">+SUM(S221:S231)</f>
        <v>100</v>
      </c>
      <c r="T232" s="79">
        <f t="shared" ref="T232" si="512">+SUM(T221:T231)</f>
        <v>100</v>
      </c>
      <c r="U232" s="79">
        <f t="shared" ref="U232" si="513">+SUM(U221:U231)</f>
        <v>100</v>
      </c>
      <c r="V232" s="79">
        <f t="shared" ref="V232" si="514">+SUM(V221:V231)</f>
        <v>100</v>
      </c>
      <c r="W232" s="79">
        <f t="shared" ref="W232" si="515">+SUM(W221:W231)</f>
        <v>100</v>
      </c>
      <c r="X232" s="79">
        <f t="shared" ref="X232" si="516">+SUM(X221:X231)</f>
        <v>100</v>
      </c>
      <c r="Y232" s="79">
        <f t="shared" ref="Y232" si="517">+SUM(Y221:Y231)</f>
        <v>100</v>
      </c>
      <c r="Z232" s="79">
        <f t="shared" ref="Z232" si="518">+SUM(Z221:Z231)</f>
        <v>100</v>
      </c>
      <c r="AA232" s="79">
        <f t="shared" ref="AA232" si="519">+SUM(AA221:AA231)</f>
        <v>100</v>
      </c>
      <c r="AB232" s="79">
        <f t="shared" ref="AB232" si="520">+SUM(AB221:AB231)</f>
        <v>100</v>
      </c>
      <c r="AC232" s="79">
        <f t="shared" ref="AC232" si="521">+SUM(AC221:AC231)</f>
        <v>100</v>
      </c>
      <c r="AD232" s="79">
        <f t="shared" ref="AD232" si="522">+SUM(AD221:AD231)</f>
        <v>100</v>
      </c>
      <c r="AE232" s="79">
        <f t="shared" ref="AE232" si="523">+SUM(AE221:AE231)</f>
        <v>100</v>
      </c>
      <c r="AF232" s="79">
        <f t="shared" ref="AF232" si="524">+SUM(AF221:AF231)</f>
        <v>100</v>
      </c>
      <c r="AG232" s="79">
        <f t="shared" ref="AG232" si="525">+SUM(AG221:AG231)</f>
        <v>100</v>
      </c>
      <c r="AH232" s="79">
        <f t="shared" ref="AH232" si="526">+SUM(AH221:AH231)</f>
        <v>100</v>
      </c>
      <c r="AI232" s="79">
        <f t="shared" ref="AI232" si="527">+SUM(AI221:AI231)</f>
        <v>100</v>
      </c>
      <c r="AJ232" s="79">
        <f t="shared" ref="AJ232" si="528">+SUM(AJ221:AJ231)</f>
        <v>100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92D050"/>
  </sheetPr>
  <dimension ref="A1:BT100"/>
  <sheetViews>
    <sheetView topLeftCell="C1" workbookViewId="0">
      <pane xSplit="2" ySplit="4" topLeftCell="AC18" activePane="bottomRight" state="frozen"/>
      <selection activeCell="C1" sqref="C1"/>
      <selection pane="topRight" activeCell="E1" sqref="E1"/>
      <selection pane="bottomLeft" activeCell="C5" sqref="C5"/>
      <selection pane="bottomRight" activeCell="AC24" sqref="AC24"/>
    </sheetView>
  </sheetViews>
  <sheetFormatPr defaultRowHeight="15" outlineLevelCol="1" x14ac:dyDescent="0.25"/>
  <cols>
    <col min="1" max="1" width="23.7109375" customWidth="1"/>
    <col min="2" max="2" width="37.140625" customWidth="1"/>
    <col min="3" max="3" width="27.7109375" customWidth="1"/>
    <col min="4" max="4" width="27.5703125" customWidth="1"/>
    <col min="5" max="5" width="48" customWidth="1"/>
    <col min="6" max="6" width="11.5703125" customWidth="1"/>
    <col min="7" max="7" width="13.28515625" customWidth="1"/>
    <col min="8" max="27" width="10.7109375" customWidth="1" outlineLevel="1"/>
    <col min="28" max="68" width="10.7109375" customWidth="1"/>
    <col min="71" max="71" width="14.140625" customWidth="1"/>
    <col min="72" max="72" width="27.7109375" customWidth="1"/>
  </cols>
  <sheetData>
    <row r="1" spans="1:72" ht="18.75" x14ac:dyDescent="0.3">
      <c r="A1" s="1" t="s">
        <v>142</v>
      </c>
      <c r="AI1" s="11"/>
      <c r="AJ1" s="11"/>
    </row>
    <row r="2" spans="1:72" x14ac:dyDescent="0.25">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row>
    <row r="3" spans="1:72" s="19" customFormat="1" ht="29.25" customHeight="1" x14ac:dyDescent="0.25">
      <c r="A3" s="17" t="s">
        <v>4</v>
      </c>
      <c r="B3" s="17" t="s">
        <v>313</v>
      </c>
      <c r="C3" s="17" t="s">
        <v>315</v>
      </c>
      <c r="D3" s="17" t="s">
        <v>149</v>
      </c>
      <c r="E3" s="17" t="s">
        <v>150</v>
      </c>
      <c r="F3" s="17" t="s">
        <v>0</v>
      </c>
      <c r="G3" s="17" t="s">
        <v>283</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S3" s="18" t="s">
        <v>308</v>
      </c>
      <c r="BT3" s="17" t="s">
        <v>282</v>
      </c>
    </row>
    <row r="4" spans="1:72" ht="18.75" customHeight="1" x14ac:dyDescent="0.25">
      <c r="A4" s="20" t="s">
        <v>309</v>
      </c>
      <c r="B4" s="20"/>
      <c r="C4" s="20"/>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5"/>
      <c r="AS4" s="15"/>
      <c r="AT4" s="89">
        <f t="shared" ref="AT4:AZ4" si="0">AT11-AS11</f>
        <v>34631.217230316252</v>
      </c>
      <c r="AU4" s="89">
        <f t="shared" si="0"/>
        <v>34365.413752362132</v>
      </c>
      <c r="AV4" s="89">
        <f t="shared" si="0"/>
        <v>33224.783761478961</v>
      </c>
      <c r="AW4" s="89">
        <f>AW11-AV11</f>
        <v>33289.993691071868</v>
      </c>
      <c r="AX4" s="89">
        <f t="shared" si="0"/>
        <v>32463.702919680625</v>
      </c>
      <c r="AY4" s="89">
        <f t="shared" si="0"/>
        <v>31510.188786573708</v>
      </c>
      <c r="AZ4" s="89">
        <f t="shared" si="0"/>
        <v>30404.973782345653</v>
      </c>
      <c r="BA4" s="15">
        <f>BA8/'Intermediate calculations'!AV8</f>
        <v>3.5486098221836464</v>
      </c>
      <c r="BB4" s="15">
        <f>BB8/'Intermediate calculations'!AW8</f>
        <v>3.4509281711914523</v>
      </c>
      <c r="BC4" s="15">
        <f>BC8/'Intermediate calculations'!AX8</f>
        <v>3.3552987961326846</v>
      </c>
      <c r="BD4" s="15">
        <f>BD8/'Intermediate calculations'!AY8</f>
        <v>3.2616351179626855</v>
      </c>
      <c r="BE4" s="15">
        <f>BE8/'Intermediate calculations'!AZ8</f>
        <v>3.1698564612415572</v>
      </c>
      <c r="BF4" s="15">
        <f>BF8/'Intermediate calculations'!BA8</f>
        <v>3.0798875151458769</v>
      </c>
      <c r="BG4" s="15">
        <f>BG8/'Intermediate calculations'!BB8</f>
        <v>3.0069214157786956</v>
      </c>
      <c r="BH4" s="15">
        <f>BH8/'Intermediate calculations'!BC8</f>
        <v>2.9353629924253926</v>
      </c>
      <c r="BI4" s="15">
        <f>BI8/'Intermediate calculations'!BD8</f>
        <v>2.8651591213495275</v>
      </c>
      <c r="BJ4" s="15">
        <f>BJ8/'Intermediate calculations'!BE8</f>
        <v>2.7962599182562049</v>
      </c>
      <c r="BK4" s="15">
        <f>BK8/'Intermediate calculations'!BF8</f>
        <v>2.7286184733821677</v>
      </c>
      <c r="BL4" s="15">
        <f>BL8/'Intermediate calculations'!BG8</f>
        <v>2.6621906134110556</v>
      </c>
      <c r="BM4" s="15">
        <f>BM8/'Intermediate calculations'!BH8</f>
        <v>2.5969346870012067</v>
      </c>
      <c r="BN4" s="15">
        <f>BN8/'Intermediate calculations'!BI8</f>
        <v>2.5328113711548421</v>
      </c>
      <c r="BO4" s="15">
        <f>BO8/'Intermediate calculations'!BJ8</f>
        <v>2.4697834960308978</v>
      </c>
      <c r="BP4" s="15">
        <f>BP8/'Intermediate calculations'!BK8</f>
        <v>2.4078158861205292</v>
      </c>
      <c r="BS4" s="16"/>
      <c r="BT4" s="15"/>
    </row>
    <row r="5" spans="1:72" s="23" customFormat="1" x14ac:dyDescent="0.25">
      <c r="A5" s="23" t="str">
        <f>'IPCC Categories'!A5</f>
        <v>3A Livestock</v>
      </c>
      <c r="C5" s="23" t="str">
        <f>'IPCC Categories'!$D$5</f>
        <v>3A1ai Dairy cattle</v>
      </c>
      <c r="D5" t="str">
        <f>'IPCC Categories'!$F$39</f>
        <v>TMR</v>
      </c>
      <c r="E5" s="23" t="str">
        <f>'IPCC Categories'!$F$31</f>
        <v>Population</v>
      </c>
      <c r="F5" s="23" t="s">
        <v>138</v>
      </c>
      <c r="H5" s="43">
        <f>Data!C51</f>
        <v>487746.14676082286</v>
      </c>
      <c r="I5" s="43">
        <f>Data!D51</f>
        <v>561522.50537304278</v>
      </c>
      <c r="J5" s="43">
        <f>Data!E51</f>
        <v>485789.62235185754</v>
      </c>
      <c r="K5" s="43">
        <f>Data!F51</f>
        <v>515225.4221676389</v>
      </c>
      <c r="L5" s="43">
        <f>Data!G51</f>
        <v>477963.52471599629</v>
      </c>
      <c r="M5" s="43">
        <f>Data!H51</f>
        <v>511312.37334970833</v>
      </c>
      <c r="N5" s="43">
        <f>Data!I51</f>
        <v>513268.89775867364</v>
      </c>
      <c r="O5" s="43">
        <f>Data!J51</f>
        <v>494824.80810561875</v>
      </c>
      <c r="P5" s="43">
        <f>Data!K51</f>
        <v>488955.23487872281</v>
      </c>
      <c r="Q5" s="43">
        <f>Data!L51</f>
        <v>480293.76727049437</v>
      </c>
      <c r="R5" s="43">
        <f>Data!M51</f>
        <v>618437.58059564023</v>
      </c>
      <c r="S5" s="43">
        <f>Data!N51</f>
        <v>616481.05618667486</v>
      </c>
      <c r="T5" s="43">
        <f>Data!O51</f>
        <v>537582.56063862459</v>
      </c>
      <c r="U5" s="43">
        <f>Data!P51</f>
        <v>488955.23487872281</v>
      </c>
      <c r="V5" s="43">
        <f>Data!Q51</f>
        <v>472093.95148910041</v>
      </c>
      <c r="W5" s="43">
        <f>Data!R51</f>
        <v>505442.80012281239</v>
      </c>
      <c r="X5" s="43">
        <f>Data!S51</f>
        <v>494451.08996008604</v>
      </c>
      <c r="Y5" s="43">
        <f>Data!T51</f>
        <v>490911.75928768812</v>
      </c>
      <c r="Z5" s="43">
        <f>Data!U51</f>
        <v>601202.57906048512</v>
      </c>
      <c r="AA5" s="43">
        <f>Data!V51</f>
        <v>616107.33804114221</v>
      </c>
      <c r="AB5" s="43">
        <f>Data!W51</f>
        <v>616107.33804114221</v>
      </c>
      <c r="AC5" s="43">
        <f>Data!X51</f>
        <v>593750.19957015652</v>
      </c>
      <c r="AD5" s="24">
        <f>'Intermediate calculations'!Y15*'Intermediate calculations'!Y16*Constants!$H$18</f>
        <v>590686.16876783187</v>
      </c>
      <c r="AE5" s="24">
        <f>'Intermediate calculations'!Z15*'Intermediate calculations'!Z16*Constants!$H$18</f>
        <v>594968.42655746045</v>
      </c>
      <c r="AF5" s="24">
        <f>'Intermediate calculations'!AA15*'Intermediate calculations'!AA16*Constants!$H$18</f>
        <v>597709.44902765623</v>
      </c>
      <c r="AG5" s="24">
        <f>'Intermediate calculations'!AB15*'Intermediate calculations'!AB16*Constants!$H$18</f>
        <v>599238.49044490152</v>
      </c>
      <c r="AH5" s="24">
        <f>'Intermediate calculations'!AC15*'Intermediate calculations'!AC16*Constants!$H$18</f>
        <v>600074.3353987576</v>
      </c>
      <c r="AI5" s="24">
        <f>'Intermediate calculations'!AD15*'Intermediate calculations'!AD16*Constants!$H$18</f>
        <v>601874.20296810556</v>
      </c>
      <c r="AJ5" s="24">
        <f>'Intermediate calculations'!AE15*'Intermediate calculations'!AE16*Constants!$H$18</f>
        <v>604260.82745053805</v>
      </c>
      <c r="AK5" s="24">
        <f>'Intermediate calculations'!AF15*'Intermediate calculations'!AF16*Constants!$H$18</f>
        <v>606709.53475002898</v>
      </c>
      <c r="AL5" s="24">
        <f>'Intermediate calculations'!AG15*'Intermediate calculations'!AG16*Constants!$H$18</f>
        <v>586926.26268361753</v>
      </c>
      <c r="AM5" s="24">
        <f>'Intermediate calculations'!AH15*'Intermediate calculations'!AH16*Constants!$H$18</f>
        <v>591500.4847958337</v>
      </c>
      <c r="AN5" s="24">
        <f>'Intermediate calculations'!AI15*'Intermediate calculations'!AI16*Constants!$H$18</f>
        <v>596007.24477213982</v>
      </c>
      <c r="AO5" s="24">
        <f>'Intermediate calculations'!AJ15*'Intermediate calculations'!AJ16*Constants!$H$18</f>
        <v>600897.22086769424</v>
      </c>
      <c r="AP5" s="24">
        <f>'Intermediate calculations'!AK15*'Intermediate calculations'!AK16*Constants!$H$18</f>
        <v>606131.37353090465</v>
      </c>
      <c r="AQ5" s="24">
        <f>'Intermediate calculations'!AL15*'Intermediate calculations'!AL16*Constants!$H$18</f>
        <v>611289.39871312119</v>
      </c>
      <c r="AR5" s="24">
        <f>'Intermediate calculations'!AM15*'Intermediate calculations'!AM16*Constants!$H$18</f>
        <v>617245.11289077729</v>
      </c>
      <c r="AS5" s="24">
        <f>'Intermediate calculations'!AN15*'Intermediate calculations'!AN16*Constants!$H$18</f>
        <v>623403.24233350134</v>
      </c>
      <c r="AT5" s="24">
        <f>'Intermediate calculations'!AO15*'Intermediate calculations'!AO16*Constants!$H$18</f>
        <v>629877.58018033335</v>
      </c>
      <c r="AU5" s="24">
        <f>'Intermediate calculations'!AP15*'Intermediate calculations'!AP16*Constants!$H$18</f>
        <v>636550.16629612399</v>
      </c>
      <c r="AV5" s="24">
        <f>'Intermediate calculations'!AQ15*'Intermediate calculations'!AQ16*Constants!$H$18</f>
        <v>642133.67175961612</v>
      </c>
      <c r="AW5" s="24">
        <f>'Intermediate calculations'!AR15*'Intermediate calculations'!AR16*Constants!$H$18</f>
        <v>649204.59272197459</v>
      </c>
      <c r="AX5" s="24">
        <f>'Intermediate calculations'!AS15*'Intermediate calculations'!AS16*Constants!$H$18</f>
        <v>656398.81634270214</v>
      </c>
      <c r="AY5" s="24">
        <f>'Intermediate calculations'!AT15*'Intermediate calculations'!AT16*Constants!$H$18</f>
        <v>663760.58915450063</v>
      </c>
      <c r="AZ5" s="24">
        <f>'Intermediate calculations'!AU15*'Intermediate calculations'!AU16*Constants!$H$18</f>
        <v>670776.56322801625</v>
      </c>
      <c r="BA5" s="24">
        <f>'Intermediate calculations'!AV15*'Intermediate calculations'!AV16*Constants!$H$18</f>
        <v>678167.72978897544</v>
      </c>
      <c r="BB5" s="24">
        <f>'Intermediate calculations'!AW15*'Intermediate calculations'!AW16*Constants!$H$18</f>
        <v>685940.49699355906</v>
      </c>
      <c r="BC5" s="24">
        <f>'Intermediate calculations'!AX15*'Intermediate calculations'!AX16*Constants!$H$18</f>
        <v>693952.51933031855</v>
      </c>
      <c r="BD5" s="24">
        <f>'Intermediate calculations'!AY15*'Intermediate calculations'!AY16*Constants!$H$18</f>
        <v>701827.89822658373</v>
      </c>
      <c r="BE5" s="24">
        <f>'Intermediate calculations'!AZ15*'Intermediate calculations'!AZ16*Constants!$H$18</f>
        <v>709946.00037289225</v>
      </c>
      <c r="BF5" s="24">
        <f>'Intermediate calculations'!BA15*'Intermediate calculations'!BA16*Constants!$H$18</f>
        <v>718531.49557085882</v>
      </c>
      <c r="BG5" s="24">
        <f>'Intermediate calculations'!BB15*'Intermediate calculations'!BB16*Constants!$H$18</f>
        <v>727476.7711509678</v>
      </c>
      <c r="BH5" s="24">
        <f>'Intermediate calculations'!BC15*'Intermediate calculations'!BC16*Constants!$H$18</f>
        <v>736746.68898187613</v>
      </c>
      <c r="BI5" s="24">
        <f>'Intermediate calculations'!BD15*'Intermediate calculations'!BD16*Constants!$H$18</f>
        <v>746354.86877017037</v>
      </c>
      <c r="BJ5" s="24">
        <f>'Intermediate calculations'!BE15*'Intermediate calculations'!BE16*Constants!$H$18</f>
        <v>756302.60438604525</v>
      </c>
      <c r="BK5" s="24">
        <f>'Intermediate calculations'!BF15*'Intermediate calculations'!BF16*Constants!$H$18</f>
        <v>766679.28534223733</v>
      </c>
      <c r="BL5" s="24">
        <f>'Intermediate calculations'!BG15*'Intermediate calculations'!BG16*Constants!$H$18</f>
        <v>776371.05696064804</v>
      </c>
      <c r="BM5" s="24">
        <f>'Intermediate calculations'!BH15*'Intermediate calculations'!BH16*Constants!$H$18</f>
        <v>786444.11187458283</v>
      </c>
      <c r="BN5" s="24">
        <f>'Intermediate calculations'!BI15*'Intermediate calculations'!BI16*Constants!$H$18</f>
        <v>796981.67124126188</v>
      </c>
      <c r="BO5" s="24">
        <f>'Intermediate calculations'!BJ15*'Intermediate calculations'!BJ16*Constants!$H$18</f>
        <v>808026.29097262642</v>
      </c>
      <c r="BP5" s="24">
        <f>'Intermediate calculations'!BK15*'Intermediate calculations'!BK16*Constants!$H$18</f>
        <v>819840.11459156359</v>
      </c>
    </row>
    <row r="6" spans="1:72" s="23" customFormat="1" x14ac:dyDescent="0.25">
      <c r="A6" s="23" t="str">
        <f t="shared" ref="A6:A22" si="1">A5</f>
        <v>3A Livestock</v>
      </c>
      <c r="C6" s="23" t="str">
        <f>$C$5</f>
        <v>3A1ai Dairy cattle</v>
      </c>
      <c r="D6" t="str">
        <f>'IPCC Categories'!$F$40</f>
        <v>Pasture</v>
      </c>
      <c r="E6" s="23" t="str">
        <f>E5</f>
        <v>Population</v>
      </c>
      <c r="F6" s="23" t="str">
        <f>F5</f>
        <v>Head</v>
      </c>
      <c r="H6" s="43">
        <f>Data!C52</f>
        <v>399733.85323917714</v>
      </c>
      <c r="I6" s="43">
        <f>Data!D52</f>
        <v>460197.49462695734</v>
      </c>
      <c r="J6" s="43">
        <f>Data!E52</f>
        <v>398130.37764814246</v>
      </c>
      <c r="K6" s="43">
        <f>Data!F52</f>
        <v>422254.57783236104</v>
      </c>
      <c r="L6" s="43">
        <f>Data!G52</f>
        <v>391716.47528400371</v>
      </c>
      <c r="M6" s="43">
        <f>Data!H52</f>
        <v>419047.62665029167</v>
      </c>
      <c r="N6" s="43">
        <f>Data!I52</f>
        <v>420651.10224132636</v>
      </c>
      <c r="O6" s="43">
        <f>Data!J52</f>
        <v>405535.19189438137</v>
      </c>
      <c r="P6" s="43">
        <f>Data!K52</f>
        <v>400724.76512127731</v>
      </c>
      <c r="Q6" s="43">
        <f>Data!L52</f>
        <v>393626.23272950563</v>
      </c>
      <c r="R6" s="43">
        <f>Data!M52</f>
        <v>506842.41940435988</v>
      </c>
      <c r="S6" s="43">
        <f>Data!N52</f>
        <v>505238.9438133252</v>
      </c>
      <c r="T6" s="43">
        <f>Data!O52</f>
        <v>440577.43936137547</v>
      </c>
      <c r="U6" s="43">
        <f>Data!P52</f>
        <v>400724.76512127731</v>
      </c>
      <c r="V6" s="43">
        <f>Data!Q52</f>
        <v>386906.04851089959</v>
      </c>
      <c r="W6" s="43">
        <f>Data!R52</f>
        <v>414237.19987718761</v>
      </c>
      <c r="X6" s="43">
        <f>Data!S52</f>
        <v>405228.91003991402</v>
      </c>
      <c r="Y6" s="43">
        <f>Data!T52</f>
        <v>402328.24071231199</v>
      </c>
      <c r="Z6" s="43">
        <f>Data!U52</f>
        <v>492717.42093951488</v>
      </c>
      <c r="AA6" s="43">
        <f>Data!V52</f>
        <v>504932.66195885779</v>
      </c>
      <c r="AB6" s="43">
        <f>Data!W52</f>
        <v>504932.66195885779</v>
      </c>
      <c r="AC6" s="43">
        <f>Data!X52</f>
        <v>486609.80042984337</v>
      </c>
      <c r="AD6" s="24">
        <f>'Intermediate calculations'!Y15*'Intermediate calculations'!Y16*Constants!$H$19</f>
        <v>489425.6826933464</v>
      </c>
      <c r="AE6" s="24">
        <f>'Intermediate calculations'!Z15*'Intermediate calculations'!Z16*Constants!$H$19</f>
        <v>492973.83914761012</v>
      </c>
      <c r="AF6" s="24">
        <f>'Intermediate calculations'!AA15*'Intermediate calculations'!AA16*Constants!$H$19</f>
        <v>495244.97205148655</v>
      </c>
      <c r="AG6" s="24">
        <f>'Intermediate calculations'!AB15*'Intermediate calculations'!AB16*Constants!$H$19</f>
        <v>496511.89208291844</v>
      </c>
      <c r="AH6" s="24">
        <f>'Intermediate calculations'!AC15*'Intermediate calculations'!AC16*Constants!$H$19</f>
        <v>497204.44933039916</v>
      </c>
      <c r="AI6" s="24">
        <f>'Intermediate calculations'!AD15*'Intermediate calculations'!AD16*Constants!$H$19</f>
        <v>498695.76817357319</v>
      </c>
      <c r="AJ6" s="24">
        <f>'Intermediate calculations'!AE15*'Intermediate calculations'!AE16*Constants!$H$19</f>
        <v>500673.25703044579</v>
      </c>
      <c r="AK6" s="24">
        <f>'Intermediate calculations'!AF15*'Intermediate calculations'!AF16*Constants!$H$19</f>
        <v>502702.18593573832</v>
      </c>
      <c r="AL6" s="24">
        <f>'Intermediate calculations'!AG15*'Intermediate calculations'!AG16*Constants!$H$19</f>
        <v>486310.33193785447</v>
      </c>
      <c r="AM6" s="24">
        <f>'Intermediate calculations'!AH15*'Intermediate calculations'!AH16*Constants!$H$19</f>
        <v>490100.4016879765</v>
      </c>
      <c r="AN6" s="24">
        <f>'Intermediate calculations'!AI15*'Intermediate calculations'!AI16*Constants!$H$19</f>
        <v>493834.57423977298</v>
      </c>
      <c r="AO6" s="24">
        <f>'Intermediate calculations'!AJ15*'Intermediate calculations'!AJ16*Constants!$H$19</f>
        <v>497886.26871894661</v>
      </c>
      <c r="AP6" s="24">
        <f>'Intermediate calculations'!AK15*'Intermediate calculations'!AK16*Constants!$H$19</f>
        <v>502223.13806846389</v>
      </c>
      <c r="AQ6" s="24">
        <f>'Intermediate calculations'!AL15*'Intermediate calculations'!AL16*Constants!$H$19</f>
        <v>506496.93036230042</v>
      </c>
      <c r="AR6" s="24">
        <f>'Intermediate calculations'!AM15*'Intermediate calculations'!AM16*Constants!$H$19</f>
        <v>511431.66496664402</v>
      </c>
      <c r="AS6" s="24">
        <f>'Intermediate calculations'!AN15*'Intermediate calculations'!AN16*Constants!$H$19</f>
        <v>516534.11507632968</v>
      </c>
      <c r="AT6" s="24">
        <f>'Intermediate calculations'!AO15*'Intermediate calculations'!AO16*Constants!$H$19</f>
        <v>521898.56643513334</v>
      </c>
      <c r="AU6" s="24">
        <f>'Intermediate calculations'!AP15*'Intermediate calculations'!AP16*Constants!$H$19</f>
        <v>527427.28064535989</v>
      </c>
      <c r="AV6" s="24">
        <f>'Intermediate calculations'!AQ15*'Intermediate calculations'!AQ16*Constants!$H$19</f>
        <v>532053.61374368193</v>
      </c>
      <c r="AW6" s="24">
        <f>'Intermediate calculations'!AR15*'Intermediate calculations'!AR16*Constants!$H$19</f>
        <v>537912.37682677899</v>
      </c>
      <c r="AX6" s="24">
        <f>'Intermediate calculations'!AS15*'Intermediate calculations'!AS16*Constants!$H$19</f>
        <v>543873.30496966746</v>
      </c>
      <c r="AY6" s="24">
        <f>'Intermediate calculations'!AT15*'Intermediate calculations'!AT16*Constants!$H$19</f>
        <v>549973.05958515767</v>
      </c>
      <c r="AZ6" s="24">
        <f>'Intermediate calculations'!AU15*'Intermediate calculations'!AU16*Constants!$H$19</f>
        <v>555786.2952460706</v>
      </c>
      <c r="BA6" s="24">
        <f>'Intermediate calculations'!AV15*'Intermediate calculations'!AV16*Constants!$H$19</f>
        <v>561910.40468229388</v>
      </c>
      <c r="BB6" s="24">
        <f>'Intermediate calculations'!AW15*'Intermediate calculations'!AW16*Constants!$H$19</f>
        <v>568350.69750894897</v>
      </c>
      <c r="BC6" s="24">
        <f>'Intermediate calculations'!AX15*'Intermediate calculations'!AX16*Constants!$H$19</f>
        <v>574989.23030226398</v>
      </c>
      <c r="BD6" s="24">
        <f>'Intermediate calculations'!AY15*'Intermediate calculations'!AY16*Constants!$H$19</f>
        <v>581514.54424488358</v>
      </c>
      <c r="BE6" s="24">
        <f>'Intermediate calculations'!AZ15*'Intermediate calculations'!AZ16*Constants!$H$19</f>
        <v>588240.97173753928</v>
      </c>
      <c r="BF6" s="24">
        <f>'Intermediate calculations'!BA15*'Intermediate calculations'!BA16*Constants!$H$19</f>
        <v>595354.66775871161</v>
      </c>
      <c r="BG6" s="24">
        <f>'Intermediate calculations'!BB15*'Intermediate calculations'!BB16*Constants!$H$19</f>
        <v>602766.46752508765</v>
      </c>
      <c r="BH6" s="24">
        <f>'Intermediate calculations'!BC15*'Intermediate calculations'!BC16*Constants!$H$19</f>
        <v>610447.25658498309</v>
      </c>
      <c r="BI6" s="24">
        <f>'Intermediate calculations'!BD15*'Intermediate calculations'!BD16*Constants!$H$19</f>
        <v>618408.31983814121</v>
      </c>
      <c r="BJ6" s="24">
        <f>'Intermediate calculations'!BE15*'Intermediate calculations'!BE16*Constants!$H$19</f>
        <v>626650.72934843751</v>
      </c>
      <c r="BK6" s="24">
        <f>'Intermediate calculations'!BF15*'Intermediate calculations'!BF16*Constants!$H$19</f>
        <v>635248.55071213946</v>
      </c>
      <c r="BL6" s="24">
        <f>'Intermediate calculations'!BG15*'Intermediate calculations'!BG16*Constants!$H$19</f>
        <v>643278.87576739409</v>
      </c>
      <c r="BM6" s="24">
        <f>'Intermediate calculations'!BH15*'Intermediate calculations'!BH16*Constants!$H$19</f>
        <v>651625.12126751139</v>
      </c>
      <c r="BN6" s="24">
        <f>'Intermediate calculations'!BI15*'Intermediate calculations'!BI16*Constants!$H$19</f>
        <v>660356.24188561703</v>
      </c>
      <c r="BO6" s="24">
        <f>'Intermediate calculations'!BJ15*'Intermediate calculations'!BJ16*Constants!$H$19</f>
        <v>669507.49823446188</v>
      </c>
      <c r="BP6" s="24">
        <f>'Intermediate calculations'!BK15*'Intermediate calculations'!BK16*Constants!$H$19</f>
        <v>679296.0949472955</v>
      </c>
    </row>
    <row r="7" spans="1:72" s="23" customFormat="1" x14ac:dyDescent="0.25">
      <c r="A7" s="23" t="str">
        <f t="shared" si="1"/>
        <v>3A Livestock</v>
      </c>
      <c r="C7" s="23" t="str">
        <f>'IPCC Categories'!D6</f>
        <v>3A1aii Other cattle</v>
      </c>
      <c r="D7" t="str">
        <f>'IPCC Categories'!F41</f>
        <v>Non-lactating</v>
      </c>
      <c r="E7" s="23" t="str">
        <f>E6</f>
        <v>Population</v>
      </c>
      <c r="F7" s="23" t="str">
        <f>F6</f>
        <v>Head</v>
      </c>
      <c r="H7" s="43">
        <f>Data!C53</f>
        <v>585792.9</v>
      </c>
      <c r="I7" s="43">
        <f>Data!D53</f>
        <v>665847.14000000013</v>
      </c>
      <c r="J7" s="43">
        <f>Data!E53</f>
        <v>575959.50999999989</v>
      </c>
      <c r="K7" s="43">
        <f>Data!F53</f>
        <v>602759.85000000009</v>
      </c>
      <c r="L7" s="43">
        <f>Data!G53</f>
        <v>536625.95000000007</v>
      </c>
      <c r="M7" s="43">
        <f>Data!H53</f>
        <v>583093.06999999995</v>
      </c>
      <c r="N7" s="43">
        <f>Data!I53</f>
        <v>592926.46</v>
      </c>
      <c r="O7" s="43">
        <f>Data!J53</f>
        <v>572912.89999999991</v>
      </c>
      <c r="P7" s="43">
        <f>Data!K53</f>
        <v>543412.73</v>
      </c>
      <c r="Q7" s="43">
        <f>Data!L53</f>
        <v>572566.12</v>
      </c>
      <c r="R7" s="43">
        <f>Data!M53</f>
        <v>709614.43</v>
      </c>
      <c r="S7" s="43">
        <f>Data!N53</f>
        <v>699781.04</v>
      </c>
      <c r="T7" s="43">
        <f>Data!O53</f>
        <v>642440.19000000006</v>
      </c>
      <c r="U7" s="43">
        <f>Data!P53</f>
        <v>543412.73</v>
      </c>
      <c r="V7" s="43">
        <f>Data!Q53</f>
        <v>507125.77999999997</v>
      </c>
      <c r="W7" s="43">
        <f>Data!R53</f>
        <v>553592.9</v>
      </c>
      <c r="X7" s="43">
        <f>Data!S53</f>
        <v>546806.12</v>
      </c>
      <c r="Y7" s="43">
        <f>Data!T53</f>
        <v>553246.12</v>
      </c>
      <c r="Z7" s="43">
        <f>Data!U53</f>
        <v>647220.70000000019</v>
      </c>
      <c r="AA7" s="43">
        <f>Data!V53</f>
        <v>673674.26</v>
      </c>
      <c r="AB7" s="43">
        <f>Data!W53</f>
        <v>673674.26</v>
      </c>
      <c r="AC7" s="43">
        <f>Data!X53</f>
        <v>633993.92000000016</v>
      </c>
      <c r="AD7" s="24">
        <f>'Intermediate calculations'!Y15*'Intermediate calculations'!Y16*(1-Constants!$H$18-Constants!$H$19)</f>
        <v>607562.91644691292</v>
      </c>
      <c r="AE7" s="24">
        <f>'Intermediate calculations'!Z15*'Intermediate calculations'!Z16*(1-Constants!$H$18-Constants!$H$19)</f>
        <v>611967.52445910231</v>
      </c>
      <c r="AF7" s="24">
        <f>'Intermediate calculations'!AA15*'Intermediate calculations'!AA16*(1-Constants!$H$18-Constants!$H$19)</f>
        <v>614786.86185701797</v>
      </c>
      <c r="AG7" s="24">
        <f>'Intermediate calculations'!AB15*'Intermediate calculations'!AB16*(1-Constants!$H$18-Constants!$H$19)</f>
        <v>616359.59017189883</v>
      </c>
      <c r="AH7" s="24">
        <f>'Intermediate calculations'!AC15*'Intermediate calculations'!AC16*(1-Constants!$H$18-Constants!$H$19)</f>
        <v>617219.31641015073</v>
      </c>
      <c r="AI7" s="24">
        <f>'Intermediate calculations'!AD15*'Intermediate calculations'!AD16*(1-Constants!$H$18-Constants!$H$19)</f>
        <v>619070.60876719444</v>
      </c>
      <c r="AJ7" s="24">
        <f>'Intermediate calculations'!AE15*'Intermediate calculations'!AE16*(1-Constants!$H$18-Constants!$H$19)</f>
        <v>621525.42252055358</v>
      </c>
      <c r="AK7" s="24">
        <f>'Intermediate calculations'!AF15*'Intermediate calculations'!AF16*(1-Constants!$H$18-Constants!$H$19)</f>
        <v>624044.09288574418</v>
      </c>
      <c r="AL7" s="24">
        <f>'Intermediate calculations'!AG15*'Intermediate calculations'!AG16*(1-Constants!$H$18-Constants!$H$19)</f>
        <v>603695.58447457815</v>
      </c>
      <c r="AM7" s="24">
        <f>'Intermediate calculations'!AH15*'Intermediate calculations'!AH16*(1-Constants!$H$18-Constants!$H$19)</f>
        <v>608400.49864714337</v>
      </c>
      <c r="AN7" s="24">
        <f>'Intermediate calculations'!AI15*'Intermediate calculations'!AI16*(1-Constants!$H$18-Constants!$H$19)</f>
        <v>613036.02319420106</v>
      </c>
      <c r="AO7" s="24">
        <f>'Intermediate calculations'!AJ15*'Intermediate calculations'!AJ16*(1-Constants!$H$18-Constants!$H$19)</f>
        <v>618065.71289248555</v>
      </c>
      <c r="AP7" s="24">
        <f>'Intermediate calculations'!AK15*'Intermediate calculations'!AK16*(1-Constants!$H$18-Constants!$H$19)</f>
        <v>623449.41277464491</v>
      </c>
      <c r="AQ7" s="24">
        <f>'Intermediate calculations'!AL15*'Intermediate calculations'!AL16*(1-Constants!$H$18-Constants!$H$19)</f>
        <v>628754.81010492472</v>
      </c>
      <c r="AR7" s="24">
        <f>'Intermediate calculations'!AM15*'Intermediate calculations'!AM16*(1-Constants!$H$18-Constants!$H$19)</f>
        <v>634880.68754479953</v>
      </c>
      <c r="AS7" s="24">
        <f>'Intermediate calculations'!AN15*'Intermediate calculations'!AN16*(1-Constants!$H$18-Constants!$H$19)</f>
        <v>641214.76354303013</v>
      </c>
      <c r="AT7" s="24">
        <f>'Intermediate calculations'!AO15*'Intermediate calculations'!AO16*(1-Constants!$H$18-Constants!$H$19)</f>
        <v>647874.08247120015</v>
      </c>
      <c r="AU7" s="24">
        <f>'Intermediate calculations'!AP15*'Intermediate calculations'!AP16*(1-Constants!$H$18-Constants!$H$19)</f>
        <v>654737.31390458473</v>
      </c>
      <c r="AV7" s="24">
        <f>'Intermediate calculations'!AQ15*'Intermediate calculations'!AQ16*(1-Constants!$H$18-Constants!$H$19)</f>
        <v>660480.34809560527</v>
      </c>
      <c r="AW7" s="24">
        <f>'Intermediate calculations'!AR15*'Intermediate calculations'!AR16*(1-Constants!$H$18-Constants!$H$19)</f>
        <v>667753.295371174</v>
      </c>
      <c r="AX7" s="24">
        <f>'Intermediate calculations'!AS15*'Intermediate calculations'!AS16*(1-Constants!$H$18-Constants!$H$19)</f>
        <v>675153.06823820807</v>
      </c>
      <c r="AY7" s="24">
        <f>'Intermediate calculations'!AT15*'Intermediate calculations'!AT16*(1-Constants!$H$18-Constants!$H$19)</f>
        <v>682725.17741605791</v>
      </c>
      <c r="AZ7" s="24">
        <f>'Intermediate calculations'!AU15*'Intermediate calculations'!AU16*(1-Constants!$H$18-Constants!$H$19)</f>
        <v>689941.60789167404</v>
      </c>
      <c r="BA7" s="24">
        <f>'Intermediate calculations'!AV15*'Intermediate calculations'!AV16*(1-Constants!$H$18-Constants!$H$19)</f>
        <v>697543.95064008911</v>
      </c>
      <c r="BB7" s="24">
        <f>'Intermediate calculations'!AW15*'Intermediate calculations'!AW16*(1-Constants!$H$18-Constants!$H$19)</f>
        <v>705538.7969076609</v>
      </c>
      <c r="BC7" s="24">
        <f>'Intermediate calculations'!AX15*'Intermediate calculations'!AX16*(1-Constants!$H$18-Constants!$H$19)</f>
        <v>713779.73416832788</v>
      </c>
      <c r="BD7" s="24">
        <f>'Intermediate calculations'!AY15*'Intermediate calculations'!AY16*(1-Constants!$H$18-Constants!$H$19)</f>
        <v>721880.12389020051</v>
      </c>
      <c r="BE7" s="24">
        <f>'Intermediate calculations'!AZ15*'Intermediate calculations'!AZ16*(1-Constants!$H$18-Constants!$H$19)</f>
        <v>730230.17181211791</v>
      </c>
      <c r="BF7" s="24">
        <f>'Intermediate calculations'!BA15*'Intermediate calculations'!BA16*(1-Constants!$H$18-Constants!$H$19)</f>
        <v>739060.96687288349</v>
      </c>
      <c r="BG7" s="24">
        <f>'Intermediate calculations'!BB15*'Intermediate calculations'!BB16*(1-Constants!$H$18-Constants!$H$19)</f>
        <v>748261.8217552813</v>
      </c>
      <c r="BH7" s="24">
        <f>'Intermediate calculations'!BC15*'Intermediate calculations'!BC16*(1-Constants!$H$18-Constants!$H$19)</f>
        <v>757796.59438135836</v>
      </c>
      <c r="BI7" s="24">
        <f>'Intermediate calculations'!BD15*'Intermediate calculations'!BD16*(1-Constants!$H$18-Constants!$H$19)</f>
        <v>767679.29359217547</v>
      </c>
      <c r="BJ7" s="24">
        <f>'Intermediate calculations'!BE15*'Intermediate calculations'!BE16*(1-Constants!$H$18-Constants!$H$19)</f>
        <v>777911.25022564665</v>
      </c>
      <c r="BK7" s="24">
        <f>'Intermediate calculations'!BF15*'Intermediate calculations'!BF16*(1-Constants!$H$18-Constants!$H$19)</f>
        <v>788584.40778058709</v>
      </c>
      <c r="BL7" s="24">
        <f>'Intermediate calculations'!BG15*'Intermediate calculations'!BG16*(1-Constants!$H$18-Constants!$H$19)</f>
        <v>798553.08715952386</v>
      </c>
      <c r="BM7" s="24">
        <f>'Intermediate calculations'!BH15*'Intermediate calculations'!BH16*(1-Constants!$H$18-Constants!$H$19)</f>
        <v>808913.94364242814</v>
      </c>
      <c r="BN7" s="24">
        <f>'Intermediate calculations'!BI15*'Intermediate calculations'!BI16*(1-Constants!$H$18-Constants!$H$19)</f>
        <v>819752.57613386959</v>
      </c>
      <c r="BO7" s="24">
        <f>'Intermediate calculations'!BJ15*'Intermediate calculations'!BJ16*(1-Constants!$H$18-Constants!$H$19)</f>
        <v>831112.75642898725</v>
      </c>
      <c r="BP7" s="24">
        <f>'Intermediate calculations'!BK15*'Intermediate calculations'!BK16*(1-Constants!$H$18-Constants!$H$19)</f>
        <v>843264.11786560831</v>
      </c>
    </row>
    <row r="8" spans="1:72" s="23" customFormat="1" x14ac:dyDescent="0.25">
      <c r="A8" s="23" t="str">
        <f t="shared" si="1"/>
        <v>3A Livestock</v>
      </c>
      <c r="C8" s="23" t="str">
        <f>C7</f>
        <v>3A1aii Other cattle</v>
      </c>
      <c r="D8" t="str">
        <f>'IPCC Categories'!$F$36</f>
        <v>Commercial</v>
      </c>
      <c r="E8" s="23" t="str">
        <f>E6</f>
        <v>Population</v>
      </c>
      <c r="F8" s="23" t="str">
        <f>F6</f>
        <v>Head</v>
      </c>
      <c r="H8" s="43">
        <f>Data!C54</f>
        <v>6817100</v>
      </c>
      <c r="I8" s="43">
        <f>Data!D54</f>
        <v>6522860</v>
      </c>
      <c r="J8" s="43">
        <f>Data!E54</f>
        <v>6520490</v>
      </c>
      <c r="K8" s="43">
        <f>Data!F54</f>
        <v>6100150</v>
      </c>
      <c r="L8" s="43">
        <f>Data!G54</f>
        <v>6284050</v>
      </c>
      <c r="M8" s="43">
        <f>Data!H54</f>
        <v>6426930</v>
      </c>
      <c r="N8" s="43">
        <f>Data!I54</f>
        <v>6693540</v>
      </c>
      <c r="O8" s="43">
        <f>Data!J54</f>
        <v>6947100</v>
      </c>
      <c r="P8" s="43">
        <f>Data!K54</f>
        <v>7007270</v>
      </c>
      <c r="Q8" s="43">
        <f>Data!L54</f>
        <v>6893880</v>
      </c>
      <c r="R8" s="43">
        <f>Data!M54</f>
        <v>6425570</v>
      </c>
      <c r="S8" s="43">
        <f>Data!N54</f>
        <v>6458960</v>
      </c>
      <c r="T8" s="43">
        <f>Data!O54</f>
        <v>6019810</v>
      </c>
      <c r="U8" s="43">
        <f>Data!P54</f>
        <v>6177270</v>
      </c>
      <c r="V8" s="43">
        <f>Data!Q54</f>
        <v>6234220</v>
      </c>
      <c r="W8" s="43">
        <f>Data!R54</f>
        <v>6287100</v>
      </c>
      <c r="X8" s="43">
        <f>Data!S54</f>
        <v>6143880</v>
      </c>
      <c r="Y8" s="43">
        <f>Data!T54</f>
        <v>6323880</v>
      </c>
      <c r="Z8" s="43">
        <f>Data!U54</f>
        <v>6148152.25</v>
      </c>
      <c r="AA8" s="43">
        <f>Data!V54</f>
        <v>6044920.583333333</v>
      </c>
      <c r="AB8" s="43">
        <f>Data!W54</f>
        <v>6025917.666666667</v>
      </c>
      <c r="AC8" s="43">
        <f>Data!X54</f>
        <v>6004279.833333333</v>
      </c>
      <c r="AD8" s="24">
        <f>'Intermediate calculations'!Y10*'Intermediate calculations'!Y11*Constants!$H$20</f>
        <v>5987560.9168448756</v>
      </c>
      <c r="AE8" s="24">
        <f>'Intermediate calculations'!Z10*'Intermediate calculations'!Z11*Constants!$H$20</f>
        <v>5966351.906934524</v>
      </c>
      <c r="AF8" s="24">
        <f>'Intermediate calculations'!AA10*'Intermediate calculations'!AA11*Constants!$H$20</f>
        <v>5888308.5341337323</v>
      </c>
      <c r="AG8" s="24">
        <f>'Intermediate calculations'!AB10*'Intermediate calculations'!AB11*Constants!$H$20</f>
        <v>5767595.7744421698</v>
      </c>
      <c r="AH8" s="24">
        <f>'Intermediate calculations'!AC10*'Intermediate calculations'!AC11*Constants!$H$20</f>
        <v>5622432.9586588927</v>
      </c>
      <c r="AI8" s="24">
        <f>'Intermediate calculations'!AD10*'Intermediate calculations'!AD11*Constants!$H$20</f>
        <v>5500725.1419406272</v>
      </c>
      <c r="AJ8" s="24">
        <f>'Intermediate calculations'!AE10*'Intermediate calculations'!AE11*Constants!$H$20</f>
        <v>5393139.9758480648</v>
      </c>
      <c r="AK8" s="24">
        <f>'Intermediate calculations'!AF10*'Intermediate calculations'!AF11*Constants!$H$20</f>
        <v>5284773.636318502</v>
      </c>
      <c r="AL8" s="24">
        <f>'Intermediate calculations'!AG10*'Intermediate calculations'!AG11*Constants!$H$20</f>
        <v>4606924.5055552442</v>
      </c>
      <c r="AM8" s="24">
        <f>'Intermediate calculations'!AH10*'Intermediate calculations'!AH11*Constants!$H$20</f>
        <v>4633259.0416614609</v>
      </c>
      <c r="AN8" s="24">
        <f>'Intermediate calculations'!AI10*'Intermediate calculations'!AI11*Constants!$H$20</f>
        <v>4659582.3597973334</v>
      </c>
      <c r="AO8" s="24">
        <f>'Intermediate calculations'!AJ10*'Intermediate calculations'!AJ11*Constants!$H$20</f>
        <v>4697085.0528301038</v>
      </c>
      <c r="AP8" s="24">
        <f>'Intermediate calculations'!AK10*'Intermediate calculations'!AK11*Constants!$H$20</f>
        <v>4740998.8220209582</v>
      </c>
      <c r="AQ8" s="24">
        <f>'Intermediate calculations'!AL10*'Intermediate calculations'!AL11*Constants!$H$20</f>
        <v>4781169.2522685258</v>
      </c>
      <c r="AR8" s="24">
        <f>'Intermediate calculations'!AM10*'Intermediate calculations'!AM11*Constants!$H$20</f>
        <v>4838225.3324030684</v>
      </c>
      <c r="AS8" s="24">
        <f>'Intermediate calculations'!AN10*'Intermediate calculations'!AN11*Constants!$H$20</f>
        <v>4897794.9218685627</v>
      </c>
      <c r="AT8" s="24">
        <f>'Intermediate calculations'!AO10*'Intermediate calculations'!AO11*Constants!$H$20</f>
        <v>4962387.3499308415</v>
      </c>
      <c r="AU8" s="24">
        <f>'Intermediate calculations'!AP10*'Intermediate calculations'!AP11*Constants!$H$20</f>
        <v>5028778.2179419193</v>
      </c>
      <c r="AV8" s="24">
        <f>'Intermediate calculations'!AQ10*'Intermediate calculations'!AQ11*Constants!$H$20</f>
        <v>5068546.2621198529</v>
      </c>
      <c r="AW8" s="24">
        <f>'Intermediate calculations'!AR10*'Intermediate calculations'!AR11*Constants!$H$20</f>
        <v>5095588.9600736601</v>
      </c>
      <c r="AX8" s="24">
        <f>'Intermediate calculations'!AS10*'Intermediate calculations'!AS11*Constants!$H$20</f>
        <v>5120677.4354948224</v>
      </c>
      <c r="AY8" s="24">
        <f>'Intermediate calculations'!AT10*'Intermediate calculations'!AT11*Constants!$H$20</f>
        <v>5144659.3184120441</v>
      </c>
      <c r="AZ8" s="24">
        <f>'Intermediate calculations'!AU10*'Intermediate calculations'!AU11*Constants!$H$20</f>
        <v>5156996.849436908</v>
      </c>
      <c r="BA8" s="24">
        <f>'Intermediate calculations'!AV10*'Intermediate calculations'!AV11*Constants!$H$20</f>
        <v>5172418.0672800476</v>
      </c>
      <c r="BB8" s="24">
        <f>'Intermediate calculations'!AW10*'Intermediate calculations'!AW11*Constants!$H$20</f>
        <v>5190612.4984570295</v>
      </c>
      <c r="BC8" s="24">
        <f>'Intermediate calculations'!AX10*'Intermediate calculations'!AX11*Constants!$H$20</f>
        <v>5208484.7384388931</v>
      </c>
      <c r="BD8" s="24">
        <f>'Intermediate calculations'!AY10*'Intermediate calculations'!AY11*Constants!$H$20</f>
        <v>5218947.2868561791</v>
      </c>
      <c r="BE8" s="24">
        <f>'Intermediate calculations'!AZ10*'Intermediate calculations'!AZ11*Constants!$H$20</f>
        <v>5228914.5397842331</v>
      </c>
      <c r="BF8" s="24">
        <f>'Intermediate calculations'!BA10*'Intermediate calculations'!BA11*Constants!$H$20</f>
        <v>5242038.2710351618</v>
      </c>
      <c r="BG8" s="24">
        <f>'Intermediate calculations'!BB10*'Intermediate calculations'!BB11*Constants!$H$20</f>
        <v>5282781.234788104</v>
      </c>
      <c r="BH8" s="24">
        <f>'Intermediate calculations'!BC10*'Intermediate calculations'!BC11*Constants!$H$20</f>
        <v>5324621.8977270694</v>
      </c>
      <c r="BI8" s="24">
        <f>'Intermediate calculations'!BD10*'Intermediate calculations'!BD11*Constants!$H$20</f>
        <v>5367516.7456353968</v>
      </c>
      <c r="BJ8" s="24">
        <f>'Intermediate calculations'!BE10*'Intermediate calculations'!BE11*Constants!$H$20</f>
        <v>5411206.5144604836</v>
      </c>
      <c r="BK8" s="24">
        <f>'Intermediate calculations'!BF10*'Intermediate calculations'!BF11*Constants!$H$20</f>
        <v>5456812.5771805048</v>
      </c>
      <c r="BL8" s="24">
        <f>'Intermediate calculations'!BG10*'Intermediate calculations'!BG11*Constants!$H$20</f>
        <v>5486952.5850192551</v>
      </c>
      <c r="BM8" s="24">
        <f>'Intermediate calculations'!BH10*'Intermediate calculations'!BH11*Constants!$H$20</f>
        <v>5518311.5627374789</v>
      </c>
      <c r="BN8" s="24">
        <f>'Intermediate calculations'!BI10*'Intermediate calculations'!BI11*Constants!$H$20</f>
        <v>5551791.6220012493</v>
      </c>
      <c r="BO8" s="24">
        <f>'Intermediate calculations'!BJ10*'Intermediate calculations'!BJ11*Constants!$H$20</f>
        <v>5587620.9402933326</v>
      </c>
      <c r="BP8" s="24">
        <f>'Intermediate calculations'!BK10*'Intermediate calculations'!BK11*Constants!$H$20</f>
        <v>5629041.0697912751</v>
      </c>
    </row>
    <row r="9" spans="1:72" s="23" customFormat="1" x14ac:dyDescent="0.25">
      <c r="A9" s="23" t="str">
        <f t="shared" si="1"/>
        <v>3A Livestock</v>
      </c>
      <c r="C9" s="23" t="str">
        <f>$C$8</f>
        <v>3A1aii Other cattle</v>
      </c>
      <c r="D9" t="str">
        <f>'IPCC Categories'!$F$37</f>
        <v>Subsistence</v>
      </c>
      <c r="E9" s="23" t="str">
        <f t="shared" ref="E9:E22" si="2">E8</f>
        <v>Population</v>
      </c>
      <c r="F9" s="23" t="str">
        <f t="shared" ref="F9:F22" si="3">F8</f>
        <v>Head</v>
      </c>
      <c r="H9" s="43">
        <f>Data!C55</f>
        <v>4590000</v>
      </c>
      <c r="I9" s="43">
        <f>Data!D55</f>
        <v>4870000</v>
      </c>
      <c r="J9" s="43">
        <f>Data!E55</f>
        <v>5100000</v>
      </c>
      <c r="K9" s="43">
        <f>Data!F55</f>
        <v>5040000</v>
      </c>
      <c r="L9" s="43">
        <f>Data!G55</f>
        <v>4390000</v>
      </c>
      <c r="M9" s="43">
        <f>Data!H55</f>
        <v>4240000</v>
      </c>
      <c r="N9" s="43">
        <f>Data!I55</f>
        <v>4360000</v>
      </c>
      <c r="O9" s="43">
        <f>Data!J55</f>
        <v>4560000</v>
      </c>
      <c r="P9" s="43">
        <f>Data!K55</f>
        <v>4840000</v>
      </c>
      <c r="Q9" s="43">
        <f>Data!L55</f>
        <v>5040000</v>
      </c>
      <c r="R9" s="43">
        <f>Data!M55</f>
        <v>4920000</v>
      </c>
      <c r="S9" s="43">
        <f>Data!N55</f>
        <v>4800000</v>
      </c>
      <c r="T9" s="43">
        <f>Data!O55</f>
        <v>5440000</v>
      </c>
      <c r="U9" s="43">
        <f>Data!P55</f>
        <v>5570000</v>
      </c>
      <c r="V9" s="43">
        <f>Data!Q55</f>
        <v>5480000</v>
      </c>
      <c r="W9" s="43">
        <f>Data!R55</f>
        <v>5320000</v>
      </c>
      <c r="X9" s="43">
        <f>Data!S55</f>
        <v>5490000</v>
      </c>
      <c r="Y9" s="43">
        <f>Data!T55</f>
        <v>5710000</v>
      </c>
      <c r="Z9" s="43">
        <f>Data!U55</f>
        <v>5620000</v>
      </c>
      <c r="AA9" s="43">
        <f>Data!V55</f>
        <v>5560000</v>
      </c>
      <c r="AB9" s="43">
        <f>Data!W55</f>
        <v>5480000</v>
      </c>
      <c r="AC9" s="43">
        <f>Data!X55</f>
        <v>5520000</v>
      </c>
      <c r="AD9" s="24">
        <f>'Intermediate calculations'!Y10*'Intermediate calculations'!Y11*(1-Constants!$H$20)</f>
        <v>5309723.8319190396</v>
      </c>
      <c r="AE9" s="24">
        <f>'Intermediate calculations'!Z10*'Intermediate calculations'!Z11*(1-Constants!$H$20)</f>
        <v>5290915.8419985399</v>
      </c>
      <c r="AF9" s="24">
        <f>'Intermediate calculations'!AA10*'Intermediate calculations'!AA11*(1-Constants!$H$20)</f>
        <v>5221707.5680053849</v>
      </c>
      <c r="AG9" s="24">
        <f>'Intermediate calculations'!AB10*'Intermediate calculations'!AB11*(1-Constants!$H$20)</f>
        <v>5114660.4037506022</v>
      </c>
      <c r="AH9" s="24">
        <f>'Intermediate calculations'!AC10*'Intermediate calculations'!AC11*(1-Constants!$H$20)</f>
        <v>4985931.1142824143</v>
      </c>
      <c r="AI9" s="24">
        <f>'Intermediate calculations'!AD10*'Intermediate calculations'!AD11*(1-Constants!$H$20)</f>
        <v>4878001.5409662165</v>
      </c>
      <c r="AJ9" s="24">
        <f>'Intermediate calculations'!AE10*'Intermediate calculations'!AE11*(1-Constants!$H$20)</f>
        <v>4782595.8276388487</v>
      </c>
      <c r="AK9" s="24">
        <f>'Intermediate calculations'!AF10*'Intermediate calculations'!AF11*(1-Constants!$H$20)</f>
        <v>4686497.3756031999</v>
      </c>
      <c r="AL9" s="24">
        <f>'Intermediate calculations'!AG10*'Intermediate calculations'!AG11*(1-Constants!$H$20)</f>
        <v>4085385.8822848387</v>
      </c>
      <c r="AM9" s="24">
        <f>'Intermediate calculations'!AH10*'Intermediate calculations'!AH11*(1-Constants!$H$20)</f>
        <v>4108739.1501526157</v>
      </c>
      <c r="AN9" s="24">
        <f>'Intermediate calculations'!AI10*'Intermediate calculations'!AI11*(1-Constants!$H$20)</f>
        <v>4132082.4700089553</v>
      </c>
      <c r="AO9" s="24">
        <f>'Intermediate calculations'!AJ10*'Intermediate calculations'!AJ11*(1-Constants!$H$20)</f>
        <v>4165339.5751512237</v>
      </c>
      <c r="AP9" s="24">
        <f>'Intermediate calculations'!AK10*'Intermediate calculations'!AK11*(1-Constants!$H$20)</f>
        <v>4204281.9742449997</v>
      </c>
      <c r="AQ9" s="24">
        <f>'Intermediate calculations'!AL10*'Intermediate calculations'!AL11*(1-Constants!$H$20)</f>
        <v>4239904.8086154843</v>
      </c>
      <c r="AR9" s="24">
        <f>'Intermediate calculations'!AM10*'Intermediate calculations'!AM11*(1-Constants!$H$20)</f>
        <v>4290501.7098668711</v>
      </c>
      <c r="AS9" s="24">
        <f>'Intermediate calculations'!AN10*'Intermediate calculations'!AN11*(1-Constants!$H$20)</f>
        <v>4343327.5722230654</v>
      </c>
      <c r="AT9" s="24">
        <f>'Intermediate calculations'!AO10*'Intermediate calculations'!AO11*(1-Constants!$H$20)</f>
        <v>4400607.6499386709</v>
      </c>
      <c r="AU9" s="24">
        <f>'Intermediate calculations'!AP10*'Intermediate calculations'!AP11*(1-Constants!$H$20)</f>
        <v>4459482.5706277397</v>
      </c>
      <c r="AV9" s="24">
        <f>'Intermediate calculations'!AQ10*'Intermediate calculations'!AQ11*(1-Constants!$H$20)</f>
        <v>4494748.5720685488</v>
      </c>
      <c r="AW9" s="24">
        <f>'Intermediate calculations'!AR10*'Intermediate calculations'!AR11*(1-Constants!$H$20)</f>
        <v>4518729.8325181501</v>
      </c>
      <c r="AX9" s="24">
        <f>'Intermediate calculations'!AS10*'Intermediate calculations'!AS11*(1-Constants!$H$20)</f>
        <v>4540978.1031746538</v>
      </c>
      <c r="AY9" s="24">
        <f>'Intermediate calculations'!AT10*'Intermediate calculations'!AT11*(1-Constants!$H$20)</f>
        <v>4562245.0559503036</v>
      </c>
      <c r="AZ9" s="24">
        <f>'Intermediate calculations'!AU10*'Intermediate calculations'!AU11*(1-Constants!$H$20)</f>
        <v>4573185.8853497105</v>
      </c>
      <c r="BA9" s="24">
        <f>'Intermediate calculations'!AV10*'Intermediate calculations'!AV11*(1-Constants!$H$20)</f>
        <v>4586861.304946457</v>
      </c>
      <c r="BB9" s="24">
        <f>'Intermediate calculations'!AW10*'Intermediate calculations'!AW11*(1-Constants!$H$20)</f>
        <v>4602995.9891977422</v>
      </c>
      <c r="BC9" s="24">
        <f>'Intermediate calculations'!AX10*'Intermediate calculations'!AX11*(1-Constants!$H$20)</f>
        <v>4618844.9567288291</v>
      </c>
      <c r="BD9" s="24">
        <f>'Intermediate calculations'!AY10*'Intermediate calculations'!AY11*(1-Constants!$H$20)</f>
        <v>4628123.0657026498</v>
      </c>
      <c r="BE9" s="24">
        <f>'Intermediate calculations'!AZ10*'Intermediate calculations'!AZ11*(1-Constants!$H$20)</f>
        <v>4636961.9503746973</v>
      </c>
      <c r="BF9" s="24">
        <f>'Intermediate calculations'!BA10*'Intermediate calculations'!BA11*(1-Constants!$H$20)</f>
        <v>4648599.9762009913</v>
      </c>
      <c r="BG9" s="24">
        <f>'Intermediate calculations'!BB10*'Intermediate calculations'!BB11*(1-Constants!$H$20)</f>
        <v>4684730.5289630359</v>
      </c>
      <c r="BH9" s="24">
        <f>'Intermediate calculations'!BC10*'Intermediate calculations'!BC11*(1-Constants!$H$20)</f>
        <v>4721834.5130787222</v>
      </c>
      <c r="BI9" s="24">
        <f>'Intermediate calculations'!BD10*'Intermediate calculations'!BD11*(1-Constants!$H$20)</f>
        <v>4759873.3404691247</v>
      </c>
      <c r="BJ9" s="24">
        <f>'Intermediate calculations'!BE10*'Intermediate calculations'!BE11*(1-Constants!$H$20)</f>
        <v>4798617.0977291074</v>
      </c>
      <c r="BK9" s="24">
        <f>'Intermediate calculations'!BF10*'Intermediate calculations'!BF11*(1-Constants!$H$20)</f>
        <v>4839060.2099525221</v>
      </c>
      <c r="BL9" s="24">
        <f>'Intermediate calculations'!BG10*'Intermediate calculations'!BG11*(1-Constants!$H$20)</f>
        <v>4865788.1414321698</v>
      </c>
      <c r="BM9" s="24">
        <f>'Intermediate calculations'!BH10*'Intermediate calculations'!BH11*(1-Constants!$H$20)</f>
        <v>4893597.0462011592</v>
      </c>
      <c r="BN9" s="24">
        <f>'Intermediate calculations'!BI10*'Intermediate calculations'!BI11*(1-Constants!$H$20)</f>
        <v>4923286.9100765791</v>
      </c>
      <c r="BO9" s="24">
        <f>'Intermediate calculations'!BJ10*'Intermediate calculations'!BJ11*(1-Constants!$H$20)</f>
        <v>4955060.0791280493</v>
      </c>
      <c r="BP9" s="24">
        <f>'Intermediate calculations'!BK10*'Intermediate calculations'!BK11*(1-Constants!$H$20)</f>
        <v>4991791.1373620732</v>
      </c>
    </row>
    <row r="10" spans="1:72" s="23" customFormat="1" x14ac:dyDescent="0.25">
      <c r="A10" s="23" t="str">
        <f t="shared" si="1"/>
        <v>3A Livestock</v>
      </c>
      <c r="C10" s="23" t="str">
        <f>$C$9</f>
        <v>3A1aii Other cattle</v>
      </c>
      <c r="D10" t="str">
        <f>'IPCC Categories'!$F$38</f>
        <v>Feedlot</v>
      </c>
      <c r="E10" s="23" t="str">
        <f t="shared" si="2"/>
        <v>Population</v>
      </c>
      <c r="F10" s="23" t="str">
        <f t="shared" si="3"/>
        <v>Head</v>
      </c>
      <c r="H10" s="43">
        <v>420000</v>
      </c>
      <c r="I10" s="43">
        <v>420000</v>
      </c>
      <c r="J10" s="43">
        <v>420000</v>
      </c>
      <c r="K10" s="43">
        <v>420000</v>
      </c>
      <c r="L10" s="43">
        <v>420000</v>
      </c>
      <c r="M10" s="43">
        <v>420000</v>
      </c>
      <c r="N10" s="43">
        <v>420000</v>
      </c>
      <c r="O10" s="43">
        <v>420000</v>
      </c>
      <c r="P10" s="43">
        <v>420000</v>
      </c>
      <c r="Q10" s="43">
        <v>420000</v>
      </c>
      <c r="R10" s="43">
        <v>420000</v>
      </c>
      <c r="S10" s="43">
        <v>420000</v>
      </c>
      <c r="T10" s="43">
        <v>420000</v>
      </c>
      <c r="U10" s="43">
        <v>420000</v>
      </c>
      <c r="V10" s="43">
        <v>420000</v>
      </c>
      <c r="W10" s="43">
        <v>420000</v>
      </c>
      <c r="X10" s="43">
        <v>420000</v>
      </c>
      <c r="Y10" s="43">
        <v>420000</v>
      </c>
      <c r="Z10" s="43">
        <v>391147.75</v>
      </c>
      <c r="AA10" s="43">
        <v>400819.41666666669</v>
      </c>
      <c r="AB10" s="43">
        <v>399822.33333333331</v>
      </c>
      <c r="AC10" s="43">
        <v>461800.16666666669</v>
      </c>
      <c r="AD10" s="24">
        <f>(((('Intermediate calculations'!Y9/('Intermediate calculations'!Y64+0.27))*ttokg)/Constants!$H$21)/(365/'Intermediate calculations'!Y65))</f>
        <v>543254.05095723283</v>
      </c>
      <c r="AE10" s="24">
        <f>(((('Intermediate calculations'!Z9/('Intermediate calculations'!Z64+0.27))*ttokg)/Constants!$H$21)/(365/'Intermediate calculations'!Z65))</f>
        <v>564392.92961005413</v>
      </c>
      <c r="AF10" s="24">
        <f>(((('Intermediate calculations'!AA9/('Intermediate calculations'!AA64+0.27))*ttokg)/Constants!$H$21)/(365/'Intermediate calculations'!AA65))</f>
        <v>580422.98528695328</v>
      </c>
      <c r="AG10" s="24">
        <f>(((('Intermediate calculations'!AB9/('Intermediate calculations'!AB64+0.27))*ttokg)/Constants!$H$21)/(365/'Intermediate calculations'!AB65))</f>
        <v>592150.90926920029</v>
      </c>
      <c r="AH10" s="24">
        <f>(((('Intermediate calculations'!AC9/('Intermediate calculations'!AC64+0.27))*ttokg)/Constants!$H$21)/(365/'Intermediate calculations'!AC65))</f>
        <v>601011.56743827322</v>
      </c>
      <c r="AI10" s="24">
        <f>(((('Intermediate calculations'!AD9/('Intermediate calculations'!AD64+0.27))*ttokg)/Constants!$H$21)/(365/'Intermediate calculations'!AD65))</f>
        <v>612023.22559456096</v>
      </c>
      <c r="AJ10" s="24">
        <f>(((('Intermediate calculations'!AE9/('Intermediate calculations'!AE64+0.27))*ttokg)/Constants!$H$21)/(365/'Intermediate calculations'!AE65))</f>
        <v>624417.71708592214</v>
      </c>
      <c r="AK10" s="24">
        <f>(((('Intermediate calculations'!AF9/('Intermediate calculations'!AF64+0.27))*ttokg)/Constants!$H$21)/(365/'Intermediate calculations'!AF65))</f>
        <v>636600.0390834409</v>
      </c>
      <c r="AL10" s="24">
        <f>(((('Intermediate calculations'!AG9/('Intermediate calculations'!AG64+0.27))*ttokg)/Constants!$H$21)/(365/'Intermediate calculations'!AG65))</f>
        <v>577300.82196282782</v>
      </c>
      <c r="AM10" s="24">
        <f>(((('Intermediate calculations'!AH9/('Intermediate calculations'!AH64+0.27))*ttokg)/Constants!$H$21)/(365/'Intermediate calculations'!AH65))</f>
        <v>594513.61506419233</v>
      </c>
      <c r="AN10" s="24">
        <f>(((('Intermediate calculations'!AI9/('Intermediate calculations'!AI64+0.27))*ttokg)/Constants!$H$21)/(365/'Intermediate calculations'!AI65))</f>
        <v>612021.7794488431</v>
      </c>
      <c r="AO10" s="24">
        <f>(((('Intermediate calculations'!AJ9/('Intermediate calculations'!AJ64+0.27))*ttokg)/Constants!$H$21)/(365/'Intermediate calculations'!AJ65))</f>
        <v>631343.35900149622</v>
      </c>
      <c r="AP10" s="24">
        <f>(((('Intermediate calculations'!AK9/('Intermediate calculations'!AK64+0.27))*ttokg)/Constants!$H$21)/(365/'Intermediate calculations'!AK65))</f>
        <v>651940.37501954101</v>
      </c>
      <c r="AQ10" s="24">
        <f>(((('Intermediate calculations'!AL9/('Intermediate calculations'!AL64+0.27))*ttokg)/Constants!$H$21)/(365/'Intermediate calculations'!AL65))</f>
        <v>672459.81459591386</v>
      </c>
      <c r="AR10" s="24">
        <f>(((('Intermediate calculations'!AM9/('Intermediate calculations'!AM64+0.27))*ttokg)/Constants!$H$21)/(365/'Intermediate calculations'!AM65))</f>
        <v>695848.58091767842</v>
      </c>
      <c r="AS10" s="24">
        <f>(((('Intermediate calculations'!AN9/('Intermediate calculations'!AN64+0.27))*ttokg)/Constants!$H$21)/(365/'Intermediate calculations'!AN65))</f>
        <v>720171.67306973075</v>
      </c>
      <c r="AT10" s="24">
        <f>(((('Intermediate calculations'!AO9/('Intermediate calculations'!AO64+0.27))*ttokg)/Constants!$H$21)/(365/'Intermediate calculations'!AO65))</f>
        <v>745848.52098211809</v>
      </c>
      <c r="AU10" s="24">
        <f>(((('Intermediate calculations'!AP9/('Intermediate calculations'!AP64+0.27))*ttokg)/Constants!$H$21)/(365/'Intermediate calculations'!AP65))</f>
        <v>772452.04958265088</v>
      </c>
      <c r="AV10" s="24">
        <f>(((('Intermediate calculations'!AQ9/('Intermediate calculations'!AQ64+0.27))*ttokg)/Constants!$H$21)/(365/'Intermediate calculations'!AQ65))</f>
        <v>795558.89463722939</v>
      </c>
      <c r="AW10" s="24">
        <f>(((('Intermediate calculations'!AR9/('Intermediate calculations'!AR64+0.27))*ttokg)/Constants!$H$21)/(365/'Intermediate calculations'!AR65))</f>
        <v>826234.08023670339</v>
      </c>
      <c r="AX10" s="24">
        <f>(((('Intermediate calculations'!AS9/('Intermediate calculations'!AS64+0.27))*ttokg)/Constants!$H$21)/(365/'Intermediate calculations'!AS65))</f>
        <v>857794.13685758808</v>
      </c>
      <c r="AY10" s="24">
        <f>(((('Intermediate calculations'!AT9/('Intermediate calculations'!AT64+0.27))*ttokg)/Constants!$H$21)/(365/'Intermediate calculations'!AT65))</f>
        <v>890420.75135807449</v>
      </c>
      <c r="AZ10" s="24">
        <f>(((('Intermediate calculations'!AU9/('Intermediate calculations'!AU64+0.27))*ttokg)/Constants!$H$21)/(365/'Intermediate calculations'!AU65))</f>
        <v>922281.24901180761</v>
      </c>
      <c r="BA10" s="24">
        <f>(((('Intermediate calculations'!AV9/('Intermediate calculations'!AV64+0.27))*ttokg)/Constants!$H$21)/(365/'Intermediate calculations'!AV65))</f>
        <v>955964.12951806723</v>
      </c>
      <c r="BB10" s="24">
        <f>(((('Intermediate calculations'!AW9/('Intermediate calculations'!AW64+0.27))*ttokg)/Constants!$H$21)/(365/'Intermediate calculations'!AW65))</f>
        <v>991540.31117466872</v>
      </c>
      <c r="BC10" s="24">
        <f>(((('Intermediate calculations'!AX9/('Intermediate calculations'!AX64+0.27))*ttokg)/Constants!$H$21)/(365/'Intermediate calculations'!AX65))</f>
        <v>1028532.5410875604</v>
      </c>
      <c r="BD10" s="24">
        <f>(((('Intermediate calculations'!AY9/('Intermediate calculations'!AY64+0.27))*ttokg)/Constants!$H$21)/(365/'Intermediate calculations'!AY65))</f>
        <v>1065575.7824211873</v>
      </c>
      <c r="BE10" s="24">
        <f>(((('Intermediate calculations'!AZ9/('Intermediate calculations'!AZ64+0.27))*ttokg)/Constants!$H$21)/(365/'Intermediate calculations'!AZ65))</f>
        <v>1104070.0756068542</v>
      </c>
      <c r="BF10" s="24">
        <f>(((('Intermediate calculations'!BA9/('Intermediate calculations'!BA64+0.27))*ttokg)/Constants!$H$21)/(365/'Intermediate calculations'!BA65))</f>
        <v>1144898.3861421891</v>
      </c>
      <c r="BG10" s="24">
        <f>(((('Intermediate calculations'!BB9/('Intermediate calculations'!BB64+0.27))*ttokg)/Constants!$H$21)/(365/'Intermediate calculations'!BB65))</f>
        <v>1186226.7620209754</v>
      </c>
      <c r="BH10" s="24">
        <f>(((('Intermediate calculations'!BC9/('Intermediate calculations'!BC64+0.27))*ttokg)/Constants!$H$21)/(365/'Intermediate calculations'!BC65))</f>
        <v>1229344.5644118139</v>
      </c>
      <c r="BI10" s="24">
        <f>(((('Intermediate calculations'!BD9/('Intermediate calculations'!BD64+0.27))*ttokg)/Constants!$H$21)/(365/'Intermediate calculations'!BD65))</f>
        <v>1274338.510259619</v>
      </c>
      <c r="BJ10" s="24">
        <f>(((('Intermediate calculations'!BE9/('Intermediate calculations'!BE64+0.27))*ttokg)/Constants!$H$21)/(365/'Intermediate calculations'!BE65))</f>
        <v>1321247.6402217082</v>
      </c>
      <c r="BK10" s="24">
        <f>(((('Intermediate calculations'!BF9/('Intermediate calculations'!BF64+0.27))*ttokg)/Constants!$H$21)/(365/'Intermediate calculations'!BF65))</f>
        <v>1370457.1321314599</v>
      </c>
      <c r="BL10" s="24">
        <f>(((('Intermediate calculations'!BG9/('Intermediate calculations'!BG64+0.27))*ttokg)/Constants!$H$21)/(365/'Intermediate calculations'!BG65))</f>
        <v>1417610.7155503752</v>
      </c>
      <c r="BM10" s="24">
        <f>(((('Intermediate calculations'!BH9/('Intermediate calculations'!BH64+0.27))*ttokg)/Constants!$H$21)/(365/'Intermediate calculations'!BH65))</f>
        <v>1466898.1845319418</v>
      </c>
      <c r="BN10" s="24">
        <f>(((('Intermediate calculations'!BI9/('Intermediate calculations'!BI64+0.27))*ttokg)/Constants!$H$21)/(365/'Intermediate calculations'!BI65))</f>
        <v>1518690.0436115768</v>
      </c>
      <c r="BO10" s="24">
        <f>(((('Intermediate calculations'!BJ9/('Intermediate calculations'!BJ64+0.27))*ttokg)/Constants!$H$21)/(365/'Intermediate calculations'!BJ65))</f>
        <v>1573204.521058775</v>
      </c>
      <c r="BP10" s="24">
        <f>(((('Intermediate calculations'!BK9/('Intermediate calculations'!BK64+0.27))*ttokg)/Constants!$H$21)/(365/'Intermediate calculations'!BK65))</f>
        <v>1631551.7687170182</v>
      </c>
    </row>
    <row r="11" spans="1:72" s="23" customFormat="1" x14ac:dyDescent="0.25">
      <c r="A11" s="23" t="str">
        <f t="shared" si="1"/>
        <v>3A Livestock</v>
      </c>
      <c r="C11" s="23" t="str">
        <f>'IPCC Categories'!$C$7</f>
        <v>3A1c Sheep</v>
      </c>
      <c r="D11" t="str">
        <f>'IPCC Categories'!F36</f>
        <v>Commercial</v>
      </c>
      <c r="E11" s="23" t="str">
        <f t="shared" si="2"/>
        <v>Population</v>
      </c>
      <c r="F11" s="23" t="str">
        <f t="shared" si="3"/>
        <v>Head</v>
      </c>
      <c r="H11" s="43">
        <v>29979000</v>
      </c>
      <c r="I11" s="43">
        <v>28631000</v>
      </c>
      <c r="J11" s="43">
        <v>27448000</v>
      </c>
      <c r="K11" s="43">
        <v>25670000</v>
      </c>
      <c r="L11" s="43">
        <v>25851000</v>
      </c>
      <c r="M11" s="43">
        <v>25481000</v>
      </c>
      <c r="N11" s="43">
        <v>25566000</v>
      </c>
      <c r="O11" s="43">
        <v>25010000</v>
      </c>
      <c r="P11" s="43">
        <v>25079000</v>
      </c>
      <c r="Q11" s="43">
        <v>24463000</v>
      </c>
      <c r="R11" s="43">
        <v>23586000</v>
      </c>
      <c r="S11" s="43">
        <v>22998000</v>
      </c>
      <c r="T11" s="43">
        <v>22614000</v>
      </c>
      <c r="U11" s="43">
        <v>22693000</v>
      </c>
      <c r="V11" s="43">
        <v>22289000</v>
      </c>
      <c r="W11" s="43">
        <v>22236000</v>
      </c>
      <c r="X11" s="43">
        <v>21945000</v>
      </c>
      <c r="Y11" s="43">
        <v>21924000</v>
      </c>
      <c r="Z11" s="43">
        <v>21995000</v>
      </c>
      <c r="AA11" s="43">
        <v>21917000</v>
      </c>
      <c r="AB11" s="43">
        <v>21493000</v>
      </c>
      <c r="AC11" s="43">
        <v>21325000</v>
      </c>
      <c r="AD11" s="24">
        <f>('Intermediate calculations'!Y27*'Intermediate calculations'!Y28)*Constants!$H$22</f>
        <v>19017937.685529642</v>
      </c>
      <c r="AE11" s="24">
        <f>('Intermediate calculations'!Z27*'Intermediate calculations'!Z28)*Constants!$H$22</f>
        <v>19028630.781799436</v>
      </c>
      <c r="AF11" s="24">
        <f>('Intermediate calculations'!AA27*'Intermediate calculations'!AA28)*Constants!$H$22</f>
        <v>19051995.520255629</v>
      </c>
      <c r="AG11" s="24">
        <f>('Intermediate calculations'!AB27*'Intermediate calculations'!AB28)*Constants!$H$22</f>
        <v>19087407.561648134</v>
      </c>
      <c r="AH11" s="24">
        <f>('Intermediate calculations'!AC27*'Intermediate calculations'!AC28)*Constants!$H$22</f>
        <v>19134514.994467065</v>
      </c>
      <c r="AI11" s="24">
        <f>('Intermediate calculations'!AD27*'Intermediate calculations'!AD28)*Constants!$H$22</f>
        <v>19193714.750779159</v>
      </c>
      <c r="AJ11" s="24">
        <f>('Intermediate calculations'!AE27*'Intermediate calculations'!AE28)*Constants!$H$22</f>
        <v>19259756.016990528</v>
      </c>
      <c r="AK11" s="24">
        <f>('Intermediate calculations'!AF27*'Intermediate calculations'!AF28)*Constants!$H$22</f>
        <v>19332457.106098488</v>
      </c>
      <c r="AL11" s="24">
        <f>('Intermediate calculations'!AG27*'Intermediate calculations'!AG28)*Constants!$H$22</f>
        <v>19399481.16972369</v>
      </c>
      <c r="AM11" s="24">
        <f>('Intermediate calculations'!AH27*'Intermediate calculations'!AH28)*Constants!$H$22</f>
        <v>19449824.41055809</v>
      </c>
      <c r="AN11" s="24">
        <f>('Intermediate calculations'!AI27*'Intermediate calculations'!AI28)*Constants!$H$22</f>
        <v>19493475.774346877</v>
      </c>
      <c r="AO11" s="24">
        <f>('Intermediate calculations'!AJ27*'Intermediate calculations'!AJ28)*Constants!$H$22</f>
        <v>19530166.506865036</v>
      </c>
      <c r="AP11" s="24">
        <f>('Intermediate calculations'!AK27*'Intermediate calculations'!AK28)*Constants!$H$22</f>
        <v>19567006.652455553</v>
      </c>
      <c r="AQ11" s="24">
        <f>('Intermediate calculations'!AL27*'Intermediate calculations'!AL28)*Constants!$H$22</f>
        <v>19603474.526880424</v>
      </c>
      <c r="AR11" s="24">
        <f>('Intermediate calculations'!AM27*'Intermediate calculations'!AM28)*Constants!$H$22</f>
        <v>19639766.416138858</v>
      </c>
      <c r="AS11" s="24">
        <f>('Intermediate calculations'!AN27*'Intermediate calculations'!AN28)*Constants!$H$22</f>
        <v>19675313.089787524</v>
      </c>
      <c r="AT11" s="24">
        <f>('Intermediate calculations'!AO27*'Intermediate calculations'!AO28)*Constants!$H$22</f>
        <v>19709944.30701784</v>
      </c>
      <c r="AU11" s="24">
        <f>('Intermediate calculations'!AP27*'Intermediate calculations'!AP28)*Constants!$H$22</f>
        <v>19744309.720770203</v>
      </c>
      <c r="AV11" s="24">
        <f>('Intermediate calculations'!AQ27*'Intermediate calculations'!AQ28)*Constants!$H$22</f>
        <v>19777534.504531682</v>
      </c>
      <c r="AW11" s="24">
        <f>('Intermediate calculations'!AR27*'Intermediate calculations'!AR28)*Constants!$H$22</f>
        <v>19810824.498222753</v>
      </c>
      <c r="AX11" s="24">
        <f>('Intermediate calculations'!AS27*'Intermediate calculations'!AS28)*Constants!$H$22</f>
        <v>19843288.201142434</v>
      </c>
      <c r="AY11" s="24">
        <f>('Intermediate calculations'!AT27*'Intermediate calculations'!AT28)*Constants!$H$22</f>
        <v>19874798.389929008</v>
      </c>
      <c r="AZ11" s="24">
        <f>('Intermediate calculations'!AU27*'Intermediate calculations'!AU28)*Constants!$H$22</f>
        <v>19905203.363711353</v>
      </c>
      <c r="BA11" s="24">
        <f>('Intermediate calculations'!AV27*'Intermediate calculations'!AV28)*Constants!$H$22</f>
        <v>19934759.200362347</v>
      </c>
      <c r="BB11" s="24">
        <f>('Intermediate calculations'!AW27*'Intermediate calculations'!AW28)*Constants!$H$22</f>
        <v>19963347.55642952</v>
      </c>
      <c r="BC11" s="24">
        <f>('Intermediate calculations'!AX27*'Intermediate calculations'!AX28)*Constants!$H$22</f>
        <v>19990777.780227147</v>
      </c>
      <c r="BD11" s="24">
        <f>('Intermediate calculations'!AY27*'Intermediate calculations'!AY28)*Constants!$H$22</f>
        <v>20016741.145491518</v>
      </c>
      <c r="BE11" s="24">
        <f>('Intermediate calculations'!AZ27*'Intermediate calculations'!AZ28)*Constants!$H$22</f>
        <v>20041618.160643794</v>
      </c>
      <c r="BF11" s="24">
        <f>('Intermediate calculations'!BA27*'Intermediate calculations'!BA28)*Constants!$H$22</f>
        <v>20065435.523120638</v>
      </c>
      <c r="BG11" s="24">
        <f>('Intermediate calculations'!BB27*'Intermediate calculations'!BB28)*Constants!$H$22</f>
        <v>20088047.587040287</v>
      </c>
      <c r="BH11" s="24">
        <f>('Intermediate calculations'!BC27*'Intermediate calculations'!BC28)*Constants!$H$22</f>
        <v>20109352.288255397</v>
      </c>
      <c r="BI11" s="24">
        <f>('Intermediate calculations'!BD27*'Intermediate calculations'!BD28)*Constants!$H$22</f>
        <v>20129278.167533312</v>
      </c>
      <c r="BJ11" s="24">
        <f>('Intermediate calculations'!BE27*'Intermediate calculations'!BE28)*Constants!$H$22</f>
        <v>20147762.906348765</v>
      </c>
      <c r="BK11" s="24">
        <f>('Intermediate calculations'!BF27*'Intermediate calculations'!BF28)*Constants!$H$22</f>
        <v>20164783.968664229</v>
      </c>
      <c r="BL11" s="24">
        <f>('Intermediate calculations'!BG27*'Intermediate calculations'!BG28)*Constants!$H$22</f>
        <v>20179680.746632453</v>
      </c>
      <c r="BM11" s="24">
        <f>('Intermediate calculations'!BH27*'Intermediate calculations'!BH28)*Constants!$H$22</f>
        <v>20192959.619039711</v>
      </c>
      <c r="BN11" s="24">
        <f>('Intermediate calculations'!BI27*'Intermediate calculations'!BI28)*Constants!$H$22</f>
        <v>20204605.912413754</v>
      </c>
      <c r="BO11" s="24">
        <f>('Intermediate calculations'!BJ27*'Intermediate calculations'!BJ28)*Constants!$H$22</f>
        <v>20214549.049028173</v>
      </c>
      <c r="BP11" s="24">
        <f>('Intermediate calculations'!BK27*'Intermediate calculations'!BK28)*Constants!$H$22</f>
        <v>20222876.276679169</v>
      </c>
    </row>
    <row r="12" spans="1:72" s="23" customFormat="1" x14ac:dyDescent="0.25">
      <c r="A12" s="23" t="str">
        <f t="shared" si="1"/>
        <v>3A Livestock</v>
      </c>
      <c r="C12" s="23" t="str">
        <f>'IPCC Categories'!$C$7</f>
        <v>3A1c Sheep</v>
      </c>
      <c r="D12" t="str">
        <f>'IPCC Categories'!$F$37</f>
        <v>Subsistence</v>
      </c>
      <c r="E12" s="23" t="str">
        <f t="shared" si="2"/>
        <v>Population</v>
      </c>
      <c r="F12" s="23" t="str">
        <f t="shared" si="3"/>
        <v>Head</v>
      </c>
      <c r="H12" s="43">
        <v>4183862.7657327019</v>
      </c>
      <c r="I12" s="43">
        <v>3995736.1768468926</v>
      </c>
      <c r="J12" s="43">
        <v>3830636.9523276691</v>
      </c>
      <c r="K12" s="43">
        <v>3582499.6563046952</v>
      </c>
      <c r="L12" s="43">
        <v>3607759.9772159201</v>
      </c>
      <c r="M12" s="43">
        <v>3556122.8571211509</v>
      </c>
      <c r="N12" s="43">
        <v>3567985.4387645437</v>
      </c>
      <c r="O12" s="43">
        <v>3490390.1988383494</v>
      </c>
      <c r="P12" s="43">
        <v>3500019.8239371148</v>
      </c>
      <c r="Q12" s="43">
        <v>3414050.996968525</v>
      </c>
      <c r="R12" s="43">
        <v>3291657.0663655167</v>
      </c>
      <c r="S12" s="43">
        <v>3209595.9133500443</v>
      </c>
      <c r="T12" s="43">
        <v>3156004.9562787157</v>
      </c>
      <c r="U12" s="43">
        <v>3167030.1792178694</v>
      </c>
      <c r="V12" s="43">
        <v>3110648.0264657419</v>
      </c>
      <c r="W12" s="43">
        <v>3103251.3579116268</v>
      </c>
      <c r="X12" s="43">
        <v>3062639.4607560104</v>
      </c>
      <c r="Y12" s="43">
        <v>3059708.705291172</v>
      </c>
      <c r="Z12" s="43">
        <v>3069617.4499580064</v>
      </c>
      <c r="AA12" s="43">
        <v>3058731.7868028926</v>
      </c>
      <c r="AB12" s="43">
        <v>2999558.4383699675</v>
      </c>
      <c r="AC12" s="43">
        <v>2976112.3946512612</v>
      </c>
      <c r="AD12" s="24">
        <f>('Intermediate calculations'!Y27*'Intermediate calculations'!Y28)*(1-Constants!$H$22)</f>
        <v>2841760.803584889</v>
      </c>
      <c r="AE12" s="24">
        <f>('Intermediate calculations'!Z27*'Intermediate calculations'!Z28)*(1-Constants!$H$22)</f>
        <v>2843358.6225677319</v>
      </c>
      <c r="AF12" s="24">
        <f>('Intermediate calculations'!AA27*'Intermediate calculations'!AA28)*(1-Constants!$H$22)</f>
        <v>2846849.9053255538</v>
      </c>
      <c r="AG12" s="24">
        <f>('Intermediate calculations'!AB27*'Intermediate calculations'!AB28)*(1-Constants!$H$22)</f>
        <v>2852141.359786503</v>
      </c>
      <c r="AH12" s="24">
        <f>('Intermediate calculations'!AC27*'Intermediate calculations'!AC28)*(1-Constants!$H$22)</f>
        <v>2859180.4014720903</v>
      </c>
      <c r="AI12" s="24">
        <f>('Intermediate calculations'!AD27*'Intermediate calculations'!AD28)*(1-Constants!$H$22)</f>
        <v>2868026.3420704491</v>
      </c>
      <c r="AJ12" s="24">
        <f>('Intermediate calculations'!AE27*'Intermediate calculations'!AE28)*(1-Constants!$H$22)</f>
        <v>2877894.5772514581</v>
      </c>
      <c r="AK12" s="24">
        <f>('Intermediate calculations'!AF27*'Intermediate calculations'!AF28)*(1-Constants!$H$22)</f>
        <v>2888757.9583825325</v>
      </c>
      <c r="AL12" s="24">
        <f>('Intermediate calculations'!AG27*'Intermediate calculations'!AG28)*(1-Constants!$H$22)</f>
        <v>2898773.0483495169</v>
      </c>
      <c r="AM12" s="24">
        <f>('Intermediate calculations'!AH27*'Intermediate calculations'!AH28)*(1-Constants!$H$22)</f>
        <v>2906295.6015776456</v>
      </c>
      <c r="AN12" s="24">
        <f>('Intermediate calculations'!AI27*'Intermediate calculations'!AI28)*(1-Constants!$H$22)</f>
        <v>2912818.2191552809</v>
      </c>
      <c r="AO12" s="24">
        <f>('Intermediate calculations'!AJ27*'Intermediate calculations'!AJ28)*(1-Constants!$H$22)</f>
        <v>2918300.7424051203</v>
      </c>
      <c r="AP12" s="24">
        <f>('Intermediate calculations'!AK27*'Intermediate calculations'!AK28)*(1-Constants!$H$22)</f>
        <v>2923805.5917462325</v>
      </c>
      <c r="AQ12" s="24">
        <f>('Intermediate calculations'!AL27*'Intermediate calculations'!AL28)*(1-Constants!$H$22)</f>
        <v>2929254.8143614428</v>
      </c>
      <c r="AR12" s="24">
        <f>('Intermediate calculations'!AM27*'Intermediate calculations'!AM28)*(1-Constants!$H$22)</f>
        <v>2934677.7403425877</v>
      </c>
      <c r="AS12" s="24">
        <f>('Intermediate calculations'!AN27*'Intermediate calculations'!AN28)*(1-Constants!$H$22)</f>
        <v>2939989.3122671014</v>
      </c>
      <c r="AT12" s="24">
        <f>('Intermediate calculations'!AO27*'Intermediate calculations'!AO28)*(1-Constants!$H$22)</f>
        <v>2945164.091853241</v>
      </c>
      <c r="AU12" s="24">
        <f>('Intermediate calculations'!AP27*'Intermediate calculations'!AP28)*(1-Constants!$H$22)</f>
        <v>2950299.1536783059</v>
      </c>
      <c r="AV12" s="24">
        <f>('Intermediate calculations'!AQ27*'Intermediate calculations'!AQ28)*(1-Constants!$H$22)</f>
        <v>2955263.7765392172</v>
      </c>
      <c r="AW12" s="24">
        <f>('Intermediate calculations'!AR27*'Intermediate calculations'!AR28)*(1-Constants!$H$22)</f>
        <v>2960238.1434125951</v>
      </c>
      <c r="AX12" s="24">
        <f>('Intermediate calculations'!AS27*'Intermediate calculations'!AS28)*(1-Constants!$H$22)</f>
        <v>2965089.0415500188</v>
      </c>
      <c r="AY12" s="24">
        <f>('Intermediate calculations'!AT27*'Intermediate calculations'!AT28)*(1-Constants!$H$22)</f>
        <v>2969797.4605641044</v>
      </c>
      <c r="AZ12" s="24">
        <f>('Intermediate calculations'!AU27*'Intermediate calculations'!AU28)*(1-Constants!$H$22)</f>
        <v>2974340.7325085932</v>
      </c>
      <c r="BA12" s="24">
        <f>('Intermediate calculations'!AV27*'Intermediate calculations'!AV28)*(1-Constants!$H$22)</f>
        <v>2978757.1218932243</v>
      </c>
      <c r="BB12" s="24">
        <f>('Intermediate calculations'!AW27*'Intermediate calculations'!AW28)*(1-Constants!$H$22)</f>
        <v>2983028.945213607</v>
      </c>
      <c r="BC12" s="24">
        <f>('Intermediate calculations'!AX27*'Intermediate calculations'!AX28)*(1-Constants!$H$22)</f>
        <v>2987127.7142868154</v>
      </c>
      <c r="BD12" s="24">
        <f>('Intermediate calculations'!AY27*'Intermediate calculations'!AY28)*(1-Constants!$H$22)</f>
        <v>2991007.2976021809</v>
      </c>
      <c r="BE12" s="24">
        <f>('Intermediate calculations'!AZ27*'Intermediate calculations'!AZ28)*(1-Constants!$H$22)</f>
        <v>2994724.5527398773</v>
      </c>
      <c r="BF12" s="24">
        <f>('Intermediate calculations'!BA27*'Intermediate calculations'!BA28)*(1-Constants!$H$22)</f>
        <v>2998283.4689720497</v>
      </c>
      <c r="BG12" s="24">
        <f>('Intermediate calculations'!BB27*'Intermediate calculations'!BB28)*(1-Constants!$H$22)</f>
        <v>3001662.2831209628</v>
      </c>
      <c r="BH12" s="24">
        <f>('Intermediate calculations'!BC27*'Intermediate calculations'!BC28)*(1-Constants!$H$22)</f>
        <v>3004845.744222071</v>
      </c>
      <c r="BI12" s="24">
        <f>('Intermediate calculations'!BD27*'Intermediate calculations'!BD28)*(1-Constants!$H$22)</f>
        <v>3007823.1744590006</v>
      </c>
      <c r="BJ12" s="24">
        <f>('Intermediate calculations'!BE27*'Intermediate calculations'!BE28)*(1-Constants!$H$22)</f>
        <v>3010585.2618682063</v>
      </c>
      <c r="BK12" s="24">
        <f>('Intermediate calculations'!BF27*'Intermediate calculations'!BF28)*(1-Constants!$H$22)</f>
        <v>3013128.6389958044</v>
      </c>
      <c r="BL12" s="24">
        <f>('Intermediate calculations'!BG27*'Intermediate calculations'!BG28)*(1-Constants!$H$22)</f>
        <v>3015354.5943243895</v>
      </c>
      <c r="BM12" s="24">
        <f>('Intermediate calculations'!BH27*'Intermediate calculations'!BH28)*(1-Constants!$H$22)</f>
        <v>3017338.7936496125</v>
      </c>
      <c r="BN12" s="24">
        <f>('Intermediate calculations'!BI27*'Intermediate calculations'!BI28)*(1-Constants!$H$22)</f>
        <v>3019079.0443836641</v>
      </c>
      <c r="BO12" s="24">
        <f>('Intermediate calculations'!BJ27*'Intermediate calculations'!BJ28)*(1-Constants!$H$22)</f>
        <v>3020564.8004294974</v>
      </c>
      <c r="BP12" s="24">
        <f>('Intermediate calculations'!BK27*'Intermediate calculations'!BK28)*(1-Constants!$H$22)</f>
        <v>3021809.0988141289</v>
      </c>
    </row>
    <row r="13" spans="1:72" s="23" customFormat="1" x14ac:dyDescent="0.25">
      <c r="A13" s="23" t="str">
        <f t="shared" si="1"/>
        <v>3A Livestock</v>
      </c>
      <c r="C13" s="23" t="str">
        <f>'IPCC Categories'!$C$8</f>
        <v>3A1d Goats</v>
      </c>
      <c r="D13" t="str">
        <f>'IPCC Categories'!F36</f>
        <v>Commercial</v>
      </c>
      <c r="E13" s="23" t="str">
        <f t="shared" si="2"/>
        <v>Population</v>
      </c>
      <c r="F13" s="23" t="str">
        <f t="shared" si="3"/>
        <v>Head</v>
      </c>
      <c r="H13" s="43">
        <v>2774000.0000000005</v>
      </c>
      <c r="I13" s="43">
        <v>2453000.0000000009</v>
      </c>
      <c r="J13" s="43">
        <v>2284999.9999999995</v>
      </c>
      <c r="K13" s="43">
        <v>2158999.9999999995</v>
      </c>
      <c r="L13" s="43">
        <v>2336999.9999999995</v>
      </c>
      <c r="M13" s="43">
        <v>2369000</v>
      </c>
      <c r="N13" s="43">
        <v>2405999.9999999995</v>
      </c>
      <c r="O13" s="43">
        <v>2394000</v>
      </c>
      <c r="P13" s="43">
        <v>2360000</v>
      </c>
      <c r="Q13" s="43">
        <v>2325000.0000000005</v>
      </c>
      <c r="R13" s="43">
        <v>2355000</v>
      </c>
      <c r="S13" s="43">
        <v>2427000.0000000005</v>
      </c>
      <c r="T13" s="43">
        <v>2216000.0000000005</v>
      </c>
      <c r="U13" s="43">
        <v>2160000</v>
      </c>
      <c r="V13" s="43">
        <v>2164000.0000000005</v>
      </c>
      <c r="W13" s="43">
        <v>2136000</v>
      </c>
      <c r="X13" s="43">
        <v>2181000</v>
      </c>
      <c r="Y13" s="43">
        <v>2116000</v>
      </c>
      <c r="Z13" s="43">
        <v>2114000.0000000005</v>
      </c>
      <c r="AA13" s="43">
        <v>2077000</v>
      </c>
      <c r="AB13" s="43">
        <v>2052000.0000000002</v>
      </c>
      <c r="AC13" s="43">
        <v>2033000.0000000002</v>
      </c>
      <c r="AD13" s="24">
        <f>'Intermediate calculations'!Y22*'Intermediate calculations'!Y25*Constants!$H$23</f>
        <v>2067953.0260103957</v>
      </c>
      <c r="AE13" s="24">
        <f>'Intermediate calculations'!Z22*'Intermediate calculations'!Z25*Constants!$H$23</f>
        <v>2073400.0355919176</v>
      </c>
      <c r="AF13" s="24">
        <f>'Intermediate calculations'!AA22*'Intermediate calculations'!AA25*Constants!$H$23</f>
        <v>2080606.6208786785</v>
      </c>
      <c r="AG13" s="24">
        <f>'Intermediate calculations'!AB22*'Intermediate calculations'!AB25*Constants!$H$23</f>
        <v>2089498.2378470728</v>
      </c>
      <c r="AH13" s="24">
        <f>'Intermediate calculations'!AC22*'Intermediate calculations'!AC25*Constants!$H$23</f>
        <v>2100040.6141557125</v>
      </c>
      <c r="AI13" s="24">
        <f>'Intermediate calculations'!AD22*'Intermediate calculations'!AD25*Constants!$H$23</f>
        <v>2112321.6125408038</v>
      </c>
      <c r="AJ13" s="24">
        <f>'Intermediate calculations'!AE22*'Intermediate calculations'!AE25*Constants!$H$23</f>
        <v>2125466.4956838726</v>
      </c>
      <c r="AK13" s="24">
        <f>'Intermediate calculations'!AF22*'Intermediate calculations'!AF25*Constants!$H$23</f>
        <v>2139463.4775215802</v>
      </c>
      <c r="AL13" s="24">
        <f>'Intermediate calculations'!AG22*'Intermediate calculations'!AG25*Constants!$H$23</f>
        <v>2152248.7615241366</v>
      </c>
      <c r="AM13" s="24">
        <f>'Intermediate calculations'!AH22*'Intermediate calculations'!AH25*Constants!$H$23</f>
        <v>2162001.518309684</v>
      </c>
      <c r="AN13" s="24">
        <f>'Intermediate calculations'!AI22*'Intermediate calculations'!AI25*Constants!$H$23</f>
        <v>2170437.0156397861</v>
      </c>
      <c r="AO13" s="24">
        <f>'Intermediate calculations'!AJ22*'Intermediate calculations'!AJ25*Constants!$H$23</f>
        <v>2177534.4870213354</v>
      </c>
      <c r="AP13" s="24">
        <f>'Intermediate calculations'!AK22*'Intermediate calculations'!AK25*Constants!$H$23</f>
        <v>2184502.7127905963</v>
      </c>
      <c r="AQ13" s="24">
        <f>'Intermediate calculations'!AL22*'Intermediate calculations'!AL25*Constants!$H$23</f>
        <v>2191266.6383574707</v>
      </c>
      <c r="AR13" s="24">
        <f>'Intermediate calculations'!AM22*'Intermediate calculations'!AM25*Constants!$H$23</f>
        <v>2197869.9427810907</v>
      </c>
      <c r="AS13" s="24">
        <f>'Intermediate calculations'!AN22*'Intermediate calculations'!AN25*Constants!$H$23</f>
        <v>2204227.9619653495</v>
      </c>
      <c r="AT13" s="24">
        <f>'Intermediate calculations'!AO22*'Intermediate calculations'!AO25*Constants!$H$23</f>
        <v>2210321.8449087366</v>
      </c>
      <c r="AU13" s="24">
        <f>'Intermediate calculations'!AP22*'Intermediate calculations'!AP25*Constants!$H$23</f>
        <v>2216267.3884518649</v>
      </c>
      <c r="AV13" s="24">
        <f>'Intermediate calculations'!AQ22*'Intermediate calculations'!AQ25*Constants!$H$23</f>
        <v>2221927.6495087235</v>
      </c>
      <c r="AW13" s="24">
        <f>'Intermediate calculations'!AR22*'Intermediate calculations'!AR25*Constants!$H$23</f>
        <v>2227508.137909194</v>
      </c>
      <c r="AX13" s="24">
        <f>'Intermediate calculations'!AS22*'Intermediate calculations'!AS25*Constants!$H$23</f>
        <v>2232868.1669980898</v>
      </c>
      <c r="AY13" s="24">
        <f>'Intermediate calculations'!AT22*'Intermediate calculations'!AT25*Constants!$H$23</f>
        <v>2237992.8076058943</v>
      </c>
      <c r="AZ13" s="24">
        <f>'Intermediate calculations'!AU22*'Intermediate calculations'!AU25*Constants!$H$23</f>
        <v>2242862.8181947316</v>
      </c>
      <c r="BA13" s="24">
        <f>'Intermediate calculations'!AV22*'Intermediate calculations'!AV25*Constants!$H$23</f>
        <v>2247525.200908293</v>
      </c>
      <c r="BB13" s="24">
        <f>'Intermediate calculations'!AW22*'Intermediate calculations'!AW25*Constants!$H$23</f>
        <v>2251965.3237035288</v>
      </c>
      <c r="BC13" s="24">
        <f>'Intermediate calculations'!AX22*'Intermediate calculations'!AX25*Constants!$H$23</f>
        <v>2256156.6137641435</v>
      </c>
      <c r="BD13" s="24">
        <f>'Intermediate calculations'!AY22*'Intermediate calculations'!AY25*Constants!$H$23</f>
        <v>2260053.2745091398</v>
      </c>
      <c r="BE13" s="24">
        <f>'Intermediate calculations'!AZ22*'Intermediate calculations'!AZ25*Constants!$H$23</f>
        <v>2263721.1239091274</v>
      </c>
      <c r="BF13" s="24">
        <f>'Intermediate calculations'!BA22*'Intermediate calculations'!BA25*Constants!$H$23</f>
        <v>2267168.1191702797</v>
      </c>
      <c r="BG13" s="24">
        <f>'Intermediate calculations'!BB22*'Intermediate calculations'!BB25*Constants!$H$23</f>
        <v>2270374.1650069882</v>
      </c>
      <c r="BH13" s="24">
        <f>'Intermediate calculations'!BC22*'Intermediate calculations'!BC25*Constants!$H$23</f>
        <v>2273326.1353659625</v>
      </c>
      <c r="BI13" s="24">
        <f>'Intermediate calculations'!BD22*'Intermediate calculations'!BD25*Constants!$H$23</f>
        <v>2276015.740448196</v>
      </c>
      <c r="BJ13" s="24">
        <f>'Intermediate calculations'!BE22*'Intermediate calculations'!BE25*Constants!$H$23</f>
        <v>2278436.0544526144</v>
      </c>
      <c r="BK13" s="24">
        <f>'Intermediate calculations'!BF22*'Intermediate calculations'!BF25*Constants!$H$23</f>
        <v>2280586.423087962</v>
      </c>
      <c r="BL13" s="24">
        <f>'Intermediate calculations'!BG22*'Intermediate calculations'!BG25*Constants!$H$23</f>
        <v>2282364.0420392533</v>
      </c>
      <c r="BM13" s="24">
        <f>'Intermediate calculations'!BH22*'Intermediate calculations'!BH25*Constants!$H$23</f>
        <v>2283852.9362849784</v>
      </c>
      <c r="BN13" s="24">
        <f>'Intermediate calculations'!BI22*'Intermediate calculations'!BI25*Constants!$H$23</f>
        <v>2285053.4243932972</v>
      </c>
      <c r="BO13" s="24">
        <f>'Intermediate calculations'!BJ22*'Intermediate calculations'!BJ25*Constants!$H$23</f>
        <v>2285956.8207486738</v>
      </c>
      <c r="BP13" s="24">
        <f>'Intermediate calculations'!BK22*'Intermediate calculations'!BK25*Constants!$H$23</f>
        <v>2286579.4682117272</v>
      </c>
    </row>
    <row r="14" spans="1:72" s="23" customFormat="1" x14ac:dyDescent="0.25">
      <c r="A14" s="23" t="str">
        <f t="shared" si="1"/>
        <v>3A Livestock</v>
      </c>
      <c r="C14" s="23" t="str">
        <f>C13</f>
        <v>3A1d Goats</v>
      </c>
      <c r="D14" t="str">
        <f>$D$12</f>
        <v>Subsistence</v>
      </c>
      <c r="E14" s="23" t="str">
        <f t="shared" si="2"/>
        <v>Population</v>
      </c>
      <c r="F14" s="23" t="str">
        <f t="shared" si="3"/>
        <v>Head</v>
      </c>
      <c r="H14" s="43">
        <v>5479284.9120494025</v>
      </c>
      <c r="I14" s="43">
        <v>4845236.4416932901</v>
      </c>
      <c r="J14" s="43">
        <v>4513397.9899181286</v>
      </c>
      <c r="K14" s="43">
        <v>4264519.151086757</v>
      </c>
      <c r="L14" s="43">
        <v>4616109.8916580593</v>
      </c>
      <c r="M14" s="43">
        <v>4679317.2158057094</v>
      </c>
      <c r="N14" s="43">
        <v>4752400.6843514293</v>
      </c>
      <c r="O14" s="43">
        <v>4728697.9377960609</v>
      </c>
      <c r="P14" s="43">
        <v>4661540.1558891824</v>
      </c>
      <c r="Q14" s="43">
        <v>4592407.1451026909</v>
      </c>
      <c r="R14" s="43">
        <v>4651664.0114911124</v>
      </c>
      <c r="S14" s="43">
        <v>4793880.4908233248</v>
      </c>
      <c r="T14" s="43">
        <v>4377107.1972247576</v>
      </c>
      <c r="U14" s="43">
        <v>4266494.3799663708</v>
      </c>
      <c r="V14" s="43">
        <v>4274395.2954848269</v>
      </c>
      <c r="W14" s="43">
        <v>4219088.886855633</v>
      </c>
      <c r="X14" s="43">
        <v>4307974.1864382662</v>
      </c>
      <c r="Y14" s="43">
        <v>4179584.3092633518</v>
      </c>
      <c r="Z14" s="43">
        <v>4175633.8515041238</v>
      </c>
      <c r="AA14" s="43">
        <v>4102550.3829584038</v>
      </c>
      <c r="AB14" s="43">
        <v>4053169.6609680522</v>
      </c>
      <c r="AC14" s="43">
        <v>4015640.3122553849</v>
      </c>
      <c r="AD14" s="24">
        <f>'Intermediate calculations'!Y22*'Intermediate calculations'!Y25*(1-Constants!$H$23)</f>
        <v>4014261.7563731205</v>
      </c>
      <c r="AE14" s="24">
        <f>'Intermediate calculations'!Z22*'Intermediate calculations'!Z25*(1-Constants!$H$23)</f>
        <v>4024835.3632078394</v>
      </c>
      <c r="AF14" s="24">
        <f>'Intermediate calculations'!AA22*'Intermediate calculations'!AA25*(1-Constants!$H$23)</f>
        <v>4038824.6169997873</v>
      </c>
      <c r="AG14" s="24">
        <f>'Intermediate calculations'!AB22*'Intermediate calculations'!AB25*(1-Constants!$H$23)</f>
        <v>4056084.8146443171</v>
      </c>
      <c r="AH14" s="24">
        <f>'Intermediate calculations'!AC22*'Intermediate calculations'!AC25*(1-Constants!$H$23)</f>
        <v>4076549.4274787349</v>
      </c>
      <c r="AI14" s="24">
        <f>'Intermediate calculations'!AD22*'Intermediate calculations'!AD25*(1-Constants!$H$23)</f>
        <v>4100389.0125792064</v>
      </c>
      <c r="AJ14" s="24">
        <f>'Intermediate calculations'!AE22*'Intermediate calculations'!AE25*(1-Constants!$H$23)</f>
        <v>4125905.5504451636</v>
      </c>
      <c r="AK14" s="24">
        <f>'Intermediate calculations'!AF22*'Intermediate calculations'!AF25*(1-Constants!$H$23)</f>
        <v>4153076.1622477723</v>
      </c>
      <c r="AL14" s="24">
        <f>'Intermediate calculations'!AG22*'Intermediate calculations'!AG25*(1-Constants!$H$23)</f>
        <v>4177894.654723323</v>
      </c>
      <c r="AM14" s="24">
        <f>'Intermediate calculations'!AH22*'Intermediate calculations'!AH25*(1-Constants!$H$23)</f>
        <v>4196826.4767187973</v>
      </c>
      <c r="AN14" s="24">
        <f>'Intermediate calculations'!AI22*'Intermediate calculations'!AI25*(1-Constants!$H$23)</f>
        <v>4213201.2656537015</v>
      </c>
      <c r="AO14" s="24">
        <f>'Intermediate calculations'!AJ22*'Intermediate calculations'!AJ25*(1-Constants!$H$23)</f>
        <v>4226978.7101002382</v>
      </c>
      <c r="AP14" s="24">
        <f>'Intermediate calculations'!AK22*'Intermediate calculations'!AK25*(1-Constants!$H$23)</f>
        <v>4240505.2660052748</v>
      </c>
      <c r="AQ14" s="24">
        <f>'Intermediate calculations'!AL22*'Intermediate calculations'!AL25*(1-Constants!$H$23)</f>
        <v>4253635.2391645014</v>
      </c>
      <c r="AR14" s="24">
        <f>'Intermediate calculations'!AM22*'Intermediate calculations'!AM25*(1-Constants!$H$23)</f>
        <v>4266453.4183397638</v>
      </c>
      <c r="AS14" s="24">
        <f>'Intermediate calculations'!AN22*'Intermediate calculations'!AN25*(1-Constants!$H$23)</f>
        <v>4278795.4555797949</v>
      </c>
      <c r="AT14" s="24">
        <f>'Intermediate calculations'!AO22*'Intermediate calculations'!AO25*(1-Constants!$H$23)</f>
        <v>4290624.7577640172</v>
      </c>
      <c r="AU14" s="24">
        <f>'Intermediate calculations'!AP22*'Intermediate calculations'!AP25*(1-Constants!$H$23)</f>
        <v>4302166.1069947956</v>
      </c>
      <c r="AV14" s="24">
        <f>'Intermediate calculations'!AQ22*'Intermediate calculations'!AQ25*(1-Constants!$H$23)</f>
        <v>4313153.6725757569</v>
      </c>
      <c r="AW14" s="24">
        <f>'Intermediate calculations'!AR22*'Intermediate calculations'!AR25*(1-Constants!$H$23)</f>
        <v>4323986.3853531405</v>
      </c>
      <c r="AX14" s="24">
        <f>'Intermediate calculations'!AS22*'Intermediate calculations'!AS25*(1-Constants!$H$23)</f>
        <v>4334391.1477021733</v>
      </c>
      <c r="AY14" s="24">
        <f>'Intermediate calculations'!AT22*'Intermediate calculations'!AT25*(1-Constants!$H$23)</f>
        <v>4344338.9794702651</v>
      </c>
      <c r="AZ14" s="24">
        <f>'Intermediate calculations'!AU22*'Intermediate calculations'!AU25*(1-Constants!$H$23)</f>
        <v>4353792.5294368304</v>
      </c>
      <c r="BA14" s="24">
        <f>'Intermediate calculations'!AV22*'Intermediate calculations'!AV25*(1-Constants!$H$23)</f>
        <v>4362843.037057274</v>
      </c>
      <c r="BB14" s="24">
        <f>'Intermediate calculations'!AW22*'Intermediate calculations'!AW25*(1-Constants!$H$23)</f>
        <v>4371462.0989539083</v>
      </c>
      <c r="BC14" s="24">
        <f>'Intermediate calculations'!AX22*'Intermediate calculations'!AX25*(1-Constants!$H$23)</f>
        <v>4379598.1326009836</v>
      </c>
      <c r="BD14" s="24">
        <f>'Intermediate calculations'!AY22*'Intermediate calculations'!AY25*(1-Constants!$H$23)</f>
        <v>4387162.2387530347</v>
      </c>
      <c r="BE14" s="24">
        <f>'Intermediate calculations'!AZ22*'Intermediate calculations'!AZ25*(1-Constants!$H$23)</f>
        <v>4394282.1817059526</v>
      </c>
      <c r="BF14" s="24">
        <f>'Intermediate calculations'!BA22*'Intermediate calculations'!BA25*(1-Constants!$H$23)</f>
        <v>4400973.4078011308</v>
      </c>
      <c r="BG14" s="24">
        <f>'Intermediate calculations'!BB22*'Intermediate calculations'!BB25*(1-Constants!$H$23)</f>
        <v>4407196.9085429767</v>
      </c>
      <c r="BH14" s="24">
        <f>'Intermediate calculations'!BC22*'Intermediate calculations'!BC25*(1-Constants!$H$23)</f>
        <v>4412927.2039456908</v>
      </c>
      <c r="BI14" s="24">
        <f>'Intermediate calculations'!BD22*'Intermediate calculations'!BD25*(1-Constants!$H$23)</f>
        <v>4418148.2020464977</v>
      </c>
      <c r="BJ14" s="24">
        <f>'Intermediate calculations'!BE22*'Intermediate calculations'!BE25*(1-Constants!$H$23)</f>
        <v>4422846.4586433098</v>
      </c>
      <c r="BK14" s="24">
        <f>'Intermediate calculations'!BF22*'Intermediate calculations'!BF25*(1-Constants!$H$23)</f>
        <v>4427020.7036413373</v>
      </c>
      <c r="BL14" s="24">
        <f>'Intermediate calculations'!BG22*'Intermediate calculations'!BG25*(1-Constants!$H$23)</f>
        <v>4430471.3757232549</v>
      </c>
      <c r="BM14" s="24">
        <f>'Intermediate calculations'!BH22*'Intermediate calculations'!BH25*(1-Constants!$H$23)</f>
        <v>4433361.5822002506</v>
      </c>
      <c r="BN14" s="24">
        <f>'Intermediate calculations'!BI22*'Intermediate calculations'!BI25*(1-Constants!$H$23)</f>
        <v>4435691.9414693406</v>
      </c>
      <c r="BO14" s="24">
        <f>'Intermediate calculations'!BJ22*'Intermediate calculations'!BJ25*(1-Constants!$H$23)</f>
        <v>4437445.5932180127</v>
      </c>
      <c r="BP14" s="24">
        <f>'Intermediate calculations'!BK22*'Intermediate calculations'!BK25*(1-Constants!$H$23)</f>
        <v>4438654.2618227638</v>
      </c>
    </row>
    <row r="15" spans="1:72" s="23" customFormat="1" x14ac:dyDescent="0.25">
      <c r="A15" s="23" t="str">
        <f t="shared" si="1"/>
        <v>3A Livestock</v>
      </c>
      <c r="C15" s="23" t="str">
        <f>'IPCC Categories'!$C$9</f>
        <v>3A1f Horses</v>
      </c>
      <c r="D15" t="str">
        <f>'IPCC Categories'!$F$42</f>
        <v>Horses</v>
      </c>
      <c r="E15" s="23" t="str">
        <f t="shared" si="2"/>
        <v>Population</v>
      </c>
      <c r="F15" s="23" t="str">
        <f t="shared" si="3"/>
        <v>Head</v>
      </c>
      <c r="H15" s="43">
        <v>230000</v>
      </c>
      <c r="I15" s="43">
        <v>230000</v>
      </c>
      <c r="J15" s="43">
        <v>230000</v>
      </c>
      <c r="K15" s="43">
        <v>235000</v>
      </c>
      <c r="L15" s="43">
        <v>240000</v>
      </c>
      <c r="M15" s="43">
        <v>245000</v>
      </c>
      <c r="N15" s="43">
        <v>250000</v>
      </c>
      <c r="O15" s="43">
        <v>255000</v>
      </c>
      <c r="P15" s="43">
        <v>260000</v>
      </c>
      <c r="Q15" s="43">
        <v>258000</v>
      </c>
      <c r="R15" s="43">
        <v>270000</v>
      </c>
      <c r="S15" s="43">
        <v>270000</v>
      </c>
      <c r="T15" s="43">
        <v>270000</v>
      </c>
      <c r="U15" s="43">
        <v>270000</v>
      </c>
      <c r="V15" s="43">
        <v>270000</v>
      </c>
      <c r="W15" s="43">
        <v>270000</v>
      </c>
      <c r="X15" s="43">
        <v>280000</v>
      </c>
      <c r="Y15" s="43">
        <v>290000</v>
      </c>
      <c r="Z15" s="43">
        <v>298000</v>
      </c>
      <c r="AA15" s="43">
        <v>300000</v>
      </c>
      <c r="AB15" s="43">
        <v>300000</v>
      </c>
      <c r="AC15" s="43">
        <v>305000</v>
      </c>
      <c r="AD15" s="24">
        <f>((Data!$AJ$61*((Drivers!Z5*1000000)/Drivers!Z4))+Data!$AK$61)</f>
        <v>309055.76507502049</v>
      </c>
      <c r="AE15" s="24">
        <f>((Data!$AJ$61*((Drivers!AA5*1000000)/Drivers!AA4))+Data!$AK$61)</f>
        <v>311387.78207621013</v>
      </c>
      <c r="AF15" s="24">
        <f>((Data!$AJ$61*((Drivers!AB5*1000000)/Drivers!AB4))+Data!$AK$61)</f>
        <v>312013.89969468454</v>
      </c>
      <c r="AG15" s="24">
        <f>((Data!$AJ$61*((Drivers!AC5*1000000)/Drivers!AC4))+Data!$AK$61)</f>
        <v>311262.80474279413</v>
      </c>
      <c r="AH15" s="24">
        <f>((Data!$AJ$61*((Drivers!AD5*1000000)/Drivers!AD4))+Data!$AK$61)</f>
        <v>309613.20396037714</v>
      </c>
      <c r="AI15" s="24">
        <f>((Data!$AJ$61*((Drivers!AE5*1000000)/Drivers!AE4))+Data!$AK$61)</f>
        <v>308466.60450079432</v>
      </c>
      <c r="AJ15" s="24">
        <f>((Data!$AJ$61*((Drivers!AF5*1000000)/Drivers!AF4))+Data!$AK$61)</f>
        <v>307654.80900097272</v>
      </c>
      <c r="AK15" s="24">
        <f>((Data!$AJ$61*((Drivers!AG5*1000000)/Drivers!AG4))+Data!$AK$61)</f>
        <v>306738.89543228212</v>
      </c>
      <c r="AL15" s="24">
        <f>((Data!$AJ$61*((Drivers!AH5*1000000)/Drivers!AH4))+Data!$AK$61)</f>
        <v>287893.90853691363</v>
      </c>
      <c r="AM15" s="24">
        <f>((Data!$AJ$61*((Drivers!AI5*1000000)/Drivers!AI4))+Data!$AK$61)</f>
        <v>289582.25391660811</v>
      </c>
      <c r="AN15" s="24">
        <f>((Data!$AJ$61*((Drivers!AJ5*1000000)/Drivers!AJ4))+Data!$AK$61)</f>
        <v>291403.7960269748</v>
      </c>
      <c r="AO15" s="24">
        <f>((Data!$AJ$61*((Drivers!AK5*1000000)/Drivers!AK4))+Data!$AK$61)</f>
        <v>293725.9583509739</v>
      </c>
      <c r="AP15" s="24">
        <f>((Data!$AJ$61*((Drivers!AL5*1000000)/Drivers!AL4))+Data!$AK$61)</f>
        <v>296309.64300277736</v>
      </c>
      <c r="AQ15" s="24">
        <f>((Data!$AJ$61*((Drivers!AM5*1000000)/Drivers!AM4))+Data!$AK$61)</f>
        <v>298832.36732626555</v>
      </c>
      <c r="AR15" s="24">
        <f>((Data!$AJ$61*((Drivers!AN5*1000000)/Drivers!AN4))+Data!$AK$61)</f>
        <v>301976.75529882463</v>
      </c>
      <c r="AS15" s="24">
        <f>((Data!$AJ$61*((Drivers!AO5*1000000)/Drivers!AO4))+Data!$AK$61)</f>
        <v>305283.39927760407</v>
      </c>
      <c r="AT15" s="24">
        <f>((Data!$AJ$61*((Drivers!AP5*1000000)/Drivers!AP4))+Data!$AK$61)</f>
        <v>308843.85269684152</v>
      </c>
      <c r="AU15" s="24">
        <f>((Data!$AJ$61*((Drivers!AQ5*1000000)/Drivers!AQ4))+Data!$AK$61)</f>
        <v>312544.8185477932</v>
      </c>
      <c r="AV15" s="24">
        <f>((Data!$AJ$61*((Drivers!AR5*1000000)/Drivers!AR4))+Data!$AK$61)</f>
        <v>315416.31704333425</v>
      </c>
      <c r="AW15" s="24">
        <f>((Data!$AJ$61*((Drivers!AS5*1000000)/Drivers!AS4))+Data!$AK$61)</f>
        <v>319415.03702462954</v>
      </c>
      <c r="AX15" s="24">
        <f>((Data!$AJ$61*((Drivers!AT5*1000000)/Drivers!AT4))+Data!$AK$61)</f>
        <v>323508.59179312934</v>
      </c>
      <c r="AY15" s="24">
        <f>((Data!$AJ$61*((Drivers!AU5*1000000)/Drivers!AU4))+Data!$AK$61)</f>
        <v>327734.12675835204</v>
      </c>
      <c r="AZ15" s="24">
        <f>((Data!$AJ$61*((Drivers!AV5*1000000)/Drivers!AV4))+Data!$AK$61)</f>
        <v>331705.83361547941</v>
      </c>
      <c r="BA15" s="24">
        <f>((Data!$AJ$61*((Drivers!AW5*1000000)/Drivers!AW4))+Data!$AK$61)</f>
        <v>335965.35557621182</v>
      </c>
      <c r="BB15" s="24">
        <f>((Data!$AJ$61*((Drivers!AX5*1000000)/Drivers!AX4))+Data!$AK$61)</f>
        <v>340518.78117852157</v>
      </c>
      <c r="BC15" s="24">
        <f>((Data!$AJ$61*((Drivers!AY5*1000000)/Drivers!AY4))+Data!$AK$61)</f>
        <v>345262.98516490421</v>
      </c>
      <c r="BD15" s="24">
        <f>((Data!$AJ$61*((Drivers!AZ5*1000000)/Drivers!AZ4))+Data!$AK$61)</f>
        <v>349925.48659312259</v>
      </c>
      <c r="BE15" s="24">
        <f>((Data!$AJ$61*((Drivers!BA5*1000000)/Drivers!BA4))+Data!$AK$61)</f>
        <v>354780.05181233212</v>
      </c>
      <c r="BF15" s="24">
        <f>((Data!$AJ$61*((Drivers!BB5*1000000)/Drivers!BB4))+Data!$AK$61)</f>
        <v>359992.5514202409</v>
      </c>
      <c r="BG15" s="24">
        <f>((Data!$AJ$61*((Drivers!BC5*1000000)/Drivers!BC4))+Data!$AK$61)</f>
        <v>365485.99236300343</v>
      </c>
      <c r="BH15" s="24">
        <f>((Data!$AJ$61*((Drivers!BD5*1000000)/Drivers!BD4))+Data!$AK$61)</f>
        <v>371236.95668441697</v>
      </c>
      <c r="BI15" s="24">
        <f>((Data!$AJ$61*((Drivers!BE5*1000000)/Drivers!BE4))+Data!$AK$61)</f>
        <v>377257.66362168104</v>
      </c>
      <c r="BJ15" s="24">
        <f>((Data!$AJ$61*((Drivers!BF5*1000000)/Drivers!BF4))+Data!$AK$61)</f>
        <v>383551.18036931992</v>
      </c>
      <c r="BK15" s="24">
        <f>((Data!$AJ$61*((Drivers!BG5*1000000)/Drivers!BG4))+Data!$AK$61)</f>
        <v>390184.32837534085</v>
      </c>
      <c r="BL15" s="24">
        <f>((Data!$AJ$61*((Drivers!BH5*1000000)/Drivers!BH4))+Data!$AK$61)</f>
        <v>396362.31230247213</v>
      </c>
      <c r="BM15" s="24">
        <f>((Data!$AJ$61*((Drivers!BI5*1000000)/Drivers!BI4))+Data!$AK$61)</f>
        <v>402854.48270739877</v>
      </c>
      <c r="BN15" s="24">
        <f>((Data!$AJ$61*((Drivers!BJ5*1000000)/Drivers!BJ4))+Data!$AK$61)</f>
        <v>409723.01566738414</v>
      </c>
      <c r="BO15" s="24">
        <f>((Data!$AJ$61*((Drivers!BK5*1000000)/Drivers!BK4))+Data!$AK$61)</f>
        <v>417002.3058693856</v>
      </c>
      <c r="BP15" s="24">
        <f>((Data!$AJ$61*((Drivers!BL5*1000000)/Drivers!BL4))+Data!$AK$61)</f>
        <v>424881.66154966131</v>
      </c>
    </row>
    <row r="16" spans="1:72" s="23" customFormat="1" x14ac:dyDescent="0.25">
      <c r="A16" s="23" t="str">
        <f t="shared" si="1"/>
        <v>3A Livestock</v>
      </c>
      <c r="C16" s="23" t="str">
        <f>'IPCC Categories'!$C$10</f>
        <v>3A1g Mules &amp; asses</v>
      </c>
      <c r="D16" t="str">
        <f>'IPCC Categories'!$F$43</f>
        <v>Mules &amp; Asses</v>
      </c>
      <c r="E16" s="23" t="str">
        <f t="shared" si="2"/>
        <v>Population</v>
      </c>
      <c r="F16" s="23" t="str">
        <f t="shared" si="3"/>
        <v>Head</v>
      </c>
      <c r="H16" s="43">
        <v>224000</v>
      </c>
      <c r="I16" s="43">
        <v>224000</v>
      </c>
      <c r="J16" s="43">
        <v>224000</v>
      </c>
      <c r="K16" s="43">
        <v>224000</v>
      </c>
      <c r="L16" s="43">
        <v>224000</v>
      </c>
      <c r="M16" s="43">
        <v>224000</v>
      </c>
      <c r="N16" s="43">
        <v>224000</v>
      </c>
      <c r="O16" s="43">
        <v>224000</v>
      </c>
      <c r="P16" s="43">
        <v>224000</v>
      </c>
      <c r="Q16" s="43">
        <v>224000</v>
      </c>
      <c r="R16" s="43">
        <v>164000</v>
      </c>
      <c r="S16" s="43">
        <v>164000</v>
      </c>
      <c r="T16" s="43">
        <v>164000</v>
      </c>
      <c r="U16" s="43">
        <v>164000</v>
      </c>
      <c r="V16" s="43">
        <v>164000</v>
      </c>
      <c r="W16" s="43">
        <v>164000</v>
      </c>
      <c r="X16" s="43">
        <v>164050</v>
      </c>
      <c r="Y16" s="43">
        <v>164600</v>
      </c>
      <c r="Z16" s="43">
        <v>164700</v>
      </c>
      <c r="AA16" s="43">
        <v>164800</v>
      </c>
      <c r="AB16" s="43">
        <v>166300</v>
      </c>
      <c r="AC16" s="43">
        <v>167000</v>
      </c>
      <c r="AD16" s="24">
        <f t="shared" ref="AD16:AI16" si="4">AC16</f>
        <v>167000</v>
      </c>
      <c r="AE16" s="24">
        <f t="shared" si="4"/>
        <v>167000</v>
      </c>
      <c r="AF16" s="24">
        <f t="shared" si="4"/>
        <v>167000</v>
      </c>
      <c r="AG16" s="24">
        <f t="shared" si="4"/>
        <v>167000</v>
      </c>
      <c r="AH16" s="24">
        <f t="shared" si="4"/>
        <v>167000</v>
      </c>
      <c r="AI16" s="24">
        <f t="shared" si="4"/>
        <v>167000</v>
      </c>
      <c r="AJ16" s="24">
        <f>AI16</f>
        <v>167000</v>
      </c>
      <c r="AK16" s="24">
        <f t="shared" ref="AK16:BP16" si="5">AJ16</f>
        <v>167000</v>
      </c>
      <c r="AL16" s="24">
        <f t="shared" si="5"/>
        <v>167000</v>
      </c>
      <c r="AM16" s="24">
        <f t="shared" si="5"/>
        <v>167000</v>
      </c>
      <c r="AN16" s="24">
        <f t="shared" si="5"/>
        <v>167000</v>
      </c>
      <c r="AO16" s="24">
        <f t="shared" si="5"/>
        <v>167000</v>
      </c>
      <c r="AP16" s="24">
        <f t="shared" si="5"/>
        <v>167000</v>
      </c>
      <c r="AQ16" s="24">
        <f t="shared" si="5"/>
        <v>167000</v>
      </c>
      <c r="AR16" s="24">
        <f t="shared" si="5"/>
        <v>167000</v>
      </c>
      <c r="AS16" s="24">
        <f t="shared" si="5"/>
        <v>167000</v>
      </c>
      <c r="AT16" s="24">
        <f t="shared" si="5"/>
        <v>167000</v>
      </c>
      <c r="AU16" s="24">
        <f t="shared" si="5"/>
        <v>167000</v>
      </c>
      <c r="AV16" s="24">
        <f t="shared" si="5"/>
        <v>167000</v>
      </c>
      <c r="AW16" s="24">
        <f t="shared" si="5"/>
        <v>167000</v>
      </c>
      <c r="AX16" s="24">
        <f t="shared" si="5"/>
        <v>167000</v>
      </c>
      <c r="AY16" s="24">
        <f t="shared" si="5"/>
        <v>167000</v>
      </c>
      <c r="AZ16" s="24">
        <f t="shared" si="5"/>
        <v>167000</v>
      </c>
      <c r="BA16" s="24">
        <f t="shared" si="5"/>
        <v>167000</v>
      </c>
      <c r="BB16" s="24">
        <f t="shared" si="5"/>
        <v>167000</v>
      </c>
      <c r="BC16" s="24">
        <f t="shared" si="5"/>
        <v>167000</v>
      </c>
      <c r="BD16" s="24">
        <f t="shared" si="5"/>
        <v>167000</v>
      </c>
      <c r="BE16" s="24">
        <f t="shared" si="5"/>
        <v>167000</v>
      </c>
      <c r="BF16" s="24">
        <f t="shared" si="5"/>
        <v>167000</v>
      </c>
      <c r="BG16" s="24">
        <f t="shared" si="5"/>
        <v>167000</v>
      </c>
      <c r="BH16" s="24">
        <f t="shared" si="5"/>
        <v>167000</v>
      </c>
      <c r="BI16" s="24">
        <f t="shared" si="5"/>
        <v>167000</v>
      </c>
      <c r="BJ16" s="24">
        <f t="shared" si="5"/>
        <v>167000</v>
      </c>
      <c r="BK16" s="24">
        <f t="shared" si="5"/>
        <v>167000</v>
      </c>
      <c r="BL16" s="24">
        <f t="shared" si="5"/>
        <v>167000</v>
      </c>
      <c r="BM16" s="24">
        <f t="shared" si="5"/>
        <v>167000</v>
      </c>
      <c r="BN16" s="24">
        <f t="shared" si="5"/>
        <v>167000</v>
      </c>
      <c r="BO16" s="24">
        <f t="shared" si="5"/>
        <v>167000</v>
      </c>
      <c r="BP16" s="24">
        <f t="shared" si="5"/>
        <v>167000</v>
      </c>
    </row>
    <row r="17" spans="1:72" s="23" customFormat="1" x14ac:dyDescent="0.25">
      <c r="A17" s="23" t="str">
        <f t="shared" si="1"/>
        <v>3A Livestock</v>
      </c>
      <c r="C17" s="23" t="str">
        <f>'IPCC Categories'!$C$11</f>
        <v>3A1h Swine</v>
      </c>
      <c r="D17" t="str">
        <f>'IPCC Categories'!F36</f>
        <v>Commercial</v>
      </c>
      <c r="E17" s="23" t="str">
        <f t="shared" si="2"/>
        <v>Population</v>
      </c>
      <c r="F17" s="23" t="str">
        <f t="shared" si="3"/>
        <v>Head</v>
      </c>
      <c r="H17" s="43">
        <v>1524000</v>
      </c>
      <c r="I17" s="43">
        <v>1665000</v>
      </c>
      <c r="J17" s="43">
        <v>1654000</v>
      </c>
      <c r="K17" s="43">
        <v>1653000</v>
      </c>
      <c r="L17" s="43">
        <v>1570000</v>
      </c>
      <c r="M17" s="43">
        <v>1585000</v>
      </c>
      <c r="N17" s="43">
        <v>1707000</v>
      </c>
      <c r="O17" s="43">
        <v>1699000</v>
      </c>
      <c r="P17" s="43">
        <v>1736000</v>
      </c>
      <c r="Q17" s="43">
        <v>1780000</v>
      </c>
      <c r="R17" s="43">
        <v>1647000</v>
      </c>
      <c r="S17" s="43">
        <v>1678000</v>
      </c>
      <c r="T17" s="43">
        <v>1710000</v>
      </c>
      <c r="U17" s="43">
        <v>1663000</v>
      </c>
      <c r="V17" s="43">
        <v>1663000</v>
      </c>
      <c r="W17" s="43">
        <v>1651000</v>
      </c>
      <c r="X17" s="43">
        <v>1622000</v>
      </c>
      <c r="Y17" s="43">
        <v>1651000</v>
      </c>
      <c r="Z17" s="43">
        <v>1615000</v>
      </c>
      <c r="AA17" s="43">
        <v>1613000</v>
      </c>
      <c r="AB17" s="43">
        <v>1594000</v>
      </c>
      <c r="AC17" s="43">
        <v>1584000</v>
      </c>
      <c r="AD17" s="24">
        <f>'Intermediate calculations'!Y32*'Intermediate calculations'!Y33*Constants!$H$24</f>
        <v>1663967.1747437194</v>
      </c>
      <c r="AE17" s="24">
        <f>'Intermediate calculations'!Z32*'Intermediate calculations'!Z33*Constants!$H$24</f>
        <v>1663903.2514588479</v>
      </c>
      <c r="AF17" s="24">
        <f>'Intermediate calculations'!AA32*'Intermediate calculations'!AA33*Constants!$H$24</f>
        <v>1648256.1939797602</v>
      </c>
      <c r="AG17" s="24">
        <f>'Intermediate calculations'!AB32*'Intermediate calculations'!AB33*Constants!$H$24</f>
        <v>1620770.629628229</v>
      </c>
      <c r="AH17" s="24">
        <f>'Intermediate calculations'!AC32*'Intermediate calculations'!AC33*Constants!$H$24</f>
        <v>1586461.2372104044</v>
      </c>
      <c r="AI17" s="24">
        <f>'Intermediate calculations'!AD32*'Intermediate calculations'!AD33*Constants!$H$24</f>
        <v>1559244.9293810863</v>
      </c>
      <c r="AJ17" s="24">
        <f>'Intermediate calculations'!AE32*'Intermediate calculations'!AE33*Constants!$H$24</f>
        <v>1536595.9076553709</v>
      </c>
      <c r="AK17" s="24">
        <f>'Intermediate calculations'!AF32*'Intermediate calculations'!AF33*Constants!$H$24</f>
        <v>1514086.8621358422</v>
      </c>
      <c r="AL17" s="24">
        <f>'Intermediate calculations'!AG32*'Intermediate calculations'!AG33*Constants!$H$24</f>
        <v>1319324.7567145489</v>
      </c>
      <c r="AM17" s="24">
        <f>'Intermediate calculations'!AH32*'Intermediate calculations'!AH33*Constants!$H$24</f>
        <v>1321514.7806758687</v>
      </c>
      <c r="AN17" s="24">
        <f>'Intermediate calculations'!AI32*'Intermediate calculations'!AI33*Constants!$H$24</f>
        <v>1324236.4804281357</v>
      </c>
      <c r="AO17" s="24">
        <f>'Intermediate calculations'!AJ32*'Intermediate calculations'!AJ33*Constants!$H$24</f>
        <v>1330839.3856870632</v>
      </c>
      <c r="AP17" s="24">
        <f>'Intermediate calculations'!AK32*'Intermediate calculations'!AK33*Constants!$H$24</f>
        <v>1339648.3641683741</v>
      </c>
      <c r="AQ17" s="24">
        <f>'Intermediate calculations'!AL32*'Intermediate calculations'!AL33*Constants!$H$24</f>
        <v>1347592.7411156476</v>
      </c>
      <c r="AR17" s="24">
        <f>'Intermediate calculations'!AM32*'Intermediate calculations'!AM33*Constants!$H$24</f>
        <v>1360852.007780117</v>
      </c>
      <c r="AS17" s="24">
        <f>'Intermediate calculations'!AN32*'Intermediate calculations'!AN33*Constants!$H$24</f>
        <v>1375091.3066261373</v>
      </c>
      <c r="AT17" s="24">
        <f>'Intermediate calculations'!AO32*'Intermediate calculations'!AO33*Constants!$H$24</f>
        <v>1391049.6599332853</v>
      </c>
      <c r="AU17" s="24">
        <f>'Intermediate calculations'!AP32*'Intermediate calculations'!AP33*Constants!$H$24</f>
        <v>1407728.3078528345</v>
      </c>
      <c r="AV17" s="24">
        <f>'Intermediate calculations'!AQ32*'Intermediate calculations'!AQ33*Constants!$H$24</f>
        <v>1416644.6477437436</v>
      </c>
      <c r="AW17" s="24">
        <f>'Intermediate calculations'!AR32*'Intermediate calculations'!AR33*Constants!$H$24</f>
        <v>1434821.9791126575</v>
      </c>
      <c r="AX17" s="24">
        <f>'Intermediate calculations'!AS32*'Intermediate calculations'!AS33*Constants!$H$24</f>
        <v>1453152.4868887963</v>
      </c>
      <c r="AY17" s="24">
        <f>'Intermediate calculations'!AT32*'Intermediate calculations'!AT33*Constants!$H$24</f>
        <v>1471905.0087865861</v>
      </c>
      <c r="AZ17" s="24">
        <f>'Intermediate calculations'!AU32*'Intermediate calculations'!AU33*Constants!$H$24</f>
        <v>1487851.0929154807</v>
      </c>
      <c r="BA17" s="24">
        <f>'Intermediate calculations'!AV32*'Intermediate calculations'!AV33*Constants!$H$24</f>
        <v>1505495.485546119</v>
      </c>
      <c r="BB17" s="24">
        <f>'Intermediate calculations'!AW32*'Intermediate calculations'!AW33*Constants!$H$24</f>
        <v>1524793.3240346494</v>
      </c>
      <c r="BC17" s="24">
        <f>'Intermediate calculations'!AX32*'Intermediate calculations'!AX33*Constants!$H$24</f>
        <v>1544822.1766602711</v>
      </c>
      <c r="BD17" s="24">
        <f>'Intermediate calculations'!AY32*'Intermediate calculations'!AY33*Constants!$H$24</f>
        <v>1563356.1256976028</v>
      </c>
      <c r="BE17" s="24">
        <f>'Intermediate calculations'!AZ32*'Intermediate calculations'!AZ33*Constants!$H$24</f>
        <v>1582582.9310882716</v>
      </c>
      <c r="BF17" s="24">
        <f>'Intermediate calculations'!BA32*'Intermediate calculations'!BA33*Constants!$H$24</f>
        <v>1603723.2670840959</v>
      </c>
      <c r="BG17" s="24">
        <f>'Intermediate calculations'!BB32*'Intermediate calculations'!BB33*Constants!$H$24</f>
        <v>1626078.875940989</v>
      </c>
      <c r="BH17" s="24">
        <f>'Intermediate calculations'!BC32*'Intermediate calculations'!BC33*Constants!$H$24</f>
        <v>1649385.5203215701</v>
      </c>
      <c r="BI17" s="24">
        <f>'Intermediate calculations'!BD32*'Intermediate calculations'!BD33*Constants!$H$24</f>
        <v>1673654.0674663081</v>
      </c>
      <c r="BJ17" s="24">
        <f>'Intermediate calculations'!BE32*'Intermediate calculations'!BE33*Constants!$H$24</f>
        <v>1698825.1334456019</v>
      </c>
      <c r="BK17" s="24">
        <f>'Intermediate calculations'!BF32*'Intermediate calculations'!BF33*Constants!$H$24</f>
        <v>1725301.1435000452</v>
      </c>
      <c r="BL17" s="24">
        <f>'Intermediate calculations'!BG32*'Intermediate calculations'!BG33*Constants!$H$24</f>
        <v>1747271.255313253</v>
      </c>
      <c r="BM17" s="24">
        <f>'Intermediate calculations'!BH32*'Intermediate calculations'!BH33*Constants!$H$24</f>
        <v>1770310.5506276269</v>
      </c>
      <c r="BN17" s="24">
        <f>'Intermediate calculations'!BI32*'Intermediate calculations'!BI33*Constants!$H$24</f>
        <v>1794759.9170893494</v>
      </c>
      <c r="BO17" s="24">
        <f>'Intermediate calculations'!BJ32*'Intermediate calculations'!BJ33*Constants!$H$24</f>
        <v>1820740.8246877901</v>
      </c>
      <c r="BP17" s="24">
        <f>'Intermediate calculations'!BK32*'Intermediate calculations'!BK33*Constants!$H$24</f>
        <v>1849421.4072375568</v>
      </c>
    </row>
    <row r="18" spans="1:72" s="23" customFormat="1" x14ac:dyDescent="0.25">
      <c r="A18" s="23" t="str">
        <f t="shared" si="1"/>
        <v>3A Livestock</v>
      </c>
      <c r="C18" s="23" t="str">
        <f>C17</f>
        <v>3A1h Swine</v>
      </c>
      <c r="D18" t="str">
        <f>'IPCC Categories'!F37</f>
        <v>Subsistence</v>
      </c>
      <c r="E18" s="23" t="str">
        <f t="shared" si="2"/>
        <v>Population</v>
      </c>
      <c r="F18" s="23" t="str">
        <f t="shared" si="3"/>
        <v>Head</v>
      </c>
      <c r="H18" s="43">
        <v>199009.99166888703</v>
      </c>
      <c r="I18" s="43">
        <v>217422.33341778014</v>
      </c>
      <c r="J18" s="43">
        <v>215985.90959339839</v>
      </c>
      <c r="K18" s="43">
        <v>215855.3256093637</v>
      </c>
      <c r="L18" s="43">
        <v>205016.85493448336</v>
      </c>
      <c r="M18" s="43">
        <v>206975.6146950039</v>
      </c>
      <c r="N18" s="43">
        <v>222906.86074723766</v>
      </c>
      <c r="O18" s="43">
        <v>221862.18887496003</v>
      </c>
      <c r="P18" s="43">
        <v>226693.79628424402</v>
      </c>
      <c r="Q18" s="43">
        <v>232439.49158177094</v>
      </c>
      <c r="R18" s="43">
        <v>215071.82170515548</v>
      </c>
      <c r="S18" s="43">
        <v>219119.92521023127</v>
      </c>
      <c r="T18" s="43">
        <v>223298.61269934176</v>
      </c>
      <c r="U18" s="43">
        <v>217161.16544971074</v>
      </c>
      <c r="V18" s="43">
        <v>217161.16544971074</v>
      </c>
      <c r="W18" s="43">
        <v>215594.1576412943</v>
      </c>
      <c r="X18" s="43">
        <v>211807.22210428791</v>
      </c>
      <c r="Y18" s="43">
        <v>215594.1576412943</v>
      </c>
      <c r="Z18" s="43">
        <v>210893.134216045</v>
      </c>
      <c r="AA18" s="43">
        <v>210631.96624797559</v>
      </c>
      <c r="AB18" s="43">
        <v>208150.87055131624</v>
      </c>
      <c r="AC18" s="43">
        <v>206845.03071096921</v>
      </c>
      <c r="AD18" s="24">
        <f>'Intermediate calculations'!Y32*'Intermediate calculations'!Y33*(1-Constants!$H$24)</f>
        <v>226904.61473777989</v>
      </c>
      <c r="AE18" s="24">
        <f>'Intermediate calculations'!Z32*'Intermediate calculations'!Z33*(1-Constants!$H$24)</f>
        <v>226895.89792620653</v>
      </c>
      <c r="AF18" s="24">
        <f>'Intermediate calculations'!AA32*'Intermediate calculations'!AA33*(1-Constants!$H$24)</f>
        <v>224762.20826996729</v>
      </c>
      <c r="AG18" s="24">
        <f>'Intermediate calculations'!AB32*'Intermediate calculations'!AB33*(1-Constants!$H$24)</f>
        <v>221014.17676748574</v>
      </c>
      <c r="AH18" s="24">
        <f>'Intermediate calculations'!AC32*'Intermediate calculations'!AC33*(1-Constants!$H$24)</f>
        <v>216335.62325596422</v>
      </c>
      <c r="AI18" s="24">
        <f>'Intermediate calculations'!AD32*'Intermediate calculations'!AD33*(1-Constants!$H$24)</f>
        <v>212624.3085519663</v>
      </c>
      <c r="AJ18" s="24">
        <f>'Intermediate calculations'!AE32*'Intermediate calculations'!AE33*(1-Constants!$H$24)</f>
        <v>209535.80558936874</v>
      </c>
      <c r="AK18" s="24">
        <f>'Intermediate calculations'!AF32*'Intermediate calculations'!AF33*(1-Constants!$H$24)</f>
        <v>206466.39029125121</v>
      </c>
      <c r="AL18" s="24">
        <f>'Intermediate calculations'!AG32*'Intermediate calculations'!AG33*(1-Constants!$H$24)</f>
        <v>179907.92137016574</v>
      </c>
      <c r="AM18" s="24">
        <f>'Intermediate calculations'!AH32*'Intermediate calculations'!AH33*(1-Constants!$H$24)</f>
        <v>180206.56100125483</v>
      </c>
      <c r="AN18" s="24">
        <f>'Intermediate calculations'!AI32*'Intermediate calculations'!AI33*(1-Constants!$H$24)</f>
        <v>180577.70187656395</v>
      </c>
      <c r="AO18" s="24">
        <f>'Intermediate calculations'!AJ32*'Intermediate calculations'!AJ33*(1-Constants!$H$24)</f>
        <v>181478.0980482359</v>
      </c>
      <c r="AP18" s="24">
        <f>'Intermediate calculations'!AK32*'Intermediate calculations'!AK33*(1-Constants!$H$24)</f>
        <v>182679.32238659647</v>
      </c>
      <c r="AQ18" s="24">
        <f>'Intermediate calculations'!AL32*'Intermediate calculations'!AL33*(1-Constants!$H$24)</f>
        <v>183762.64651577012</v>
      </c>
      <c r="AR18" s="24">
        <f>'Intermediate calculations'!AM32*'Intermediate calculations'!AM33*(1-Constants!$H$24)</f>
        <v>185570.72833365231</v>
      </c>
      <c r="AS18" s="24">
        <f>'Intermediate calculations'!AN32*'Intermediate calculations'!AN33*(1-Constants!$H$24)</f>
        <v>187512.45090356417</v>
      </c>
      <c r="AT18" s="24">
        <f>'Intermediate calculations'!AO32*'Intermediate calculations'!AO33*(1-Constants!$H$24)</f>
        <v>189688.58999090252</v>
      </c>
      <c r="AU18" s="24">
        <f>'Intermediate calculations'!AP32*'Intermediate calculations'!AP33*(1-Constants!$H$24)</f>
        <v>191962.95107084108</v>
      </c>
      <c r="AV18" s="24">
        <f>'Intermediate calculations'!AQ32*'Intermediate calculations'!AQ33*(1-Constants!$H$24)</f>
        <v>193178.8156014196</v>
      </c>
      <c r="AW18" s="24">
        <f>'Intermediate calculations'!AR32*'Intermediate calculations'!AR33*(1-Constants!$H$24)</f>
        <v>195657.54260627148</v>
      </c>
      <c r="AX18" s="24">
        <f>'Intermediate calculations'!AS32*'Intermediate calculations'!AS33*(1-Constants!$H$24)</f>
        <v>198157.15730301765</v>
      </c>
      <c r="AY18" s="24">
        <f>'Intermediate calculations'!AT32*'Intermediate calculations'!AT33*(1-Constants!$H$24)</f>
        <v>200714.319379989</v>
      </c>
      <c r="AZ18" s="24">
        <f>'Intermediate calculations'!AU32*'Intermediate calculations'!AU33*(1-Constants!$H$24)</f>
        <v>202888.78539756555</v>
      </c>
      <c r="BA18" s="24">
        <f>'Intermediate calculations'!AV32*'Intermediate calculations'!AV33*(1-Constants!$H$24)</f>
        <v>205294.83893810713</v>
      </c>
      <c r="BB18" s="24">
        <f>'Intermediate calculations'!AW32*'Intermediate calculations'!AW33*(1-Constants!$H$24)</f>
        <v>207926.36236836127</v>
      </c>
      <c r="BC18" s="24">
        <f>'Intermediate calculations'!AX32*'Intermediate calculations'!AX33*(1-Constants!$H$24)</f>
        <v>210657.56954458242</v>
      </c>
      <c r="BD18" s="24">
        <f>'Intermediate calculations'!AY32*'Intermediate calculations'!AY33*(1-Constants!$H$24)</f>
        <v>213184.92623149126</v>
      </c>
      <c r="BE18" s="24">
        <f>'Intermediate calculations'!AZ32*'Intermediate calculations'!AZ33*(1-Constants!$H$24)</f>
        <v>215806.76333021885</v>
      </c>
      <c r="BF18" s="24">
        <f>'Intermediate calculations'!BA32*'Intermediate calculations'!BA33*(1-Constants!$H$24)</f>
        <v>218689.53642055852</v>
      </c>
      <c r="BG18" s="24">
        <f>'Intermediate calculations'!BB32*'Intermediate calculations'!BB33*(1-Constants!$H$24)</f>
        <v>221738.02853740758</v>
      </c>
      <c r="BH18" s="24">
        <f>'Intermediate calculations'!BC32*'Intermediate calculations'!BC33*(1-Constants!$H$24)</f>
        <v>224916.20731657773</v>
      </c>
      <c r="BI18" s="24">
        <f>'Intermediate calculations'!BD32*'Intermediate calculations'!BD33*(1-Constants!$H$24)</f>
        <v>228225.55465449655</v>
      </c>
      <c r="BJ18" s="24">
        <f>'Intermediate calculations'!BE32*'Intermediate calculations'!BE33*(1-Constants!$H$24)</f>
        <v>231657.97274258206</v>
      </c>
      <c r="BK18" s="24">
        <f>'Intermediate calculations'!BF32*'Intermediate calculations'!BF33*(1-Constants!$H$24)</f>
        <v>235268.33775000615</v>
      </c>
      <c r="BL18" s="24">
        <f>'Intermediate calculations'!BG32*'Intermediate calculations'!BG33*(1-Constants!$H$24)</f>
        <v>238264.26208817086</v>
      </c>
      <c r="BM18" s="24">
        <f>'Intermediate calculations'!BH32*'Intermediate calculations'!BH33*(1-Constants!$H$24)</f>
        <v>241405.98417649459</v>
      </c>
      <c r="BN18" s="24">
        <f>'Intermediate calculations'!BI32*'Intermediate calculations'!BI33*(1-Constants!$H$24)</f>
        <v>244739.98869400218</v>
      </c>
      <c r="BO18" s="24">
        <f>'Intermediate calculations'!BJ32*'Intermediate calculations'!BJ33*(1-Constants!$H$24)</f>
        <v>248282.83973015318</v>
      </c>
      <c r="BP18" s="24">
        <f>'Intermediate calculations'!BK32*'Intermediate calculations'!BK33*(1-Constants!$H$24)</f>
        <v>252193.82825966683</v>
      </c>
    </row>
    <row r="19" spans="1:72" s="23" customFormat="1" x14ac:dyDescent="0.25">
      <c r="A19" s="23" t="str">
        <f t="shared" si="1"/>
        <v>3A Livestock</v>
      </c>
      <c r="C19" s="23" t="str">
        <f>'IPCC Categories'!$C$19</f>
        <v>3A2i Poultry</v>
      </c>
      <c r="D19" t="str">
        <f>'IPCC Categories'!F50</f>
        <v>Commercial layers</v>
      </c>
      <c r="E19" s="23" t="str">
        <f t="shared" si="2"/>
        <v>Population</v>
      </c>
      <c r="F19" s="23" t="str">
        <f t="shared" si="3"/>
        <v>Head</v>
      </c>
      <c r="H19" s="43">
        <v>14643674.931267885</v>
      </c>
      <c r="I19" s="43">
        <v>14226110.812328145</v>
      </c>
      <c r="J19" s="43">
        <v>13492476.52712371</v>
      </c>
      <c r="K19" s="43">
        <v>13280331.082668224</v>
      </c>
      <c r="L19" s="43">
        <v>12702684.496371185</v>
      </c>
      <c r="M19" s="43">
        <v>13860209.809151115</v>
      </c>
      <c r="N19" s="43">
        <v>14640611.562802857</v>
      </c>
      <c r="O19" s="43">
        <v>14688755.298092401</v>
      </c>
      <c r="P19" s="43">
        <v>16538299.007411262</v>
      </c>
      <c r="Q19" s="43">
        <v>17730716.13950536</v>
      </c>
      <c r="R19" s="43">
        <v>17355030.714458548</v>
      </c>
      <c r="S19" s="43">
        <v>17818001.024886843</v>
      </c>
      <c r="T19" s="43">
        <v>17678155.288284503</v>
      </c>
      <c r="U19" s="43">
        <v>16972399.104253348</v>
      </c>
      <c r="V19" s="43">
        <v>17587835.89054852</v>
      </c>
      <c r="W19" s="43">
        <v>18648391.6209228</v>
      </c>
      <c r="X19" s="43">
        <v>20580691.805783488</v>
      </c>
      <c r="Y19" s="43">
        <v>22776081.657241259</v>
      </c>
      <c r="Z19" s="43">
        <v>23076039.863330547</v>
      </c>
      <c r="AA19" s="43">
        <v>22225308.649488669</v>
      </c>
      <c r="AB19" s="43">
        <v>23091061.215630483</v>
      </c>
      <c r="AC19" s="43">
        <v>24156882.687047753</v>
      </c>
      <c r="AD19" s="24">
        <f>'Intermediate calculations'!Y37*'Intermediate calculations'!Y38*Constants!$H$25</f>
        <v>23738105.446203627</v>
      </c>
      <c r="AE19" s="24">
        <f>'Intermediate calculations'!Z37*'Intermediate calculations'!Z38*Constants!$H$25</f>
        <v>24294485.875165734</v>
      </c>
      <c r="AF19" s="24">
        <f>'Intermediate calculations'!AA37*'Intermediate calculations'!AA38*Constants!$H$25</f>
        <v>24724345.113816928</v>
      </c>
      <c r="AG19" s="24">
        <f>'Intermediate calculations'!AB37*'Intermediate calculations'!AB38*Constants!$H$25</f>
        <v>25050261.108625785</v>
      </c>
      <c r="AH19" s="24">
        <f>'Intermediate calculations'!AC37*'Intermediate calculations'!AC38*Constants!$H$25</f>
        <v>25309397.889475603</v>
      </c>
      <c r="AI19" s="24">
        <f>'Intermediate calculations'!AD37*'Intermediate calculations'!AD38*Constants!$H$25</f>
        <v>25623998.737484705</v>
      </c>
      <c r="AJ19" s="24">
        <f>'Intermediate calculations'!AE37*'Intermediate calculations'!AE38*Constants!$H$25</f>
        <v>25971316.160231061</v>
      </c>
      <c r="AK19" s="24">
        <f>'Intermediate calculations'!AF37*'Intermediate calculations'!AF38*Constants!$H$25</f>
        <v>26313384.03519493</v>
      </c>
      <c r="AL19" s="24">
        <f>'Intermediate calculations'!AG37*'Intermediate calculations'!AG38*Constants!$H$25</f>
        <v>24972843.87591761</v>
      </c>
      <c r="AM19" s="24">
        <f>'Intermediate calculations'!AH37*'Intermediate calculations'!AH38*Constants!$H$25</f>
        <v>25471789.698040009</v>
      </c>
      <c r="AN19" s="24">
        <f>'Intermediate calculations'!AI37*'Intermediate calculations'!AI38*Constants!$H$25</f>
        <v>25968137.66574299</v>
      </c>
      <c r="AO19" s="24">
        <f>'Intermediate calculations'!AJ37*'Intermediate calculations'!AJ38*Constants!$H$25</f>
        <v>26496966.291208543</v>
      </c>
      <c r="AP19" s="24">
        <f>'Intermediate calculations'!AK37*'Intermediate calculations'!AK38*Constants!$H$25</f>
        <v>27051211.297945641</v>
      </c>
      <c r="AQ19" s="24">
        <f>'Intermediate calculations'!AL37*'Intermediate calculations'!AL38*Constants!$H$25</f>
        <v>27599128.521845028</v>
      </c>
      <c r="AR19" s="24">
        <f>'Intermediate calculations'!AM37*'Intermediate calculations'!AM38*Constants!$H$25</f>
        <v>28208921.314263199</v>
      </c>
      <c r="AS19" s="24">
        <f>'Intermediate calculations'!AN37*'Intermediate calculations'!AN38*Constants!$H$25</f>
        <v>28835277.662537381</v>
      </c>
      <c r="AT19" s="24">
        <f>'Intermediate calculations'!AO37*'Intermediate calculations'!AO38*Constants!$H$25</f>
        <v>29487618.29602908</v>
      </c>
      <c r="AU19" s="24">
        <f>'Intermediate calculations'!AP37*'Intermediate calculations'!AP38*Constants!$H$25</f>
        <v>30156573.162110712</v>
      </c>
      <c r="AV19" s="24">
        <f>'Intermediate calculations'!AQ37*'Intermediate calculations'!AQ38*Constants!$H$25</f>
        <v>30740523.601076107</v>
      </c>
      <c r="AW19" s="24">
        <f>'Intermediate calculations'!AR37*'Intermediate calculations'!AR38*Constants!$H$25</f>
        <v>31443592.672923572</v>
      </c>
      <c r="AX19" s="24">
        <f>'Intermediate calculations'!AS37*'Intermediate calculations'!AS38*Constants!$H$25</f>
        <v>32158439.685173318</v>
      </c>
      <c r="AY19" s="24">
        <f>'Intermediate calculations'!AT37*'Intermediate calculations'!AT38*Constants!$H$25</f>
        <v>32888882.803879958</v>
      </c>
      <c r="AZ19" s="24">
        <f>'Intermediate calculations'!AU37*'Intermediate calculations'!AU38*Constants!$H$25</f>
        <v>33593654.473819859</v>
      </c>
      <c r="BA19" s="24">
        <f>'Intermediate calculations'!AV37*'Intermediate calculations'!AV38*Constants!$H$25</f>
        <v>34330881.27703774</v>
      </c>
      <c r="BB19" s="24">
        <f>'Intermediate calculations'!AW37*'Intermediate calculations'!AW38*Constants!$H$25</f>
        <v>35101553.670108706</v>
      </c>
      <c r="BC19" s="24">
        <f>'Intermediate calculations'!AX37*'Intermediate calculations'!AX38*Constants!$H$25</f>
        <v>35894520.227138154</v>
      </c>
      <c r="BD19" s="24">
        <f>'Intermediate calculations'!AY37*'Intermediate calculations'!AY38*Constants!$H$25</f>
        <v>36679321.374250278</v>
      </c>
      <c r="BE19" s="24">
        <f>'Intermediate calculations'!AZ37*'Intermediate calculations'!AZ38*Constants!$H$25</f>
        <v>37486878.933489829</v>
      </c>
      <c r="BF19" s="24">
        <f>'Intermediate calculations'!BA37*'Intermediate calculations'!BA38*Constants!$H$25</f>
        <v>38336004.850093313</v>
      </c>
      <c r="BG19" s="24">
        <f>'Intermediate calculations'!BB37*'Intermediate calculations'!BB38*Constants!$H$25</f>
        <v>39218269.038926423</v>
      </c>
      <c r="BH19" s="24">
        <f>'Intermediate calculations'!BC37*'Intermediate calculations'!BC38*Constants!$H$25</f>
        <v>40131119.26120273</v>
      </c>
      <c r="BI19" s="24">
        <f>'Intermediate calculations'!BD37*'Intermediate calculations'!BD38*Constants!$H$25</f>
        <v>41076012.966131739</v>
      </c>
      <c r="BJ19" s="24">
        <f>'Intermediate calculations'!BE37*'Intermediate calculations'!BE38*Constants!$H$25</f>
        <v>42053373.333156817</v>
      </c>
      <c r="BK19" s="24">
        <f>'Intermediate calculations'!BF37*'Intermediate calculations'!BF38*Constants!$H$25</f>
        <v>43071009.5253148</v>
      </c>
      <c r="BL19" s="24">
        <f>'Intermediate calculations'!BG37*'Intermediate calculations'!BG38*Constants!$H$25</f>
        <v>44035602.085458778</v>
      </c>
      <c r="BM19" s="24">
        <f>'Intermediate calculations'!BH37*'Intermediate calculations'!BH38*Constants!$H$25</f>
        <v>45036599.377814703</v>
      </c>
      <c r="BN19" s="24">
        <f>'Intermediate calculations'!BI37*'Intermediate calculations'!BI38*Constants!$H$25</f>
        <v>46081374.230523288</v>
      </c>
      <c r="BO19" s="24">
        <f>'Intermediate calculations'!BJ37*'Intermediate calculations'!BJ38*Constants!$H$25</f>
        <v>47173951.095084533</v>
      </c>
      <c r="BP19" s="24">
        <f>'Intermediate calculations'!BK37*'Intermediate calculations'!BK38*Constants!$H$25</f>
        <v>48337058.179255992</v>
      </c>
    </row>
    <row r="20" spans="1:72" s="23" customFormat="1" x14ac:dyDescent="0.25">
      <c r="A20" s="23" t="str">
        <f t="shared" si="1"/>
        <v>3A Livestock</v>
      </c>
      <c r="C20" s="23" t="str">
        <f>C19</f>
        <v>3A2i Poultry</v>
      </c>
      <c r="D20" t="str">
        <f>'IPCC Categories'!F51</f>
        <v>Commercial broilers</v>
      </c>
      <c r="E20" s="23" t="str">
        <f t="shared" si="2"/>
        <v>Population</v>
      </c>
      <c r="F20" s="23" t="str">
        <f t="shared" si="3"/>
        <v>Head</v>
      </c>
      <c r="H20" s="43">
        <v>40304488.125775687</v>
      </c>
      <c r="I20" s="43">
        <v>37886218.887128815</v>
      </c>
      <c r="J20" s="43">
        <v>35805187.036307976</v>
      </c>
      <c r="K20" s="43">
        <v>40268107.368938237</v>
      </c>
      <c r="L20" s="43">
        <v>39890443.299430735</v>
      </c>
      <c r="M20" s="43">
        <v>45660443.796231762</v>
      </c>
      <c r="N20" s="43">
        <v>53091326.838711366</v>
      </c>
      <c r="O20" s="43">
        <v>54040901.985378392</v>
      </c>
      <c r="P20" s="43">
        <v>59214394.697576575</v>
      </c>
      <c r="Q20" s="43">
        <v>61819163.842046939</v>
      </c>
      <c r="R20" s="43">
        <v>66512864.907880791</v>
      </c>
      <c r="S20" s="43">
        <v>64225159.968942329</v>
      </c>
      <c r="T20" s="43">
        <v>71182309.580183759</v>
      </c>
      <c r="U20" s="43">
        <v>67705122.244331256</v>
      </c>
      <c r="V20" s="43">
        <v>69339582.95804137</v>
      </c>
      <c r="W20" s="43">
        <v>76722494.212373629</v>
      </c>
      <c r="X20" s="43">
        <v>82061878.307196394</v>
      </c>
      <c r="Y20" s="43">
        <v>85859218.536646262</v>
      </c>
      <c r="Z20" s="43">
        <v>91416754.470852047</v>
      </c>
      <c r="AA20" s="43">
        <v>86261715.79298</v>
      </c>
      <c r="AB20" s="43">
        <v>88431266.728296682</v>
      </c>
      <c r="AC20" s="43">
        <v>91461113.859690607</v>
      </c>
      <c r="AD20" s="24">
        <f>'Intermediate calculations'!Y42*'Intermediate calculations'!Y43*Constants!$H$26</f>
        <v>94735374.647455543</v>
      </c>
      <c r="AE20" s="24">
        <f>'Intermediate calculations'!Z42*'Intermediate calculations'!Z43*Constants!$H$26</f>
        <v>96713123.838980854</v>
      </c>
      <c r="AF20" s="24">
        <f>'Intermediate calculations'!AA42*'Intermediate calculations'!AA43*Constants!$H$26</f>
        <v>97323279.603248179</v>
      </c>
      <c r="AG20" s="24">
        <f>'Intermediate calculations'!AB42*'Intermediate calculations'!AB43*Constants!$H$26</f>
        <v>96834139.775411025</v>
      </c>
      <c r="AH20" s="24">
        <f>'Intermediate calculations'!AC42*'Intermediate calculations'!AC43*Constants!$H$26</f>
        <v>95642117.652288869</v>
      </c>
      <c r="AI20" s="24">
        <f>'Intermediate calculations'!AD42*'Intermediate calculations'!AD43*Constants!$H$26</f>
        <v>94951048.481715515</v>
      </c>
      <c r="AJ20" s="24">
        <f>'Intermediate calculations'!AE42*'Intermediate calculations'!AE43*Constants!$H$26</f>
        <v>94582925.11230357</v>
      </c>
      <c r="AK20" s="24">
        <f>'Intermediate calculations'!AF42*'Intermediate calculations'!AF43*Constants!$H$26</f>
        <v>94155595.103140652</v>
      </c>
      <c r="AL20" s="24">
        <f>'Intermediate calculations'!AG42*'Intermediate calculations'!AG43*Constants!$H$26</f>
        <v>77861288.111331731</v>
      </c>
      <c r="AM20" s="24">
        <f>'Intermediate calculations'!AH42*'Intermediate calculations'!AH43*Constants!$H$26</f>
        <v>79511552.457533404</v>
      </c>
      <c r="AN20" s="24">
        <f>'Intermediate calculations'!AI42*'Intermediate calculations'!AI43*Constants!$H$26</f>
        <v>81253049.076920778</v>
      </c>
      <c r="AO20" s="24">
        <f>'Intermediate calculations'!AJ42*'Intermediate calculations'!AJ43*Constants!$H$26</f>
        <v>83410260.197388381</v>
      </c>
      <c r="AP20" s="24">
        <f>'Intermediate calculations'!AK42*'Intermediate calculations'!AK43*Constants!$H$26</f>
        <v>85810789.395515233</v>
      </c>
      <c r="AQ20" s="24">
        <f>'Intermediate calculations'!AL42*'Intermediate calculations'!AL43*Constants!$H$26</f>
        <v>88164328.170320511</v>
      </c>
      <c r="AR20" s="24">
        <f>'Intermediate calculations'!AM42*'Intermediate calculations'!AM43*Constants!$H$26</f>
        <v>91083280.818024933</v>
      </c>
      <c r="AS20" s="24">
        <f>'Intermediate calculations'!AN42*'Intermediate calculations'!AN43*Constants!$H$26</f>
        <v>94154316.25217171</v>
      </c>
      <c r="AT20" s="24">
        <f>'Intermediate calculations'!AO42*'Intermediate calculations'!AO43*Constants!$H$26</f>
        <v>97458740.9843674</v>
      </c>
      <c r="AU20" s="24">
        <f>'Intermediate calculations'!AP42*'Intermediate calculations'!AP43*Constants!$H$26</f>
        <v>100899133.71012914</v>
      </c>
      <c r="AV20" s="24">
        <f>'Intermediate calculations'!AQ42*'Intermediate calculations'!AQ43*Constants!$H$26</f>
        <v>103593977.16198817</v>
      </c>
      <c r="AW20" s="24">
        <f>'Intermediate calculations'!AR42*'Intermediate calculations'!AR43*Constants!$H$26</f>
        <v>107316390.50296284</v>
      </c>
      <c r="AX20" s="24">
        <f>'Intermediate calculations'!AS42*'Intermediate calculations'!AS43*Constants!$H$26</f>
        <v>111129423.93429124</v>
      </c>
      <c r="AY20" s="24">
        <f>'Intermediate calculations'!AT42*'Intermediate calculations'!AT43*Constants!$H$26</f>
        <v>115065220.72292848</v>
      </c>
      <c r="AZ20" s="24">
        <f>'Intermediate calculations'!AU42*'Intermediate calculations'!AU43*Constants!$H$26</f>
        <v>118771951.95186205</v>
      </c>
      <c r="BA20" s="24">
        <f>'Intermediate calculations'!AV42*'Intermediate calculations'!AV43*Constants!$H$26</f>
        <v>122741899.52979867</v>
      </c>
      <c r="BB20" s="24">
        <f>'Intermediate calculations'!AW42*'Intermediate calculations'!AW43*Constants!$H$26</f>
        <v>126979530.4548738</v>
      </c>
      <c r="BC20" s="24">
        <f>'Intermediate calculations'!AX42*'Intermediate calculations'!AX43*Constants!$H$26</f>
        <v>131389046.94921318</v>
      </c>
      <c r="BD20" s="24">
        <f>'Intermediate calculations'!AY42*'Intermediate calculations'!AY43*Constants!$H$26</f>
        <v>135718754.64770624</v>
      </c>
      <c r="BE20" s="24">
        <f>'Intermediate calculations'!AZ42*'Intermediate calculations'!AZ43*Constants!$H$26</f>
        <v>140220033.36130556</v>
      </c>
      <c r="BF20" s="24">
        <f>'Intermediate calculations'!BA42*'Intermediate calculations'!BA43*Constants!$H$26</f>
        <v>145043464.16075924</v>
      </c>
      <c r="BG20" s="24">
        <f>'Intermediate calculations'!BB42*'Intermediate calculations'!BB43*Constants!$H$26</f>
        <v>150116627.829117</v>
      </c>
      <c r="BH20" s="24">
        <f>'Intermediate calculations'!BC42*'Intermediate calculations'!BC43*Constants!$H$26</f>
        <v>155415959.92592019</v>
      </c>
      <c r="BI20" s="24">
        <f>'Intermediate calculations'!BD42*'Intermediate calculations'!BD43*Constants!$H$26</f>
        <v>160950412.82650921</v>
      </c>
      <c r="BJ20" s="24">
        <f>'Intermediate calculations'!BE42*'Intermediate calculations'!BE43*Constants!$H$26</f>
        <v>166720438.49982879</v>
      </c>
      <c r="BK20" s="24">
        <f>'Intermediate calculations'!BF42*'Intermediate calculations'!BF43*Constants!$H$26</f>
        <v>172784793.98891759</v>
      </c>
      <c r="BL20" s="24">
        <f>'Intermediate calculations'!BG42*'Intermediate calculations'!BG43*Constants!$H$26</f>
        <v>178409363.82968283</v>
      </c>
      <c r="BM20" s="24">
        <f>'Intermediate calculations'!BH42*'Intermediate calculations'!BH43*Constants!$H$26</f>
        <v>184298929.11087543</v>
      </c>
      <c r="BN20" s="24">
        <f>'Intermediate calculations'!BI42*'Intermediate calculations'!BI43*Constants!$H$26</f>
        <v>190507433.33988291</v>
      </c>
      <c r="BO20" s="24">
        <f>'Intermediate calculations'!BJ42*'Intermediate calculations'!BJ43*Constants!$H$26</f>
        <v>197062400.41472313</v>
      </c>
      <c r="BP20" s="24">
        <f>'Intermediate calculations'!BK42*'Intermediate calculations'!BK43*Constants!$H$26</f>
        <v>204133669.9129785</v>
      </c>
    </row>
    <row r="21" spans="1:72" s="23" customFormat="1" x14ac:dyDescent="0.25">
      <c r="A21" s="23" t="str">
        <f t="shared" si="1"/>
        <v>3A Livestock</v>
      </c>
      <c r="C21" s="23" t="str">
        <f>C20</f>
        <v>3A2i Poultry</v>
      </c>
      <c r="D21" t="str">
        <f>'IPCC Categories'!F52</f>
        <v>Subsistence layers</v>
      </c>
      <c r="E21" s="23" t="str">
        <f t="shared" si="2"/>
        <v>Population</v>
      </c>
      <c r="F21" s="23" t="str">
        <f t="shared" si="3"/>
        <v>Head</v>
      </c>
      <c r="H21" s="43">
        <v>615034.34711325122</v>
      </c>
      <c r="I21" s="43">
        <v>597496.65411778213</v>
      </c>
      <c r="J21" s="43">
        <v>566684.0141391959</v>
      </c>
      <c r="K21" s="43">
        <v>557773.90547206544</v>
      </c>
      <c r="L21" s="43">
        <v>533512.74884758983</v>
      </c>
      <c r="M21" s="43">
        <v>582128.81198434683</v>
      </c>
      <c r="N21" s="43">
        <v>614905.68563772005</v>
      </c>
      <c r="O21" s="43">
        <v>616927.72251988086</v>
      </c>
      <c r="P21" s="43">
        <v>694608.55831127299</v>
      </c>
      <c r="Q21" s="43">
        <v>744690.07785922522</v>
      </c>
      <c r="R21" s="43">
        <v>728911.290007259</v>
      </c>
      <c r="S21" s="43">
        <v>748356.04304524744</v>
      </c>
      <c r="T21" s="43">
        <v>742482.52210794913</v>
      </c>
      <c r="U21" s="43">
        <v>712840.76237864071</v>
      </c>
      <c r="V21" s="43">
        <v>738689.10740303784</v>
      </c>
      <c r="W21" s="43">
        <v>783232.44807875762</v>
      </c>
      <c r="X21" s="43">
        <v>864389.05584290659</v>
      </c>
      <c r="Y21" s="43">
        <v>956595.42960413289</v>
      </c>
      <c r="Z21" s="43">
        <v>969193.674259883</v>
      </c>
      <c r="AA21" s="43">
        <v>933462.96327852411</v>
      </c>
      <c r="AB21" s="43">
        <v>969824.57105648029</v>
      </c>
      <c r="AC21" s="43">
        <v>1014589.0728560057</v>
      </c>
      <c r="AD21" s="24">
        <f>'Intermediate calculations'!Y37*'Intermediate calculations'!Y38*(1-Constants!$H$25)</f>
        <v>989087.72692515212</v>
      </c>
      <c r="AE21" s="24">
        <f>'Intermediate calculations'!Z37*'Intermediate calculations'!Z38*(1-Constants!$H$25)</f>
        <v>1012270.2447985733</v>
      </c>
      <c r="AF21" s="24">
        <f>'Intermediate calculations'!AA37*'Intermediate calculations'!AA38*(1-Constants!$H$25)</f>
        <v>1030181.0464090396</v>
      </c>
      <c r="AG21" s="24">
        <f>'Intermediate calculations'!AB37*'Intermediate calculations'!AB38*(1-Constants!$H$25)</f>
        <v>1043760.8795260753</v>
      </c>
      <c r="AH21" s="24">
        <f>'Intermediate calculations'!AC37*'Intermediate calculations'!AC38*(1-Constants!$H$25)</f>
        <v>1054558.2453948178</v>
      </c>
      <c r="AI21" s="24">
        <f>'Intermediate calculations'!AD37*'Intermediate calculations'!AD38*(1-Constants!$H$25)</f>
        <v>1067666.6140618636</v>
      </c>
      <c r="AJ21" s="24">
        <f>'Intermediate calculations'!AE37*'Intermediate calculations'!AE38*(1-Constants!$H$25)</f>
        <v>1082138.1733429618</v>
      </c>
      <c r="AK21" s="24">
        <f>'Intermediate calculations'!AF37*'Intermediate calculations'!AF38*(1-Constants!$H$25)</f>
        <v>1096391.0014664563</v>
      </c>
      <c r="AL21" s="24">
        <f>'Intermediate calculations'!AG37*'Intermediate calculations'!AG38*(1-Constants!$H$25)</f>
        <v>1040535.161496568</v>
      </c>
      <c r="AM21" s="24">
        <f>'Intermediate calculations'!AH37*'Intermediate calculations'!AH38*(1-Constants!$H$25)</f>
        <v>1061324.570751668</v>
      </c>
      <c r="AN21" s="24">
        <f>'Intermediate calculations'!AI37*'Intermediate calculations'!AI38*(1-Constants!$H$25)</f>
        <v>1082005.7360726255</v>
      </c>
      <c r="AO21" s="24">
        <f>'Intermediate calculations'!AJ37*'Intermediate calculations'!AJ38*(1-Constants!$H$25)</f>
        <v>1104040.2621336903</v>
      </c>
      <c r="AP21" s="24">
        <f>'Intermediate calculations'!AK37*'Intermediate calculations'!AK38*(1-Constants!$H$25)</f>
        <v>1127133.8040810695</v>
      </c>
      <c r="AQ21" s="24">
        <f>'Intermediate calculations'!AL37*'Intermediate calculations'!AL38*(1-Constants!$H$25)</f>
        <v>1149963.6884102107</v>
      </c>
      <c r="AR21" s="24">
        <f>'Intermediate calculations'!AM37*'Intermediate calculations'!AM38*(1-Constants!$H$25)</f>
        <v>1175371.7214276344</v>
      </c>
      <c r="AS21" s="24">
        <f>'Intermediate calculations'!AN37*'Intermediate calculations'!AN38*(1-Constants!$H$25)</f>
        <v>1201469.9026057252</v>
      </c>
      <c r="AT21" s="24">
        <f>'Intermediate calculations'!AO37*'Intermediate calculations'!AO38*(1-Constants!$H$25)</f>
        <v>1228650.7623345463</v>
      </c>
      <c r="AU21" s="24">
        <f>'Intermediate calculations'!AP37*'Intermediate calculations'!AP38*(1-Constants!$H$25)</f>
        <v>1256523.8817546142</v>
      </c>
      <c r="AV21" s="24">
        <f>'Intermediate calculations'!AQ37*'Intermediate calculations'!AQ38*(1-Constants!$H$25)</f>
        <v>1280855.1500448391</v>
      </c>
      <c r="AW21" s="24">
        <f>'Intermediate calculations'!AR37*'Intermediate calculations'!AR38*(1-Constants!$H$25)</f>
        <v>1310149.6947051501</v>
      </c>
      <c r="AX21" s="24">
        <f>'Intermediate calculations'!AS37*'Intermediate calculations'!AS38*(1-Constants!$H$25)</f>
        <v>1339934.9868822228</v>
      </c>
      <c r="AY21" s="24">
        <f>'Intermediate calculations'!AT37*'Intermediate calculations'!AT38*(1-Constants!$H$25)</f>
        <v>1370370.1168283329</v>
      </c>
      <c r="AZ21" s="24">
        <f>'Intermediate calculations'!AU37*'Intermediate calculations'!AU38*(1-Constants!$H$25)</f>
        <v>1399735.6030758289</v>
      </c>
      <c r="BA21" s="24">
        <f>'Intermediate calculations'!AV37*'Intermediate calculations'!AV38*(1-Constants!$H$25)</f>
        <v>1430453.3865432406</v>
      </c>
      <c r="BB21" s="24">
        <f>'Intermediate calculations'!AW37*'Intermediate calculations'!AW38*(1-Constants!$H$25)</f>
        <v>1462564.7362545307</v>
      </c>
      <c r="BC21" s="24">
        <f>'Intermediate calculations'!AX37*'Intermediate calculations'!AX38*(1-Constants!$H$25)</f>
        <v>1495605.0094640912</v>
      </c>
      <c r="BD21" s="24">
        <f>'Intermediate calculations'!AY37*'Intermediate calculations'!AY38*(1-Constants!$H$25)</f>
        <v>1528305.0572604297</v>
      </c>
      <c r="BE21" s="24">
        <f>'Intermediate calculations'!AZ37*'Intermediate calculations'!AZ38*(1-Constants!$H$25)</f>
        <v>1561953.2888954112</v>
      </c>
      <c r="BF21" s="24">
        <f>'Intermediate calculations'!BA37*'Intermediate calculations'!BA38*(1-Constants!$H$25)</f>
        <v>1597333.5354205563</v>
      </c>
      <c r="BG21" s="24">
        <f>'Intermediate calculations'!BB37*'Intermediate calculations'!BB38*(1-Constants!$H$25)</f>
        <v>1634094.5432886025</v>
      </c>
      <c r="BH21" s="24">
        <f>'Intermediate calculations'!BC37*'Intermediate calculations'!BC38*(1-Constants!$H$25)</f>
        <v>1672129.9692167819</v>
      </c>
      <c r="BI21" s="24">
        <f>'Intermediate calculations'!BD37*'Intermediate calculations'!BD38*(1-Constants!$H$25)</f>
        <v>1711500.5402554909</v>
      </c>
      <c r="BJ21" s="24">
        <f>'Intermediate calculations'!BE37*'Intermediate calculations'!BE38*(1-Constants!$H$25)</f>
        <v>1752223.8888815355</v>
      </c>
      <c r="BK21" s="24">
        <f>'Intermediate calculations'!BF37*'Intermediate calculations'!BF38*(1-Constants!$H$25)</f>
        <v>1794625.3968881182</v>
      </c>
      <c r="BL21" s="24">
        <f>'Intermediate calculations'!BG37*'Intermediate calculations'!BG38*(1-Constants!$H$25)</f>
        <v>1834816.753560784</v>
      </c>
      <c r="BM21" s="24">
        <f>'Intermediate calculations'!BH37*'Intermediate calculations'!BH38*(1-Constants!$H$25)</f>
        <v>1876524.9740756145</v>
      </c>
      <c r="BN21" s="24">
        <f>'Intermediate calculations'!BI37*'Intermediate calculations'!BI38*(1-Constants!$H$25)</f>
        <v>1920057.2596051388</v>
      </c>
      <c r="BO21" s="24">
        <f>'Intermediate calculations'!BJ37*'Intermediate calculations'!BJ38*(1-Constants!$H$25)</f>
        <v>1965581.2956285242</v>
      </c>
      <c r="BP21" s="24">
        <f>'Intermediate calculations'!BK37*'Intermediate calculations'!BK38*(1-Constants!$H$25)</f>
        <v>2014044.0908023349</v>
      </c>
    </row>
    <row r="22" spans="1:72" s="23" customFormat="1" x14ac:dyDescent="0.25">
      <c r="A22" s="23" t="str">
        <f t="shared" si="1"/>
        <v>3A Livestock</v>
      </c>
      <c r="C22" s="23" t="str">
        <f>C21</f>
        <v>3A2i Poultry</v>
      </c>
      <c r="D22" t="str">
        <f>'IPCC Categories'!F53</f>
        <v>Subsistence broilers</v>
      </c>
      <c r="E22" s="23" t="str">
        <f t="shared" si="2"/>
        <v>Population</v>
      </c>
      <c r="F22" s="23" t="str">
        <f t="shared" si="3"/>
        <v>Head</v>
      </c>
      <c r="H22" s="43">
        <v>1692788.501282579</v>
      </c>
      <c r="I22" s="43">
        <v>1591221.1932594103</v>
      </c>
      <c r="J22" s="43">
        <v>1503817.8555249351</v>
      </c>
      <c r="K22" s="43">
        <v>1691260.5094954062</v>
      </c>
      <c r="L22" s="43">
        <v>1675398.618576091</v>
      </c>
      <c r="M22" s="43">
        <v>1917738.6394417342</v>
      </c>
      <c r="N22" s="43">
        <v>2229835.7272258773</v>
      </c>
      <c r="O22" s="43">
        <v>2269717.8833858925</v>
      </c>
      <c r="P22" s="43">
        <v>2487004.5772982165</v>
      </c>
      <c r="Q22" s="43">
        <v>2596404.8813659716</v>
      </c>
      <c r="R22" s="43">
        <v>2793540.3261309932</v>
      </c>
      <c r="S22" s="43">
        <v>2697456.7186955782</v>
      </c>
      <c r="T22" s="43">
        <v>2989657.0023677181</v>
      </c>
      <c r="U22" s="43">
        <v>2843615.1342619131</v>
      </c>
      <c r="V22" s="43">
        <v>2912262.4842377375</v>
      </c>
      <c r="W22" s="43">
        <v>3222344.7569196927</v>
      </c>
      <c r="X22" s="43">
        <v>3446598.8889022488</v>
      </c>
      <c r="Y22" s="43">
        <v>3606087.1785391434</v>
      </c>
      <c r="Z22" s="43">
        <v>3839503.687775786</v>
      </c>
      <c r="AA22" s="43">
        <v>3622992.06330516</v>
      </c>
      <c r="AB22" s="43">
        <v>3714113.2025884609</v>
      </c>
      <c r="AC22" s="43">
        <v>3841366.7821070058</v>
      </c>
      <c r="AD22" s="24">
        <f>'Intermediate calculations'!Y42*'Intermediate calculations'!Y43*(1-Constants!$H$26)</f>
        <v>3947307.2769773179</v>
      </c>
      <c r="AE22" s="24">
        <f>'Intermediate calculations'!Z42*'Intermediate calculations'!Z43*(1-Constants!$H$26)</f>
        <v>4029713.4932908728</v>
      </c>
      <c r="AF22" s="24">
        <f>'Intermediate calculations'!AA42*'Intermediate calculations'!AA43*(1-Constants!$H$26)</f>
        <v>4055136.6501353444</v>
      </c>
      <c r="AG22" s="24">
        <f>'Intermediate calculations'!AB42*'Intermediate calculations'!AB43*(1-Constants!$H$26)</f>
        <v>4034755.8239754629</v>
      </c>
      <c r="AH22" s="24">
        <f>'Intermediate calculations'!AC42*'Intermediate calculations'!AC43*(1-Constants!$H$26)</f>
        <v>3985088.2355120396</v>
      </c>
      <c r="AI22" s="24">
        <f>'Intermediate calculations'!AD42*'Intermediate calculations'!AD43*(1-Constants!$H$26)</f>
        <v>3956293.6867381502</v>
      </c>
      <c r="AJ22" s="24">
        <f>'Intermediate calculations'!AE42*'Intermediate calculations'!AE43*(1-Constants!$H$26)</f>
        <v>3940955.2130126525</v>
      </c>
      <c r="AK22" s="24">
        <f>'Intermediate calculations'!AF42*'Intermediate calculations'!AF43*(1-Constants!$H$26)</f>
        <v>3923149.7959641973</v>
      </c>
      <c r="AL22" s="24">
        <f>'Intermediate calculations'!AG42*'Intermediate calculations'!AG43*(1-Constants!$H$26)</f>
        <v>3244220.3379721586</v>
      </c>
      <c r="AM22" s="24">
        <f>'Intermediate calculations'!AH42*'Intermediate calculations'!AH43*(1-Constants!$H$26)</f>
        <v>3312981.3523972286</v>
      </c>
      <c r="AN22" s="24">
        <f>'Intermediate calculations'!AI42*'Intermediate calculations'!AI43*(1-Constants!$H$26)</f>
        <v>3385543.7115383693</v>
      </c>
      <c r="AO22" s="24">
        <f>'Intermediate calculations'!AJ42*'Intermediate calculations'!AJ43*(1-Constants!$H$26)</f>
        <v>3475427.508224519</v>
      </c>
      <c r="AP22" s="24">
        <f>'Intermediate calculations'!AK42*'Intermediate calculations'!AK43*(1-Constants!$H$26)</f>
        <v>3575449.5581464716</v>
      </c>
      <c r="AQ22" s="24">
        <f>'Intermediate calculations'!AL42*'Intermediate calculations'!AL43*(1-Constants!$H$26)</f>
        <v>3673513.6737633585</v>
      </c>
      <c r="AR22" s="24">
        <f>'Intermediate calculations'!AM42*'Intermediate calculations'!AM43*(1-Constants!$H$26)</f>
        <v>3795136.700751042</v>
      </c>
      <c r="AS22" s="24">
        <f>'Intermediate calculations'!AN42*'Intermediate calculations'!AN43*(1-Constants!$H$26)</f>
        <v>3923096.510507158</v>
      </c>
      <c r="AT22" s="24">
        <f>'Intermediate calculations'!AO42*'Intermediate calculations'!AO43*(1-Constants!$H$26)</f>
        <v>4060780.8743486451</v>
      </c>
      <c r="AU22" s="24">
        <f>'Intermediate calculations'!AP42*'Intermediate calculations'!AP43*(1-Constants!$H$26)</f>
        <v>4204130.5712553849</v>
      </c>
      <c r="AV22" s="24">
        <f>'Intermediate calculations'!AQ42*'Intermediate calculations'!AQ43*(1-Constants!$H$26)</f>
        <v>4316415.7150828438</v>
      </c>
      <c r="AW22" s="24">
        <f>'Intermediate calculations'!AR42*'Intermediate calculations'!AR43*(1-Constants!$H$26)</f>
        <v>4471516.2709567891</v>
      </c>
      <c r="AX22" s="24">
        <f>'Intermediate calculations'!AS42*'Intermediate calculations'!AS43*(1-Constants!$H$26)</f>
        <v>4630392.6639288059</v>
      </c>
      <c r="AY22" s="24">
        <f>'Intermediate calculations'!AT42*'Intermediate calculations'!AT43*(1-Constants!$H$26)</f>
        <v>4794384.196788691</v>
      </c>
      <c r="AZ22" s="24">
        <f>'Intermediate calculations'!AU42*'Intermediate calculations'!AU43*(1-Constants!$H$26)</f>
        <v>4948831.3313275902</v>
      </c>
      <c r="BA22" s="24">
        <f>'Intermediate calculations'!AV42*'Intermediate calculations'!AV43*(1-Constants!$H$26)</f>
        <v>5114245.813741616</v>
      </c>
      <c r="BB22" s="24">
        <f>'Intermediate calculations'!AW42*'Intermediate calculations'!AW43*(1-Constants!$H$26)</f>
        <v>5290813.7689530803</v>
      </c>
      <c r="BC22" s="24">
        <f>'Intermediate calculations'!AX42*'Intermediate calculations'!AX43*(1-Constants!$H$26)</f>
        <v>5474543.622883887</v>
      </c>
      <c r="BD22" s="24">
        <f>'Intermediate calculations'!AY42*'Intermediate calculations'!AY43*(1-Constants!$H$26)</f>
        <v>5654948.1103210989</v>
      </c>
      <c r="BE22" s="24">
        <f>'Intermediate calculations'!AZ42*'Intermediate calculations'!AZ43*(1-Constants!$H$26)</f>
        <v>5842501.3900544038</v>
      </c>
      <c r="BF22" s="24">
        <f>'Intermediate calculations'!BA42*'Intermediate calculations'!BA43*(1-Constants!$H$26)</f>
        <v>6043477.6733649736</v>
      </c>
      <c r="BG22" s="24">
        <f>'Intermediate calculations'!BB42*'Intermediate calculations'!BB43*(1-Constants!$H$26)</f>
        <v>6254859.4928798806</v>
      </c>
      <c r="BH22" s="24">
        <f>'Intermediate calculations'!BC42*'Intermediate calculations'!BC43*(1-Constants!$H$26)</f>
        <v>6475664.9969133474</v>
      </c>
      <c r="BI22" s="24">
        <f>'Intermediate calculations'!BD42*'Intermediate calculations'!BD43*(1-Constants!$H$26)</f>
        <v>6706267.2011045562</v>
      </c>
      <c r="BJ22" s="24">
        <f>'Intermediate calculations'!BE42*'Intermediate calculations'!BE43*(1-Constants!$H$26)</f>
        <v>6946684.9374928726</v>
      </c>
      <c r="BK22" s="24">
        <f>'Intermediate calculations'!BF42*'Intermediate calculations'!BF43*(1-Constants!$H$26)</f>
        <v>7199366.4162049061</v>
      </c>
      <c r="BL22" s="24">
        <f>'Intermediate calculations'!BG42*'Intermediate calculations'!BG43*(1-Constants!$H$26)</f>
        <v>7433723.4929034589</v>
      </c>
      <c r="BM22" s="24">
        <f>'Intermediate calculations'!BH42*'Intermediate calculations'!BH43*(1-Constants!$H$26)</f>
        <v>7679122.0462864833</v>
      </c>
      <c r="BN22" s="24">
        <f>'Intermediate calculations'!BI42*'Intermediate calculations'!BI43*(1-Constants!$H$26)</f>
        <v>7937809.7224951293</v>
      </c>
      <c r="BO22" s="24">
        <f>'Intermediate calculations'!BJ42*'Intermediate calculations'!BJ43*(1-Constants!$H$26)</f>
        <v>8210933.3506134711</v>
      </c>
      <c r="BP22" s="24">
        <f>'Intermediate calculations'!BK42*'Intermediate calculations'!BK43*(1-Constants!$H$26)</f>
        <v>8505569.5797074456</v>
      </c>
    </row>
    <row r="23" spans="1:72" ht="18.75" customHeight="1" x14ac:dyDescent="0.25">
      <c r="A23" s="20" t="s">
        <v>98</v>
      </c>
      <c r="B23" s="20"/>
      <c r="C23" s="20"/>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S23" s="16"/>
      <c r="BT23" s="15"/>
    </row>
    <row r="24" spans="1:72" x14ac:dyDescent="0.25">
      <c r="A24" t="str">
        <f>'IPCC Categories'!A59</f>
        <v>3C Aggregated and non-CO2 emissions on land</v>
      </c>
      <c r="B24" t="str">
        <f>'IPCC Categories'!B59</f>
        <v>3C1 Biomass burning (CH4)</v>
      </c>
      <c r="C24" t="str">
        <f>'IPCC Categories'!C59</f>
        <v>3C1a Biomass burning in forest land</v>
      </c>
      <c r="D24" t="s">
        <v>346</v>
      </c>
      <c r="E24" t="str">
        <f t="shared" ref="E24:E39" si="6">D24&amp;" - Burnt area"</f>
        <v>Indigenous forests - Burnt area</v>
      </c>
      <c r="F24" t="s">
        <v>361</v>
      </c>
      <c r="G24" t="s">
        <v>640</v>
      </c>
      <c r="H24" s="44">
        <v>13927.534820378225</v>
      </c>
      <c r="I24" s="21">
        <v>13927.534820378225</v>
      </c>
      <c r="J24" s="21">
        <v>13927.534820378225</v>
      </c>
      <c r="K24" s="21">
        <v>13927.534820378225</v>
      </c>
      <c r="L24" s="21">
        <v>13927.534820378225</v>
      </c>
      <c r="M24" s="21">
        <v>13927.534820378225</v>
      </c>
      <c r="N24" s="21">
        <v>13927.534820378225</v>
      </c>
      <c r="O24" s="21">
        <v>13927.534820378225</v>
      </c>
      <c r="P24" s="21">
        <v>13927.534820378225</v>
      </c>
      <c r="Q24" s="21">
        <v>13927.534820378225</v>
      </c>
      <c r="R24" s="21">
        <v>12852.281138089251</v>
      </c>
      <c r="S24" s="21">
        <v>14305.950279381213</v>
      </c>
      <c r="T24" s="21">
        <v>13083.022271627655</v>
      </c>
      <c r="U24" s="21">
        <v>16497.991047996074</v>
      </c>
      <c r="V24" s="21">
        <v>12898.429364796932</v>
      </c>
      <c r="W24" s="21">
        <v>16959.473315072886</v>
      </c>
      <c r="X24" s="21">
        <v>15136.618360119473</v>
      </c>
      <c r="Y24" s="21">
        <v>19797.589257595289</v>
      </c>
      <c r="Z24" s="21">
        <v>16567.213388057597</v>
      </c>
      <c r="AA24" s="21">
        <v>16336.472254519189</v>
      </c>
      <c r="AB24" s="21">
        <v>13394.88</v>
      </c>
      <c r="AC24" s="21">
        <v>10042.290000000001</v>
      </c>
      <c r="AD24" s="45">
        <f>'[2]Activity data'!AE545</f>
        <v>13597.343916991533</v>
      </c>
      <c r="AE24" s="45">
        <f>'[2]Activity data'!AF545</f>
        <v>13591.541699530653</v>
      </c>
      <c r="AF24" s="45">
        <f>'[2]Activity data'!AG545</f>
        <v>13585.739482069775</v>
      </c>
      <c r="AG24" s="45">
        <f>'[2]Activity data'!AH545</f>
        <v>13579.937264608896</v>
      </c>
      <c r="AH24" s="45">
        <f>'[2]Activity data'!AI545</f>
        <v>13574.135047148016</v>
      </c>
      <c r="AI24" s="45">
        <f>'[2]Activity data'!AJ545</f>
        <v>13568.332829687137</v>
      </c>
      <c r="AJ24" s="45">
        <f>'[2]Activity data'!AK545</f>
        <v>13562.530612226257</v>
      </c>
      <c r="AK24" s="45">
        <f>'[2]Activity data'!AL545</f>
        <v>13556.72839476538</v>
      </c>
      <c r="AL24" s="45">
        <f>'[2]Activity data'!AM545</f>
        <v>13550.9261773045</v>
      </c>
      <c r="AM24" s="45">
        <f>'[2]Activity data'!AN545</f>
        <v>13545.12395984362</v>
      </c>
      <c r="AN24" s="45">
        <f>'[2]Activity data'!AO545</f>
        <v>13539.321742382741</v>
      </c>
      <c r="AO24" s="45">
        <f>'[2]Activity data'!AP545</f>
        <v>13533.519524921861</v>
      </c>
      <c r="AP24" s="45">
        <f>'[2]Activity data'!AQ545</f>
        <v>13527.717307460984</v>
      </c>
      <c r="AQ24" s="45">
        <f>'[2]Activity data'!AR545</f>
        <v>13521.915090000104</v>
      </c>
      <c r="AR24" s="45">
        <f>'[2]Activity data'!AS545</f>
        <v>13516.112872539225</v>
      </c>
      <c r="AS24" s="45">
        <f>'[2]Activity data'!AT545</f>
        <v>13510.310655078345</v>
      </c>
      <c r="AT24" s="45">
        <f>'[2]Activity data'!AU545</f>
        <v>13504.508437617465</v>
      </c>
      <c r="AU24" s="45">
        <f>'[2]Activity data'!AV545</f>
        <v>13498.706220156588</v>
      </c>
      <c r="AV24" s="45">
        <f>'[2]Activity data'!AW545</f>
        <v>13492.904002695708</v>
      </c>
      <c r="AW24" s="45">
        <f>'[2]Activity data'!AX545</f>
        <v>13487.101785234829</v>
      </c>
      <c r="AX24" s="45">
        <f>'[2]Activity data'!AY545</f>
        <v>13481.299567773949</v>
      </c>
      <c r="AY24" s="45">
        <f>'[2]Activity data'!AZ545</f>
        <v>13475.49735031307</v>
      </c>
      <c r="AZ24" s="45">
        <f>'[2]Activity data'!BA545</f>
        <v>13469.695132852192</v>
      </c>
      <c r="BA24" s="45">
        <f>'[2]Activity data'!BB545</f>
        <v>13463.892915391312</v>
      </c>
      <c r="BB24" s="45">
        <f>'[2]Activity data'!BC545</f>
        <v>13458.090697930433</v>
      </c>
      <c r="BC24" s="45">
        <f>'[2]Activity data'!BD545</f>
        <v>13452.288480469553</v>
      </c>
      <c r="BD24" s="45">
        <f>'[2]Activity data'!BE545</f>
        <v>13446.486263008674</v>
      </c>
      <c r="BE24" s="45">
        <f>'[2]Activity data'!BF545</f>
        <v>13440.684045547796</v>
      </c>
      <c r="BF24" s="45">
        <f>'[2]Activity data'!BG545</f>
        <v>13434.881828086916</v>
      </c>
      <c r="BG24" s="45">
        <f>'[2]Activity data'!BH545</f>
        <v>13429.079610626037</v>
      </c>
      <c r="BH24" s="45">
        <f>'[2]Activity data'!BI545</f>
        <v>13423.277393165157</v>
      </c>
      <c r="BI24" s="45">
        <f>'[2]Activity data'!BJ545</f>
        <v>13417.475175704278</v>
      </c>
      <c r="BJ24" s="45">
        <f>'[2]Activity data'!BK545</f>
        <v>13411.6729582434</v>
      </c>
      <c r="BK24" s="45">
        <f>'[2]Activity data'!BL545</f>
        <v>13405.87074078252</v>
      </c>
      <c r="BL24" s="45">
        <f>'[2]Activity data'!BM545</f>
        <v>13400.068523321641</v>
      </c>
      <c r="BM24" s="45">
        <f>'[2]Activity data'!BN545</f>
        <v>13394.266305860761</v>
      </c>
      <c r="BN24" s="45">
        <f>'[2]Activity data'!BO545</f>
        <v>13388.464088399882</v>
      </c>
      <c r="BO24" s="45">
        <f>'[2]Activity data'!BP545</f>
        <v>13382.661870939004</v>
      </c>
      <c r="BP24" s="45">
        <f>'[2]Activity data'!BQ545</f>
        <v>13376.859653478125</v>
      </c>
      <c r="BR24" s="23"/>
    </row>
    <row r="25" spans="1:72" x14ac:dyDescent="0.25">
      <c r="A25" t="str">
        <f t="shared" ref="A25:C27" si="7">A24</f>
        <v>3C Aggregated and non-CO2 emissions on land</v>
      </c>
      <c r="B25" t="str">
        <f t="shared" si="7"/>
        <v>3C1 Biomass burning (CH4)</v>
      </c>
      <c r="C25" t="str">
        <f t="shared" si="7"/>
        <v>3C1a Biomass burning in forest land</v>
      </c>
      <c r="D25" t="s">
        <v>347</v>
      </c>
      <c r="E25" t="str">
        <f t="shared" si="6"/>
        <v>Thickets - Burnt area</v>
      </c>
      <c r="F25" t="s">
        <v>361</v>
      </c>
      <c r="G25" t="s">
        <v>642</v>
      </c>
      <c r="H25" s="21">
        <v>401037.31973509229</v>
      </c>
      <c r="I25" s="21">
        <v>401037.31973509229</v>
      </c>
      <c r="J25" s="21">
        <v>401037.31973509229</v>
      </c>
      <c r="K25" s="21">
        <v>401037.31973509229</v>
      </c>
      <c r="L25" s="21">
        <v>401037.31973509229</v>
      </c>
      <c r="M25" s="21">
        <v>401037.31973509229</v>
      </c>
      <c r="N25" s="21">
        <v>401037.31973509229</v>
      </c>
      <c r="O25" s="21">
        <v>401037.31973509229</v>
      </c>
      <c r="P25" s="21">
        <v>401037.31973509229</v>
      </c>
      <c r="Q25" s="21">
        <v>401037.31973509229</v>
      </c>
      <c r="R25" s="21">
        <v>411780.62691264047</v>
      </c>
      <c r="S25" s="21">
        <v>522674.81569119875</v>
      </c>
      <c r="T25" s="21">
        <v>482456.63611545443</v>
      </c>
      <c r="U25" s="21">
        <v>289949.30840436177</v>
      </c>
      <c r="V25" s="21">
        <v>298325.21155180596</v>
      </c>
      <c r="W25" s="21">
        <v>512360.68702203204</v>
      </c>
      <c r="X25" s="21">
        <v>409265.54855707183</v>
      </c>
      <c r="Y25" s="21">
        <v>477841.81344468636</v>
      </c>
      <c r="Z25" s="21">
        <v>525720.59865390568</v>
      </c>
      <c r="AA25" s="21">
        <v>382291.91004643211</v>
      </c>
      <c r="AB25" s="21">
        <v>467157.06</v>
      </c>
      <c r="AC25" s="21">
        <v>371977.65</v>
      </c>
      <c r="AD25" s="45">
        <f>'[2]Activity data'!AE546</f>
        <v>393930.44129440375</v>
      </c>
      <c r="AE25" s="45">
        <f>'[2]Activity data'!AF546</f>
        <v>393306.72804719064</v>
      </c>
      <c r="AF25" s="45">
        <f>'[2]Activity data'!AG546</f>
        <v>392683.01479997754</v>
      </c>
      <c r="AG25" s="45">
        <f>'[2]Activity data'!AH546</f>
        <v>392059.30155276449</v>
      </c>
      <c r="AH25" s="45">
        <f>'[2]Activity data'!AI546</f>
        <v>391435.58830555138</v>
      </c>
      <c r="AI25" s="45">
        <f>'[2]Activity data'!AJ546</f>
        <v>390811.87505833828</v>
      </c>
      <c r="AJ25" s="45">
        <f>'[2]Activity data'!AK546</f>
        <v>390188.16181112523</v>
      </c>
      <c r="AK25" s="45">
        <f>'[2]Activity data'!AL546</f>
        <v>389564.44856391213</v>
      </c>
      <c r="AL25" s="45">
        <f>'[2]Activity data'!AM546</f>
        <v>388940.73531669908</v>
      </c>
      <c r="AM25" s="45">
        <f>'[2]Activity data'!AN546</f>
        <v>388317.02206948597</v>
      </c>
      <c r="AN25" s="45">
        <f>'[2]Activity data'!AO546</f>
        <v>387693.30882227287</v>
      </c>
      <c r="AO25" s="45">
        <f>'[2]Activity data'!AP546</f>
        <v>387069.59557505982</v>
      </c>
      <c r="AP25" s="45">
        <f>'[2]Activity data'!AQ546</f>
        <v>386445.88232784672</v>
      </c>
      <c r="AQ25" s="45">
        <f>'[2]Activity data'!AR546</f>
        <v>385822.16908063361</v>
      </c>
      <c r="AR25" s="45">
        <f>'[2]Activity data'!AS546</f>
        <v>385198.45583342056</v>
      </c>
      <c r="AS25" s="45">
        <f>'[2]Activity data'!AT546</f>
        <v>384574.74258620746</v>
      </c>
      <c r="AT25" s="45">
        <f>'[2]Activity data'!AU546</f>
        <v>383951.02933899435</v>
      </c>
      <c r="AU25" s="45">
        <f>'[2]Activity data'!AV546</f>
        <v>383327.31609178131</v>
      </c>
      <c r="AV25" s="45">
        <f>'[2]Activity data'!AW546</f>
        <v>382703.6028445682</v>
      </c>
      <c r="AW25" s="45">
        <f>'[2]Activity data'!AX546</f>
        <v>382079.88959735516</v>
      </c>
      <c r="AX25" s="45">
        <f>'[2]Activity data'!AY546</f>
        <v>381456.17635014205</v>
      </c>
      <c r="AY25" s="45">
        <f>'[2]Activity data'!AZ546</f>
        <v>380832.46310292894</v>
      </c>
      <c r="AZ25" s="45">
        <f>'[2]Activity data'!BA546</f>
        <v>380208.7498557159</v>
      </c>
      <c r="BA25" s="45">
        <f>'[2]Activity data'!BB546</f>
        <v>379585.03660850279</v>
      </c>
      <c r="BB25" s="45">
        <f>'[2]Activity data'!BC546</f>
        <v>378961.32336128969</v>
      </c>
      <c r="BC25" s="45">
        <f>'[2]Activity data'!BD546</f>
        <v>378337.61011407664</v>
      </c>
      <c r="BD25" s="45">
        <f>'[2]Activity data'!BE546</f>
        <v>377713.89686686354</v>
      </c>
      <c r="BE25" s="45">
        <f>'[2]Activity data'!BF546</f>
        <v>377090.18361965049</v>
      </c>
      <c r="BF25" s="45">
        <f>'[2]Activity data'!BG546</f>
        <v>376466.47037243738</v>
      </c>
      <c r="BG25" s="45">
        <f>'[2]Activity data'!BH546</f>
        <v>375842.75712522428</v>
      </c>
      <c r="BH25" s="45">
        <f>'[2]Activity data'!BI546</f>
        <v>375219.04387801123</v>
      </c>
      <c r="BI25" s="45">
        <f>'[2]Activity data'!BJ546</f>
        <v>374595.33063079813</v>
      </c>
      <c r="BJ25" s="45">
        <f>'[2]Activity data'!BK546</f>
        <v>373971.61738358502</v>
      </c>
      <c r="BK25" s="45">
        <f>'[2]Activity data'!BL546</f>
        <v>373347.90413637197</v>
      </c>
      <c r="BL25" s="45">
        <f>'[2]Activity data'!BM546</f>
        <v>372724.19088915887</v>
      </c>
      <c r="BM25" s="45">
        <f>'[2]Activity data'!BN546</f>
        <v>372100.47764194576</v>
      </c>
      <c r="BN25" s="45">
        <f>'[2]Activity data'!BO546</f>
        <v>371476.76439473272</v>
      </c>
      <c r="BO25" s="45">
        <f>'[2]Activity data'!BP546</f>
        <v>370853.05114751961</v>
      </c>
      <c r="BP25" s="45">
        <f>'[2]Activity data'!BQ546</f>
        <v>370229.33790030656</v>
      </c>
      <c r="BR25" s="23"/>
    </row>
    <row r="26" spans="1:72" x14ac:dyDescent="0.25">
      <c r="A26" t="str">
        <f t="shared" si="7"/>
        <v>3C Aggregated and non-CO2 emissions on land</v>
      </c>
      <c r="B26" t="str">
        <f t="shared" si="7"/>
        <v>3C1 Biomass burning (CH4)</v>
      </c>
      <c r="C26" t="str">
        <f t="shared" si="7"/>
        <v>3C1a Biomass burning in forest land</v>
      </c>
      <c r="D26" t="s">
        <v>348</v>
      </c>
      <c r="E26" t="str">
        <f t="shared" si="6"/>
        <v>Woodlands - Burnt area</v>
      </c>
      <c r="F26" t="s">
        <v>361</v>
      </c>
      <c r="G26" t="s">
        <v>643</v>
      </c>
      <c r="H26" s="21">
        <v>698264.20349125541</v>
      </c>
      <c r="I26" s="21">
        <v>698264.20349125541</v>
      </c>
      <c r="J26" s="21">
        <v>698264.20349125541</v>
      </c>
      <c r="K26" s="21">
        <v>698264.20349125541</v>
      </c>
      <c r="L26" s="21">
        <v>698264.20349125541</v>
      </c>
      <c r="M26" s="21">
        <v>698264.20349125541</v>
      </c>
      <c r="N26" s="21">
        <v>698264.20349125541</v>
      </c>
      <c r="O26" s="21">
        <v>698264.20349125541</v>
      </c>
      <c r="P26" s="21">
        <v>698264.20349125541</v>
      </c>
      <c r="Q26" s="21">
        <v>698264.20349125541</v>
      </c>
      <c r="R26" s="21">
        <v>731241.72629656445</v>
      </c>
      <c r="S26" s="21">
        <v>1051602.7161012881</v>
      </c>
      <c r="T26" s="21">
        <v>813247.12515611423</v>
      </c>
      <c r="U26" s="21">
        <v>311846.64197715657</v>
      </c>
      <c r="V26" s="21">
        <v>583382.80792515341</v>
      </c>
      <c r="W26" s="21">
        <v>984987.75084875035</v>
      </c>
      <c r="X26" s="21">
        <v>854549.78805948899</v>
      </c>
      <c r="Y26" s="21">
        <v>491709.35557034455</v>
      </c>
      <c r="Z26" s="21">
        <v>887938.03008249647</v>
      </c>
      <c r="AA26" s="21">
        <v>585090.29231333768</v>
      </c>
      <c r="AB26" s="21">
        <v>824275.8</v>
      </c>
      <c r="AC26" s="21">
        <v>754253.19</v>
      </c>
      <c r="AD26" s="45">
        <f>'[2]Activity data'!AE547</f>
        <v>664355.50457407185</v>
      </c>
      <c r="AE26" s="45">
        <f>'[2]Activity data'!AF547</f>
        <v>665519.12191991892</v>
      </c>
      <c r="AF26" s="45">
        <f>'[2]Activity data'!AG547</f>
        <v>666682.73926576588</v>
      </c>
      <c r="AG26" s="45">
        <f>'[2]Activity data'!AH547</f>
        <v>667846.35661161283</v>
      </c>
      <c r="AH26" s="45">
        <f>'[2]Activity data'!AI547</f>
        <v>669009.97395745991</v>
      </c>
      <c r="AI26" s="45">
        <f>'[2]Activity data'!AJ547</f>
        <v>670173.59130330686</v>
      </c>
      <c r="AJ26" s="45">
        <f>'[2]Activity data'!AK547</f>
        <v>671337.20864915382</v>
      </c>
      <c r="AK26" s="45">
        <f>'[2]Activity data'!AL547</f>
        <v>666658.3555590522</v>
      </c>
      <c r="AL26" s="45">
        <f>'[2]Activity data'!AM547</f>
        <v>661979.50246895046</v>
      </c>
      <c r="AM26" s="45">
        <f>'[2]Activity data'!AN547</f>
        <v>657300.64937884873</v>
      </c>
      <c r="AN26" s="45">
        <f>'[2]Activity data'!AO547</f>
        <v>652621.79628874699</v>
      </c>
      <c r="AO26" s="45">
        <f>'[2]Activity data'!AP547</f>
        <v>647942.94319864525</v>
      </c>
      <c r="AP26" s="45">
        <f>'[2]Activity data'!AQ547</f>
        <v>643264.09010854363</v>
      </c>
      <c r="AQ26" s="45">
        <f>'[2]Activity data'!AR547</f>
        <v>638585.2370184419</v>
      </c>
      <c r="AR26" s="45">
        <f>'[2]Activity data'!AS547</f>
        <v>633906.38392834016</v>
      </c>
      <c r="AS26" s="45">
        <f>'[2]Activity data'!AT547</f>
        <v>629227.53083823842</v>
      </c>
      <c r="AT26" s="45">
        <f>'[2]Activity data'!AU547</f>
        <v>624548.67774813669</v>
      </c>
      <c r="AU26" s="45">
        <f>'[2]Activity data'!AV547</f>
        <v>619869.82465803507</v>
      </c>
      <c r="AV26" s="45">
        <f>'[2]Activity data'!AW547</f>
        <v>615190.97156793333</v>
      </c>
      <c r="AW26" s="45">
        <f>'[2]Activity data'!AX547</f>
        <v>610512.11847783159</v>
      </c>
      <c r="AX26" s="45">
        <f>'[2]Activity data'!AY547</f>
        <v>605833.26538772986</v>
      </c>
      <c r="AY26" s="45">
        <f>'[2]Activity data'!AZ547</f>
        <v>601154.41229762812</v>
      </c>
      <c r="AZ26" s="45">
        <f>'[2]Activity data'!BA547</f>
        <v>596475.55920752638</v>
      </c>
      <c r="BA26" s="45">
        <f>'[2]Activity data'!BB547</f>
        <v>591796.70611742476</v>
      </c>
      <c r="BB26" s="45">
        <f>'[2]Activity data'!BC547</f>
        <v>587117.85302732303</v>
      </c>
      <c r="BC26" s="45">
        <f>'[2]Activity data'!BD547</f>
        <v>582438.99993722129</v>
      </c>
      <c r="BD26" s="45">
        <f>'[2]Activity data'!BE547</f>
        <v>577760.14684711955</v>
      </c>
      <c r="BE26" s="45">
        <f>'[2]Activity data'!BF547</f>
        <v>573081.29375701782</v>
      </c>
      <c r="BF26" s="45">
        <f>'[2]Activity data'!BG547</f>
        <v>568402.44066691608</v>
      </c>
      <c r="BG26" s="45">
        <f>'[2]Activity data'!BH547</f>
        <v>563723.58757681435</v>
      </c>
      <c r="BH26" s="45">
        <f>'[2]Activity data'!BI547</f>
        <v>559044.73448671272</v>
      </c>
      <c r="BI26" s="45">
        <f>'[2]Activity data'!BJ547</f>
        <v>554365.88139661099</v>
      </c>
      <c r="BJ26" s="45">
        <f>'[2]Activity data'!BK547</f>
        <v>549687.02830650925</v>
      </c>
      <c r="BK26" s="45">
        <f>'[2]Activity data'!BL547</f>
        <v>545008.17521640752</v>
      </c>
      <c r="BL26" s="45">
        <f>'[2]Activity data'!BM547</f>
        <v>540329.32212630589</v>
      </c>
      <c r="BM26" s="45">
        <f>'[2]Activity data'!BN547</f>
        <v>535650.46903620427</v>
      </c>
      <c r="BN26" s="45">
        <f>'[2]Activity data'!BO547</f>
        <v>530971.61594610265</v>
      </c>
      <c r="BO26" s="45">
        <f>'[2]Activity data'!BP547</f>
        <v>526292.76285600092</v>
      </c>
      <c r="BP26" s="45">
        <f>'[2]Activity data'!BQ547</f>
        <v>521613.90976589912</v>
      </c>
      <c r="BR26" s="23"/>
    </row>
    <row r="27" spans="1:72" x14ac:dyDescent="0.25">
      <c r="A27" t="str">
        <f t="shared" si="7"/>
        <v>3C Aggregated and non-CO2 emissions on land</v>
      </c>
      <c r="B27" t="str">
        <f t="shared" si="7"/>
        <v>3C1 Biomass burning (CH4)</v>
      </c>
      <c r="C27" t="str">
        <f t="shared" si="7"/>
        <v>3C1a Biomass burning in forest land</v>
      </c>
      <c r="D27" t="s">
        <v>349</v>
      </c>
      <c r="E27" t="str">
        <f t="shared" si="6"/>
        <v>Plantations - Burnt area</v>
      </c>
      <c r="F27" t="s">
        <v>361</v>
      </c>
      <c r="G27" t="s">
        <v>644</v>
      </c>
      <c r="H27" s="21">
        <v>47772.644287791714</v>
      </c>
      <c r="I27" s="21">
        <v>47772.644287791714</v>
      </c>
      <c r="J27" s="21">
        <v>47772.644287791714</v>
      </c>
      <c r="K27" s="21">
        <v>47772.644287791714</v>
      </c>
      <c r="L27" s="21">
        <v>47772.644287791714</v>
      </c>
      <c r="M27" s="21">
        <v>47772.644287791714</v>
      </c>
      <c r="N27" s="21">
        <v>47772.644287791714</v>
      </c>
      <c r="O27" s="21">
        <v>47772.644287791714</v>
      </c>
      <c r="P27" s="21">
        <v>47772.644287791714</v>
      </c>
      <c r="Q27" s="21">
        <v>47772.644287791714</v>
      </c>
      <c r="R27" s="21">
        <v>43563.926012051175</v>
      </c>
      <c r="S27" s="21">
        <v>53624.239434325704</v>
      </c>
      <c r="T27" s="21">
        <v>47878.785209219379</v>
      </c>
      <c r="U27" s="21">
        <v>55585.539069402163</v>
      </c>
      <c r="V27" s="21">
        <v>38210.731713960144</v>
      </c>
      <c r="W27" s="21">
        <v>56000.873109771281</v>
      </c>
      <c r="X27" s="21">
        <v>43771.593032235731</v>
      </c>
      <c r="Y27" s="21">
        <v>81497.768365765223</v>
      </c>
      <c r="Z27" s="21">
        <v>52655.126673464394</v>
      </c>
      <c r="AA27" s="21">
        <v>44856.076359866252</v>
      </c>
      <c r="AB27" s="21">
        <v>37862.19</v>
      </c>
      <c r="AC27" s="21">
        <v>43074.99</v>
      </c>
      <c r="AD27" s="45">
        <f>'[2]Activity data'!AE548</f>
        <v>13285.999123176394</v>
      </c>
      <c r="AE27" s="45">
        <f>'[2]Activity data'!AF548</f>
        <v>24983.999123176392</v>
      </c>
      <c r="AF27" s="45">
        <f>'[2]Activity data'!AG548</f>
        <v>20172.999123176392</v>
      </c>
      <c r="AG27" s="45">
        <f>'[2]Activity data'!AH548</f>
        <v>15648.999123176394</v>
      </c>
      <c r="AH27" s="45">
        <f>'[2]Activity data'!AI548</f>
        <v>17908.999123176392</v>
      </c>
      <c r="AI27" s="45">
        <f>'[2]Activity data'!AJ548</f>
        <v>19831.999123176392</v>
      </c>
      <c r="AJ27" s="45">
        <f>'[2]Activity data'!AK548</f>
        <v>19831.999123176392</v>
      </c>
      <c r="AK27" s="45">
        <f>'[2]Activity data'!AL548</f>
        <v>19918.097396718102</v>
      </c>
      <c r="AL27" s="45">
        <f>'[2]Activity data'!AM548</f>
        <v>20004.195670259811</v>
      </c>
      <c r="AM27" s="45">
        <f>'[2]Activity data'!AN548</f>
        <v>20090.29394380152</v>
      </c>
      <c r="AN27" s="45">
        <f>'[2]Activity data'!AO548</f>
        <v>20176.392217343229</v>
      </c>
      <c r="AO27" s="45">
        <f>'[2]Activity data'!AP548</f>
        <v>20262.490490884938</v>
      </c>
      <c r="AP27" s="45">
        <f>'[2]Activity data'!AQ548</f>
        <v>20348.588764426648</v>
      </c>
      <c r="AQ27" s="45">
        <f>'[2]Activity data'!AR548</f>
        <v>20434.687037968357</v>
      </c>
      <c r="AR27" s="45">
        <f>'[2]Activity data'!AS548</f>
        <v>20520.785311510066</v>
      </c>
      <c r="AS27" s="45">
        <f>'[2]Activity data'!AT548</f>
        <v>20606.883585051775</v>
      </c>
      <c r="AT27" s="45">
        <f>'[2]Activity data'!AU548</f>
        <v>20692.981858593485</v>
      </c>
      <c r="AU27" s="45">
        <f>'[2]Activity data'!AV548</f>
        <v>20779.080132135194</v>
      </c>
      <c r="AV27" s="45">
        <f>'[2]Activity data'!AW548</f>
        <v>20865.178405676903</v>
      </c>
      <c r="AW27" s="45">
        <f>'[2]Activity data'!AX548</f>
        <v>20865.178405676903</v>
      </c>
      <c r="AX27" s="45">
        <f>'[2]Activity data'!AY548</f>
        <v>20865.178405676903</v>
      </c>
      <c r="AY27" s="45">
        <f>'[2]Activity data'!AZ548</f>
        <v>20865.178405676903</v>
      </c>
      <c r="AZ27" s="45">
        <f>'[2]Activity data'!BA548</f>
        <v>20865.178405676903</v>
      </c>
      <c r="BA27" s="45">
        <f>'[2]Activity data'!BB548</f>
        <v>20865.178405676903</v>
      </c>
      <c r="BB27" s="45">
        <f>'[2]Activity data'!BC548</f>
        <v>20865.178405676903</v>
      </c>
      <c r="BC27" s="45">
        <f>'[2]Activity data'!BD548</f>
        <v>20865.178405676903</v>
      </c>
      <c r="BD27" s="45">
        <f>'[2]Activity data'!BE548</f>
        <v>20865.178405676903</v>
      </c>
      <c r="BE27" s="45">
        <f>'[2]Activity data'!BF548</f>
        <v>20779.080132135194</v>
      </c>
      <c r="BF27" s="45">
        <f>'[2]Activity data'!BG548</f>
        <v>20692.981858593485</v>
      </c>
      <c r="BG27" s="45">
        <f>'[2]Activity data'!BH548</f>
        <v>20606.883585051775</v>
      </c>
      <c r="BH27" s="45">
        <f>'[2]Activity data'!BI548</f>
        <v>20520.785311510066</v>
      </c>
      <c r="BI27" s="45">
        <f>'[2]Activity data'!BJ548</f>
        <v>20434.687037968357</v>
      </c>
      <c r="BJ27" s="45">
        <f>'[2]Activity data'!BK548</f>
        <v>20348.588764426648</v>
      </c>
      <c r="BK27" s="45">
        <f>'[2]Activity data'!BL548</f>
        <v>20262.490490884938</v>
      </c>
      <c r="BL27" s="45">
        <f>'[2]Activity data'!BM548</f>
        <v>20176.392217343229</v>
      </c>
      <c r="BM27" s="45">
        <f>'[2]Activity data'!BN548</f>
        <v>20090.29394380152</v>
      </c>
      <c r="BN27" s="45">
        <f>'[2]Activity data'!BO548</f>
        <v>20004.195670259811</v>
      </c>
      <c r="BO27" s="45">
        <f>'[2]Activity data'!BP548</f>
        <v>19918.097396718102</v>
      </c>
      <c r="BP27" s="45">
        <f>'[2]Activity data'!BQ548</f>
        <v>19831.999123176392</v>
      </c>
      <c r="BR27" s="23"/>
    </row>
    <row r="28" spans="1:72" x14ac:dyDescent="0.25">
      <c r="A28" t="str">
        <f t="shared" ref="A28:B34" si="8">A27</f>
        <v>3C Aggregated and non-CO2 emissions on land</v>
      </c>
      <c r="B28" t="str">
        <f t="shared" si="8"/>
        <v>3C1 Biomass burning (CH4)</v>
      </c>
      <c r="C28" t="str">
        <f>'IPCC Categories'!C60</f>
        <v>3C1b Biomass burning in Croplands</v>
      </c>
      <c r="D28" t="s">
        <v>350</v>
      </c>
      <c r="E28" t="str">
        <f t="shared" si="6"/>
        <v>Annual non-pivot - Burnt area</v>
      </c>
      <c r="F28" t="s">
        <v>361</v>
      </c>
      <c r="G28" t="s">
        <v>645</v>
      </c>
      <c r="H28" s="21">
        <v>30047.110409371311</v>
      </c>
      <c r="I28" s="21">
        <v>30047.110409371311</v>
      </c>
      <c r="J28" s="21">
        <v>30047.110409371311</v>
      </c>
      <c r="K28" s="21">
        <v>30047.110409371311</v>
      </c>
      <c r="L28" s="21">
        <v>30047.110409371311</v>
      </c>
      <c r="M28" s="21">
        <v>30047.110409371311</v>
      </c>
      <c r="N28" s="21">
        <v>30047.110409371311</v>
      </c>
      <c r="O28" s="21">
        <v>30047.110409371311</v>
      </c>
      <c r="P28" s="21">
        <v>30047.110409371311</v>
      </c>
      <c r="Q28" s="21">
        <v>30047.110409371311</v>
      </c>
      <c r="R28" s="21">
        <v>30550.126080485039</v>
      </c>
      <c r="S28" s="21">
        <v>23835.559094517404</v>
      </c>
      <c r="T28" s="21">
        <v>30988.534234208011</v>
      </c>
      <c r="U28" s="21">
        <v>28704.197012177781</v>
      </c>
      <c r="V28" s="21">
        <v>36157.13562546832</v>
      </c>
      <c r="W28" s="21">
        <v>39710.549081959784</v>
      </c>
      <c r="X28" s="21">
        <v>29765.606226454456</v>
      </c>
      <c r="Y28" s="21">
        <v>29857.902679869818</v>
      </c>
      <c r="Z28" s="21">
        <v>21089.739605410366</v>
      </c>
      <c r="AA28" s="21">
        <v>21897.333572794789</v>
      </c>
      <c r="AB28" s="21">
        <v>30941.1</v>
      </c>
      <c r="AC28" s="21">
        <v>30919.05</v>
      </c>
      <c r="AD28" s="45">
        <f>'[2]Activity data'!AE549</f>
        <v>329614.7597349711</v>
      </c>
      <c r="AE28" s="45">
        <f>'[2]Activity data'!AF549</f>
        <v>328711.1609496483</v>
      </c>
      <c r="AF28" s="45">
        <f>'[2]Activity data'!AG549</f>
        <v>327807.5621643255</v>
      </c>
      <c r="AG28" s="45">
        <f>'[2]Activity data'!AH549</f>
        <v>326903.96337900264</v>
      </c>
      <c r="AH28" s="45">
        <f>'[2]Activity data'!AI549</f>
        <v>326000.36459367984</v>
      </c>
      <c r="AI28" s="45">
        <f>'[2]Activity data'!AJ549</f>
        <v>325096.76580835704</v>
      </c>
      <c r="AJ28" s="45">
        <f>'[2]Activity data'!AK549</f>
        <v>324193.16702303418</v>
      </c>
      <c r="AK28" s="45">
        <f>'[2]Activity data'!AL549</f>
        <v>323289.56823771138</v>
      </c>
      <c r="AL28" s="45">
        <f>'[2]Activity data'!AM549</f>
        <v>322385.96945238858</v>
      </c>
      <c r="AM28" s="45">
        <f>'[2]Activity data'!AN549</f>
        <v>321482.37066706573</v>
      </c>
      <c r="AN28" s="45">
        <f>'[2]Activity data'!AO549</f>
        <v>320578.77188174293</v>
      </c>
      <c r="AO28" s="45">
        <f>'[2]Activity data'!AP549</f>
        <v>319675.17309642013</v>
      </c>
      <c r="AP28" s="45">
        <f>'[2]Activity data'!AQ549</f>
        <v>318771.57431109727</v>
      </c>
      <c r="AQ28" s="45">
        <f>'[2]Activity data'!AR549</f>
        <v>317867.97552577447</v>
      </c>
      <c r="AR28" s="45">
        <f>'[2]Activity data'!AS549</f>
        <v>316964.37674045167</v>
      </c>
      <c r="AS28" s="45">
        <f>'[2]Activity data'!AT549</f>
        <v>316060.77795512887</v>
      </c>
      <c r="AT28" s="45">
        <f>'[2]Activity data'!AU549</f>
        <v>315157.17916980601</v>
      </c>
      <c r="AU28" s="45">
        <f>'[2]Activity data'!AV549</f>
        <v>314253.58038448321</v>
      </c>
      <c r="AV28" s="45">
        <f>'[2]Activity data'!AW549</f>
        <v>313349.98159916041</v>
      </c>
      <c r="AW28" s="45">
        <f>'[2]Activity data'!AX549</f>
        <v>312446.38281383755</v>
      </c>
      <c r="AX28" s="45">
        <f>'[2]Activity data'!AY549</f>
        <v>311542.78402851475</v>
      </c>
      <c r="AY28" s="45">
        <f>'[2]Activity data'!AZ549</f>
        <v>310639.18524319195</v>
      </c>
      <c r="AZ28" s="45">
        <f>'[2]Activity data'!BA549</f>
        <v>309735.5864578691</v>
      </c>
      <c r="BA28" s="45">
        <f>'[2]Activity data'!BB549</f>
        <v>308831.9876725463</v>
      </c>
      <c r="BB28" s="45">
        <f>'[2]Activity data'!BC549</f>
        <v>307928.3888872235</v>
      </c>
      <c r="BC28" s="45">
        <f>'[2]Activity data'!BD549</f>
        <v>307024.79010190064</v>
      </c>
      <c r="BD28" s="45">
        <f>'[2]Activity data'!BE549</f>
        <v>306121.19131657784</v>
      </c>
      <c r="BE28" s="45">
        <f>'[2]Activity data'!BF549</f>
        <v>305217.59253125504</v>
      </c>
      <c r="BF28" s="45">
        <f>'[2]Activity data'!BG549</f>
        <v>304313.99374593218</v>
      </c>
      <c r="BG28" s="45">
        <f>'[2]Activity data'!BH549</f>
        <v>303410.39496060938</v>
      </c>
      <c r="BH28" s="45">
        <f>'[2]Activity data'!BI549</f>
        <v>302506.79617528658</v>
      </c>
      <c r="BI28" s="45">
        <f>'[2]Activity data'!BJ549</f>
        <v>301603.19738996372</v>
      </c>
      <c r="BJ28" s="45">
        <f>'[2]Activity data'!BK549</f>
        <v>300699.59860464092</v>
      </c>
      <c r="BK28" s="45">
        <f>'[2]Activity data'!BL549</f>
        <v>299795.99981931812</v>
      </c>
      <c r="BL28" s="45">
        <f>'[2]Activity data'!BM549</f>
        <v>298892.40103399527</v>
      </c>
      <c r="BM28" s="45">
        <f>'[2]Activity data'!BN549</f>
        <v>297988.80224867247</v>
      </c>
      <c r="BN28" s="45">
        <f>'[2]Activity data'!BO549</f>
        <v>297085.20346334967</v>
      </c>
      <c r="BO28" s="45">
        <f>'[2]Activity data'!BP549</f>
        <v>296181.60467802687</v>
      </c>
      <c r="BP28" s="45">
        <f>'[2]Activity data'!BQ549</f>
        <v>295278.00589270401</v>
      </c>
      <c r="BR28" s="23"/>
    </row>
    <row r="29" spans="1:72" x14ac:dyDescent="0.25">
      <c r="A29" t="str">
        <f t="shared" si="8"/>
        <v>3C Aggregated and non-CO2 emissions on land</v>
      </c>
      <c r="B29" t="str">
        <f t="shared" si="8"/>
        <v>3C1 Biomass burning (CH4)</v>
      </c>
      <c r="C29" t="str">
        <f>C28</f>
        <v>3C1b Biomass burning in Croplands</v>
      </c>
      <c r="D29" t="s">
        <v>351</v>
      </c>
      <c r="E29" t="str">
        <f t="shared" si="6"/>
        <v>Annual pivot - Burnt area</v>
      </c>
      <c r="F29" t="s">
        <v>361</v>
      </c>
      <c r="G29" t="s">
        <v>646</v>
      </c>
      <c r="H29" s="21">
        <v>380372.14381539257</v>
      </c>
      <c r="I29" s="21">
        <v>380372.14381539257</v>
      </c>
      <c r="J29" s="21">
        <v>380372.14381539257</v>
      </c>
      <c r="K29" s="21">
        <v>380372.14381539257</v>
      </c>
      <c r="L29" s="21">
        <v>380372.14381539257</v>
      </c>
      <c r="M29" s="21">
        <v>380372.14381539257</v>
      </c>
      <c r="N29" s="21">
        <v>380372.14381539257</v>
      </c>
      <c r="O29" s="21">
        <v>380372.14381539257</v>
      </c>
      <c r="P29" s="21">
        <v>380372.14381539257</v>
      </c>
      <c r="Q29" s="21">
        <v>380372.14381539257</v>
      </c>
      <c r="R29" s="21">
        <v>411480.66343904054</v>
      </c>
      <c r="S29" s="21">
        <v>381184.35260544776</v>
      </c>
      <c r="T29" s="21">
        <v>466789.31314819655</v>
      </c>
      <c r="U29" s="21">
        <v>348488.33398305555</v>
      </c>
      <c r="V29" s="21">
        <v>293918.05590122234</v>
      </c>
      <c r="W29" s="21">
        <v>497547.10624886618</v>
      </c>
      <c r="X29" s="21">
        <v>507145.93740406388</v>
      </c>
      <c r="Y29" s="21">
        <v>286718.93253482407</v>
      </c>
      <c r="Z29" s="21">
        <v>331713.45357481338</v>
      </c>
      <c r="AA29" s="21">
        <v>328160.04011832189</v>
      </c>
      <c r="AB29" s="21">
        <v>370038.33</v>
      </c>
      <c r="AC29" s="21">
        <v>386575.74</v>
      </c>
      <c r="AD29" s="45">
        <f>'[2]Activity data'!AE550</f>
        <v>27272.800964105933</v>
      </c>
      <c r="AE29" s="45">
        <f>'[2]Activity data'!AF550</f>
        <v>28102.087515757019</v>
      </c>
      <c r="AF29" s="45">
        <f>'[2]Activity data'!AG550</f>
        <v>28931.374067408098</v>
      </c>
      <c r="AG29" s="45">
        <f>'[2]Activity data'!AH550</f>
        <v>29760.660619059196</v>
      </c>
      <c r="AH29" s="45">
        <f>'[2]Activity data'!AI550</f>
        <v>30589.947170710278</v>
      </c>
      <c r="AI29" s="45">
        <f>'[2]Activity data'!AJ550</f>
        <v>31419.233722361369</v>
      </c>
      <c r="AJ29" s="45">
        <f>'[2]Activity data'!AK550</f>
        <v>32248.520274012448</v>
      </c>
      <c r="AK29" s="45">
        <f>'[2]Activity data'!AL550</f>
        <v>33077.806825663531</v>
      </c>
      <c r="AL29" s="45">
        <f>'[2]Activity data'!AM550</f>
        <v>33907.093377314624</v>
      </c>
      <c r="AM29" s="45">
        <f>'[2]Activity data'!AN550</f>
        <v>34736.379928965718</v>
      </c>
      <c r="AN29" s="45">
        <f>'[2]Activity data'!AO550</f>
        <v>35565.666480616797</v>
      </c>
      <c r="AO29" s="45">
        <f>'[2]Activity data'!AP550</f>
        <v>36394.953032267884</v>
      </c>
      <c r="AP29" s="45">
        <f>'[2]Activity data'!AQ550</f>
        <v>37224.23958391897</v>
      </c>
      <c r="AQ29" s="45">
        <f>'[2]Activity data'!AR550</f>
        <v>38053.526135570057</v>
      </c>
      <c r="AR29" s="45">
        <f>'[2]Activity data'!AS550</f>
        <v>38882.812687221151</v>
      </c>
      <c r="AS29" s="45">
        <f>'[2]Activity data'!AT550</f>
        <v>39712.09923887223</v>
      </c>
      <c r="AT29" s="45">
        <f>'[2]Activity data'!AU550</f>
        <v>40541.385790523324</v>
      </c>
      <c r="AU29" s="45">
        <f>'[2]Activity data'!AV550</f>
        <v>41370.67234217441</v>
      </c>
      <c r="AV29" s="45">
        <f>'[2]Activity data'!AW550</f>
        <v>42199.958893825504</v>
      </c>
      <c r="AW29" s="45">
        <f>'[2]Activity data'!AX550</f>
        <v>43029.245445476583</v>
      </c>
      <c r="AX29" s="45">
        <f>'[2]Activity data'!AY550</f>
        <v>43858.531997127677</v>
      </c>
      <c r="AY29" s="45">
        <f>'[2]Activity data'!AZ550</f>
        <v>44687.818548778749</v>
      </c>
      <c r="AZ29" s="45">
        <f>'[2]Activity data'!BA550</f>
        <v>45517.105100429842</v>
      </c>
      <c r="BA29" s="45">
        <f>'[2]Activity data'!BB550</f>
        <v>46346.391652080929</v>
      </c>
      <c r="BB29" s="45">
        <f>'[2]Activity data'!BC550</f>
        <v>47175.678203732023</v>
      </c>
      <c r="BC29" s="45">
        <f>'[2]Activity data'!BD550</f>
        <v>48004.964755383102</v>
      </c>
      <c r="BD29" s="45">
        <f>'[2]Activity data'!BE550</f>
        <v>48834.251307034181</v>
      </c>
      <c r="BE29" s="45">
        <f>'[2]Activity data'!BF550</f>
        <v>49663.537858685289</v>
      </c>
      <c r="BF29" s="45">
        <f>'[2]Activity data'!BG550</f>
        <v>50492.824410336369</v>
      </c>
      <c r="BG29" s="45">
        <f>'[2]Activity data'!BH550</f>
        <v>51322.110961987448</v>
      </c>
      <c r="BH29" s="45">
        <f>'[2]Activity data'!BI550</f>
        <v>52151.397513638527</v>
      </c>
      <c r="BI29" s="45">
        <f>'[2]Activity data'!BJ550</f>
        <v>52980.684065289621</v>
      </c>
      <c r="BJ29" s="45">
        <f>'[2]Activity data'!BK550</f>
        <v>53809.970616940707</v>
      </c>
      <c r="BK29" s="45">
        <f>'[2]Activity data'!BL550</f>
        <v>54639.257168591786</v>
      </c>
      <c r="BL29" s="45">
        <f>'[2]Activity data'!BM550</f>
        <v>55468.54372024288</v>
      </c>
      <c r="BM29" s="45">
        <f>'[2]Activity data'!BN550</f>
        <v>56297.830271893945</v>
      </c>
      <c r="BN29" s="45">
        <f>'[2]Activity data'!BO550</f>
        <v>57127.116823545024</v>
      </c>
      <c r="BO29" s="45">
        <f>'[2]Activity data'!BP550</f>
        <v>57956.403375196111</v>
      </c>
      <c r="BP29" s="45">
        <f>'[2]Activity data'!BQ550</f>
        <v>58785.68992684719</v>
      </c>
      <c r="BR29" s="23"/>
    </row>
    <row r="30" spans="1:72" x14ac:dyDescent="0.25">
      <c r="A30" t="str">
        <f t="shared" si="8"/>
        <v>3C Aggregated and non-CO2 emissions on land</v>
      </c>
      <c r="B30" t="str">
        <f t="shared" si="8"/>
        <v>3C1 Biomass burning (CH4)</v>
      </c>
      <c r="C30" t="str">
        <f>C29</f>
        <v>3C1b Biomass burning in Croplands</v>
      </c>
      <c r="D30" t="s">
        <v>352</v>
      </c>
      <c r="E30" t="str">
        <f t="shared" si="6"/>
        <v>Perennial orchards - Burnt area</v>
      </c>
      <c r="F30" t="s">
        <v>361</v>
      </c>
      <c r="G30" t="s">
        <v>647</v>
      </c>
      <c r="H30" s="21">
        <v>2718.1305530824302</v>
      </c>
      <c r="I30" s="21">
        <v>2718.1305530824302</v>
      </c>
      <c r="J30" s="21">
        <v>2718.1305530824302</v>
      </c>
      <c r="K30" s="21">
        <v>2718.1305530824302</v>
      </c>
      <c r="L30" s="21">
        <v>2718.1305530824302</v>
      </c>
      <c r="M30" s="21">
        <v>2718.1305530824302</v>
      </c>
      <c r="N30" s="21">
        <v>2718.1305530824302</v>
      </c>
      <c r="O30" s="21">
        <v>2718.1305530824302</v>
      </c>
      <c r="P30" s="21">
        <v>2718.1305530824302</v>
      </c>
      <c r="Q30" s="21">
        <v>2718.1305530824302</v>
      </c>
      <c r="R30" s="21">
        <v>2076.6702018456599</v>
      </c>
      <c r="S30" s="21">
        <v>3991.8216102144347</v>
      </c>
      <c r="T30" s="21">
        <v>2907.3382825839235</v>
      </c>
      <c r="U30" s="21">
        <v>2976.5606226454456</v>
      </c>
      <c r="V30" s="21">
        <v>1638.262048122687</v>
      </c>
      <c r="W30" s="21">
        <v>3691.8581366145063</v>
      </c>
      <c r="X30" s="21">
        <v>2561.2265822763138</v>
      </c>
      <c r="Y30" s="21">
        <v>4453.3038772912478</v>
      </c>
      <c r="Z30" s="21">
        <v>5676.2318850448037</v>
      </c>
      <c r="AA30" s="21">
        <v>2422.7819021532696</v>
      </c>
      <c r="AB30" s="21">
        <v>4072.41</v>
      </c>
      <c r="AC30" s="21">
        <v>3114.81</v>
      </c>
      <c r="AD30" s="45">
        <f>'[2]Activity data'!AE551</f>
        <v>3227.9349368076064</v>
      </c>
      <c r="AE30" s="45">
        <f>'[2]Activity data'!AF551</f>
        <v>3255.5028892035903</v>
      </c>
      <c r="AF30" s="45">
        <f>'[2]Activity data'!AG551</f>
        <v>3283.0708415995737</v>
      </c>
      <c r="AG30" s="45">
        <f>'[2]Activity data'!AH551</f>
        <v>3310.6387939955575</v>
      </c>
      <c r="AH30" s="45">
        <f>'[2]Activity data'!AI551</f>
        <v>3338.2067463915409</v>
      </c>
      <c r="AI30" s="45">
        <f>'[2]Activity data'!AJ551</f>
        <v>3365.7746987875248</v>
      </c>
      <c r="AJ30" s="45">
        <f>'[2]Activity data'!AK551</f>
        <v>3393.3426511835082</v>
      </c>
      <c r="AK30" s="45">
        <f>'[2]Activity data'!AL551</f>
        <v>3420.9106035794921</v>
      </c>
      <c r="AL30" s="45">
        <f>'[2]Activity data'!AM551</f>
        <v>3448.4785559754755</v>
      </c>
      <c r="AM30" s="45">
        <f>'[2]Activity data'!AN551</f>
        <v>3476.0465083714594</v>
      </c>
      <c r="AN30" s="45">
        <f>'[2]Activity data'!AO551</f>
        <v>3503.6144607674428</v>
      </c>
      <c r="AO30" s="45">
        <f>'[2]Activity data'!AP551</f>
        <v>3531.1824131634266</v>
      </c>
      <c r="AP30" s="45">
        <f>'[2]Activity data'!AQ551</f>
        <v>3558.7503655594105</v>
      </c>
      <c r="AQ30" s="45">
        <f>'[2]Activity data'!AR551</f>
        <v>3586.3183179553939</v>
      </c>
      <c r="AR30" s="45">
        <f>'[2]Activity data'!AS551</f>
        <v>3613.8862703513778</v>
      </c>
      <c r="AS30" s="45">
        <f>'[2]Activity data'!AT551</f>
        <v>3641.4542227473612</v>
      </c>
      <c r="AT30" s="45">
        <f>'[2]Activity data'!AU551</f>
        <v>3669.0221751433451</v>
      </c>
      <c r="AU30" s="45">
        <f>'[2]Activity data'!AV551</f>
        <v>3696.5901275393285</v>
      </c>
      <c r="AV30" s="45">
        <f>'[2]Activity data'!AW551</f>
        <v>3724.1580799353123</v>
      </c>
      <c r="AW30" s="45">
        <f>'[2]Activity data'!AX551</f>
        <v>3751.7260323312958</v>
      </c>
      <c r="AX30" s="45">
        <f>'[2]Activity data'!AY551</f>
        <v>3779.2939847272796</v>
      </c>
      <c r="AY30" s="45">
        <f>'[2]Activity data'!AZ551</f>
        <v>3806.861937123263</v>
      </c>
      <c r="AZ30" s="45">
        <f>'[2]Activity data'!BA551</f>
        <v>3834.4298895192469</v>
      </c>
      <c r="BA30" s="45">
        <f>'[2]Activity data'!BB551</f>
        <v>3861.9978419152303</v>
      </c>
      <c r="BB30" s="45">
        <f>'[2]Activity data'!BC551</f>
        <v>3889.5657943112142</v>
      </c>
      <c r="BC30" s="45">
        <f>'[2]Activity data'!BD551</f>
        <v>3917.1337467071976</v>
      </c>
      <c r="BD30" s="45">
        <f>'[2]Activity data'!BE551</f>
        <v>3944.7016991031815</v>
      </c>
      <c r="BE30" s="45">
        <f>'[2]Activity data'!BF551</f>
        <v>3972.2696514991649</v>
      </c>
      <c r="BF30" s="45">
        <f>'[2]Activity data'!BG551</f>
        <v>3999.8376038951487</v>
      </c>
      <c r="BG30" s="45">
        <f>'[2]Activity data'!BH551</f>
        <v>4027.4055562911321</v>
      </c>
      <c r="BH30" s="45">
        <f>'[2]Activity data'!BI551</f>
        <v>4054.973508687116</v>
      </c>
      <c r="BI30" s="45">
        <f>'[2]Activity data'!BJ551</f>
        <v>4082.5414610830994</v>
      </c>
      <c r="BJ30" s="45">
        <f>'[2]Activity data'!BK551</f>
        <v>4110.1094134790837</v>
      </c>
      <c r="BK30" s="45">
        <f>'[2]Activity data'!BL551</f>
        <v>4137.6773658750672</v>
      </c>
      <c r="BL30" s="45">
        <f>'[2]Activity data'!BM551</f>
        <v>4165.2453182710506</v>
      </c>
      <c r="BM30" s="45">
        <f>'[2]Activity data'!BN551</f>
        <v>4192.813270667034</v>
      </c>
      <c r="BN30" s="45">
        <f>'[2]Activity data'!BO551</f>
        <v>4220.3812230630174</v>
      </c>
      <c r="BO30" s="45">
        <f>'[2]Activity data'!BP551</f>
        <v>4247.9491754590017</v>
      </c>
      <c r="BP30" s="45">
        <f>'[2]Activity data'!BQ551</f>
        <v>4275.5171278549851</v>
      </c>
      <c r="BR30" s="23"/>
    </row>
    <row r="31" spans="1:72" x14ac:dyDescent="0.25">
      <c r="A31" t="str">
        <f t="shared" si="8"/>
        <v>3C Aggregated and non-CO2 emissions on land</v>
      </c>
      <c r="B31" t="str">
        <f t="shared" si="8"/>
        <v>3C1 Biomass burning (CH4)</v>
      </c>
      <c r="C31" t="str">
        <f>C30</f>
        <v>3C1b Biomass burning in Croplands</v>
      </c>
      <c r="D31" t="s">
        <v>353</v>
      </c>
      <c r="E31" t="str">
        <f t="shared" si="6"/>
        <v>Perennial vineyards - Burnt area</v>
      </c>
      <c r="F31" t="s">
        <v>361</v>
      </c>
      <c r="G31" t="s">
        <v>648</v>
      </c>
      <c r="H31" s="21">
        <v>650.6899965783067</v>
      </c>
      <c r="I31" s="21">
        <v>650.6899965783067</v>
      </c>
      <c r="J31" s="21">
        <v>650.6899965783067</v>
      </c>
      <c r="K31" s="21">
        <v>650.6899965783067</v>
      </c>
      <c r="L31" s="21">
        <v>650.6899965783067</v>
      </c>
      <c r="M31" s="21">
        <v>650.6899965783067</v>
      </c>
      <c r="N31" s="21">
        <v>650.6899965783067</v>
      </c>
      <c r="O31" s="21">
        <v>650.6899965783067</v>
      </c>
      <c r="P31" s="21">
        <v>650.6899965783067</v>
      </c>
      <c r="Q31" s="21">
        <v>650.6899965783067</v>
      </c>
      <c r="R31" s="21">
        <v>1015.2609875689892</v>
      </c>
      <c r="S31" s="21">
        <v>669.14928726137919</v>
      </c>
      <c r="T31" s="21">
        <v>530.70460713833518</v>
      </c>
      <c r="U31" s="21">
        <v>830.66808073826394</v>
      </c>
      <c r="V31" s="21">
        <v>207.66702018456598</v>
      </c>
      <c r="W31" s="21">
        <v>576.85283384601667</v>
      </c>
      <c r="X31" s="21">
        <v>1153.7056676920333</v>
      </c>
      <c r="Y31" s="21">
        <v>553.77872049217592</v>
      </c>
      <c r="Z31" s="21">
        <v>415.33404036913197</v>
      </c>
      <c r="AA31" s="21">
        <v>623.00106055369793</v>
      </c>
      <c r="AB31" s="21">
        <v>1034.0999999999999</v>
      </c>
      <c r="AC31" s="21">
        <v>2728.53</v>
      </c>
      <c r="AD31" s="45">
        <f>'[2]Activity data'!AE552</f>
        <v>892.04273910080849</v>
      </c>
      <c r="AE31" s="45">
        <f>'[2]Activity data'!AF552</f>
        <v>897.91643360164323</v>
      </c>
      <c r="AF31" s="45">
        <f>'[2]Activity data'!AG552</f>
        <v>903.79012810247798</v>
      </c>
      <c r="AG31" s="45">
        <f>'[2]Activity data'!AH552</f>
        <v>909.66382260331272</v>
      </c>
      <c r="AH31" s="45">
        <f>'[2]Activity data'!AI552</f>
        <v>915.53751710414724</v>
      </c>
      <c r="AI31" s="45">
        <f>'[2]Activity data'!AJ552</f>
        <v>921.41121160498199</v>
      </c>
      <c r="AJ31" s="45">
        <f>'[2]Activity data'!AK552</f>
        <v>927.28490610581673</v>
      </c>
      <c r="AK31" s="45">
        <f>'[2]Activity data'!AL552</f>
        <v>933.15860060665148</v>
      </c>
      <c r="AL31" s="45">
        <f>'[2]Activity data'!AM552</f>
        <v>939.03229510748622</v>
      </c>
      <c r="AM31" s="45">
        <f>'[2]Activity data'!AN552</f>
        <v>944.90598960832097</v>
      </c>
      <c r="AN31" s="45">
        <f>'[2]Activity data'!AO552</f>
        <v>950.77968410915571</v>
      </c>
      <c r="AO31" s="45">
        <f>'[2]Activity data'!AP552</f>
        <v>956.65337860999045</v>
      </c>
      <c r="AP31" s="45">
        <f>'[2]Activity data'!AQ552</f>
        <v>962.5270731108252</v>
      </c>
      <c r="AQ31" s="45">
        <f>'[2]Activity data'!AR552</f>
        <v>968.40076761165994</v>
      </c>
      <c r="AR31" s="45">
        <f>'[2]Activity data'!AS552</f>
        <v>974.27446211249469</v>
      </c>
      <c r="AS31" s="45">
        <f>'[2]Activity data'!AT552</f>
        <v>980.14815661332921</v>
      </c>
      <c r="AT31" s="45">
        <f>'[2]Activity data'!AU552</f>
        <v>986.02185111416395</v>
      </c>
      <c r="AU31" s="45">
        <f>'[2]Activity data'!AV552</f>
        <v>991.8955456149987</v>
      </c>
      <c r="AV31" s="45">
        <f>'[2]Activity data'!AW552</f>
        <v>997.76924011583344</v>
      </c>
      <c r="AW31" s="45">
        <f>'[2]Activity data'!AX552</f>
        <v>1003.6429346166682</v>
      </c>
      <c r="AX31" s="45">
        <f>'[2]Activity data'!AY552</f>
        <v>1009.5166291175029</v>
      </c>
      <c r="AY31" s="45">
        <f>'[2]Activity data'!AZ552</f>
        <v>1015.3903236183377</v>
      </c>
      <c r="AZ31" s="45">
        <f>'[2]Activity data'!BA552</f>
        <v>1021.2640181191724</v>
      </c>
      <c r="BA31" s="45">
        <f>'[2]Activity data'!BB552</f>
        <v>1027.1377126200073</v>
      </c>
      <c r="BB31" s="45">
        <f>'[2]Activity data'!BC552</f>
        <v>1033.011407120842</v>
      </c>
      <c r="BC31" s="45">
        <f>'[2]Activity data'!BD552</f>
        <v>1038.885101621677</v>
      </c>
      <c r="BD31" s="45">
        <f>'[2]Activity data'!BE552</f>
        <v>1044.7587961225115</v>
      </c>
      <c r="BE31" s="45">
        <f>'[2]Activity data'!BF552</f>
        <v>1050.6324906233463</v>
      </c>
      <c r="BF31" s="45">
        <f>'[2]Activity data'!BG552</f>
        <v>1056.506185124181</v>
      </c>
      <c r="BG31" s="45">
        <f>'[2]Activity data'!BH552</f>
        <v>1062.3798796250157</v>
      </c>
      <c r="BH31" s="45">
        <f>'[2]Activity data'!BI552</f>
        <v>1068.2535741258505</v>
      </c>
      <c r="BI31" s="45">
        <f>'[2]Activity data'!BJ552</f>
        <v>1074.1272686266852</v>
      </c>
      <c r="BJ31" s="45">
        <f>'[2]Activity data'!BK552</f>
        <v>1080.00096312752</v>
      </c>
      <c r="BK31" s="45">
        <f>'[2]Activity data'!BL552</f>
        <v>1085.8746576283547</v>
      </c>
      <c r="BL31" s="45">
        <f>'[2]Activity data'!BM552</f>
        <v>1091.7483521291895</v>
      </c>
      <c r="BM31" s="45">
        <f>'[2]Activity data'!BN552</f>
        <v>1097.6220466300242</v>
      </c>
      <c r="BN31" s="45">
        <f>'[2]Activity data'!BO552</f>
        <v>1103.495741130859</v>
      </c>
      <c r="BO31" s="45">
        <f>'[2]Activity data'!BP552</f>
        <v>1109.3694356316935</v>
      </c>
      <c r="BP31" s="45">
        <f>'[2]Activity data'!BQ552</f>
        <v>1115.2431301325282</v>
      </c>
      <c r="BR31" s="23"/>
    </row>
    <row r="32" spans="1:72" x14ac:dyDescent="0.25">
      <c r="A32" t="str">
        <f t="shared" si="8"/>
        <v>3C Aggregated and non-CO2 emissions on land</v>
      </c>
      <c r="B32" t="str">
        <f t="shared" si="8"/>
        <v>3C1 Biomass burning (CH4)</v>
      </c>
      <c r="C32" t="str">
        <f>C31</f>
        <v>3C1b Biomass burning in Croplands</v>
      </c>
      <c r="D32" t="s">
        <v>354</v>
      </c>
      <c r="E32" t="str">
        <f t="shared" si="6"/>
        <v>Cropland subsistence - Burnt area</v>
      </c>
      <c r="F32" t="s">
        <v>361</v>
      </c>
      <c r="G32" t="s">
        <v>649</v>
      </c>
      <c r="H32" s="21">
        <v>121475.97716262956</v>
      </c>
      <c r="I32" s="21">
        <v>121475.97716262956</v>
      </c>
      <c r="J32" s="21">
        <v>121475.97716262956</v>
      </c>
      <c r="K32" s="21">
        <v>121475.97716262956</v>
      </c>
      <c r="L32" s="21">
        <v>121475.97716262956</v>
      </c>
      <c r="M32" s="21">
        <v>121475.97716262956</v>
      </c>
      <c r="N32" s="21">
        <v>121475.97716262956</v>
      </c>
      <c r="O32" s="21">
        <v>121475.97716262956</v>
      </c>
      <c r="P32" s="21">
        <v>121475.97716262956</v>
      </c>
      <c r="Q32" s="21">
        <v>121475.97716262956</v>
      </c>
      <c r="R32" s="21">
        <v>110986.48523197359</v>
      </c>
      <c r="S32" s="21">
        <v>166133.61614765276</v>
      </c>
      <c r="T32" s="21">
        <v>130807.14860292274</v>
      </c>
      <c r="U32" s="21">
        <v>110963.41111861976</v>
      </c>
      <c r="V32" s="21">
        <v>88489.224711978939</v>
      </c>
      <c r="W32" s="21">
        <v>191815.10431047744</v>
      </c>
      <c r="X32" s="21">
        <v>150304.77438691808</v>
      </c>
      <c r="Y32" s="21">
        <v>232748.58140019077</v>
      </c>
      <c r="Z32" s="21">
        <v>140036.793944459</v>
      </c>
      <c r="AA32" s="21">
        <v>165649.05976722212</v>
      </c>
      <c r="AB32" s="21">
        <v>111287.7</v>
      </c>
      <c r="AC32" s="21">
        <v>75544.47</v>
      </c>
      <c r="AD32" s="45">
        <f>'[2]Activity data'!AE553</f>
        <v>111446.90580100549</v>
      </c>
      <c r="AE32" s="45">
        <f>'[2]Activity data'!AF553</f>
        <v>111463.54344556993</v>
      </c>
      <c r="AF32" s="45">
        <f>'[2]Activity data'!AG553</f>
        <v>111480.18109013437</v>
      </c>
      <c r="AG32" s="45">
        <f>'[2]Activity data'!AH553</f>
        <v>111496.81873469881</v>
      </c>
      <c r="AH32" s="45">
        <f>'[2]Activity data'!AI553</f>
        <v>111513.45637926325</v>
      </c>
      <c r="AI32" s="45">
        <f>'[2]Activity data'!AJ553</f>
        <v>111530.0940238277</v>
      </c>
      <c r="AJ32" s="45">
        <f>'[2]Activity data'!AK553</f>
        <v>111546.73166839214</v>
      </c>
      <c r="AK32" s="45">
        <f>'[2]Activity data'!AL553</f>
        <v>111563.36931295661</v>
      </c>
      <c r="AL32" s="45">
        <f>'[2]Activity data'!AM553</f>
        <v>111580.00695752105</v>
      </c>
      <c r="AM32" s="45">
        <f>'[2]Activity data'!AN553</f>
        <v>111596.64460208549</v>
      </c>
      <c r="AN32" s="45">
        <f>'[2]Activity data'!AO553</f>
        <v>111613.28224664993</v>
      </c>
      <c r="AO32" s="45">
        <f>'[2]Activity data'!AP553</f>
        <v>111629.91989121438</v>
      </c>
      <c r="AP32" s="45">
        <f>'[2]Activity data'!AQ553</f>
        <v>111646.55753577882</v>
      </c>
      <c r="AQ32" s="45">
        <f>'[2]Activity data'!AR553</f>
        <v>111663.19518034326</v>
      </c>
      <c r="AR32" s="45">
        <f>'[2]Activity data'!AS553</f>
        <v>111679.83282490773</v>
      </c>
      <c r="AS32" s="45">
        <f>'[2]Activity data'!AT553</f>
        <v>111696.47046947217</v>
      </c>
      <c r="AT32" s="45">
        <f>'[2]Activity data'!AU553</f>
        <v>111713.10811403662</v>
      </c>
      <c r="AU32" s="45">
        <f>'[2]Activity data'!AV553</f>
        <v>111729.74575860106</v>
      </c>
      <c r="AV32" s="45">
        <f>'[2]Activity data'!AW553</f>
        <v>111746.3834031655</v>
      </c>
      <c r="AW32" s="45">
        <f>'[2]Activity data'!AX553</f>
        <v>111763.02104772994</v>
      </c>
      <c r="AX32" s="45">
        <f>'[2]Activity data'!AY553</f>
        <v>111779.65869229441</v>
      </c>
      <c r="AY32" s="45">
        <f>'[2]Activity data'!AZ553</f>
        <v>111796.29633685885</v>
      </c>
      <c r="AZ32" s="45">
        <f>'[2]Activity data'!BA553</f>
        <v>111812.9339814233</v>
      </c>
      <c r="BA32" s="45">
        <f>'[2]Activity data'!BB553</f>
        <v>111829.57162598774</v>
      </c>
      <c r="BB32" s="45">
        <f>'[2]Activity data'!BC553</f>
        <v>111846.20927055218</v>
      </c>
      <c r="BC32" s="45">
        <f>'[2]Activity data'!BD553</f>
        <v>111862.84691511662</v>
      </c>
      <c r="BD32" s="45">
        <f>'[2]Activity data'!BE553</f>
        <v>111879.48455968106</v>
      </c>
      <c r="BE32" s="45">
        <f>'[2]Activity data'!BF553</f>
        <v>111896.12220424553</v>
      </c>
      <c r="BF32" s="45">
        <f>'[2]Activity data'!BG553</f>
        <v>111912.75984880998</v>
      </c>
      <c r="BG32" s="45">
        <f>'[2]Activity data'!BH553</f>
        <v>111929.39749337442</v>
      </c>
      <c r="BH32" s="45">
        <f>'[2]Activity data'!BI553</f>
        <v>111946.03513793886</v>
      </c>
      <c r="BI32" s="45">
        <f>'[2]Activity data'!BJ553</f>
        <v>111962.6727825033</v>
      </c>
      <c r="BJ32" s="45">
        <f>'[2]Activity data'!BK553</f>
        <v>111979.31042706774</v>
      </c>
      <c r="BK32" s="45">
        <f>'[2]Activity data'!BL553</f>
        <v>111995.94807163219</v>
      </c>
      <c r="BL32" s="45">
        <f>'[2]Activity data'!BM553</f>
        <v>112012.58571619666</v>
      </c>
      <c r="BM32" s="45">
        <f>'[2]Activity data'!BN553</f>
        <v>112029.2233607611</v>
      </c>
      <c r="BN32" s="45">
        <f>'[2]Activity data'!BO553</f>
        <v>112045.86100532554</v>
      </c>
      <c r="BO32" s="45">
        <f>'[2]Activity data'!BP553</f>
        <v>112062.49864988998</v>
      </c>
      <c r="BP32" s="45">
        <f>'[2]Activity data'!BQ553</f>
        <v>112079.13629445442</v>
      </c>
      <c r="BR32" s="23"/>
    </row>
    <row r="33" spans="1:72" x14ac:dyDescent="0.25">
      <c r="A33" t="str">
        <f t="shared" si="8"/>
        <v>3C Aggregated and non-CO2 emissions on land</v>
      </c>
      <c r="B33" t="str">
        <f t="shared" si="8"/>
        <v>3C1 Biomass burning (CH4)</v>
      </c>
      <c r="C33" t="str">
        <f>'IPCC Categories'!C61</f>
        <v>3C1c Biomass burning in Grasslands</v>
      </c>
      <c r="D33" t="s">
        <v>355</v>
      </c>
      <c r="E33" t="str">
        <f t="shared" si="6"/>
        <v>Grasslands - Burnt area</v>
      </c>
      <c r="F33" t="s">
        <v>361</v>
      </c>
      <c r="G33" t="s">
        <v>650</v>
      </c>
      <c r="H33" s="21">
        <v>2387838.4648902137</v>
      </c>
      <c r="I33" s="21">
        <v>2387838.4648902137</v>
      </c>
      <c r="J33" s="21">
        <v>2387838.4648902137</v>
      </c>
      <c r="K33" s="21">
        <v>2387838.4648902137</v>
      </c>
      <c r="L33" s="21">
        <v>2387838.4648902137</v>
      </c>
      <c r="M33" s="21">
        <v>2387838.4648902137</v>
      </c>
      <c r="N33" s="21">
        <v>2387838.4648902137</v>
      </c>
      <c r="O33" s="21">
        <v>2387838.4648902137</v>
      </c>
      <c r="P33" s="21">
        <v>2387838.4648902137</v>
      </c>
      <c r="Q33" s="21">
        <v>2387838.4648902137</v>
      </c>
      <c r="R33" s="21">
        <v>2371995.7786614662</v>
      </c>
      <c r="S33" s="21">
        <v>2712685.0623309235</v>
      </c>
      <c r="T33" s="21">
        <v>2759663.9571193433</v>
      </c>
      <c r="U33" s="21">
        <v>2215091.8078553495</v>
      </c>
      <c r="V33" s="21">
        <v>1879755.7184839835</v>
      </c>
      <c r="W33" s="21">
        <v>2920305.9342887821</v>
      </c>
      <c r="X33" s="21">
        <v>2572463.6754796347</v>
      </c>
      <c r="Y33" s="21">
        <v>2423589.496120654</v>
      </c>
      <c r="Z33" s="21">
        <v>2252194.9821283258</v>
      </c>
      <c r="AA33" s="21">
        <v>2329700.9288838757</v>
      </c>
      <c r="AB33" s="21">
        <v>2008702.26</v>
      </c>
      <c r="AC33" s="21">
        <v>2040577.5599999998</v>
      </c>
      <c r="AD33" s="45">
        <f>'[2]Activity data'!AE554</f>
        <v>2029778.8780198463</v>
      </c>
      <c r="AE33" s="45">
        <f>'[2]Activity data'!AF554</f>
        <v>2042800.9812413759</v>
      </c>
      <c r="AF33" s="45">
        <f>'[2]Activity data'!AG554</f>
        <v>2055823.0844629053</v>
      </c>
      <c r="AG33" s="45">
        <f>'[2]Activity data'!AH554</f>
        <v>2068845.1876844347</v>
      </c>
      <c r="AH33" s="45">
        <f>'[2]Activity data'!AI554</f>
        <v>2081867.2909059643</v>
      </c>
      <c r="AI33" s="45">
        <f>'[2]Activity data'!AJ554</f>
        <v>2094889.3941274937</v>
      </c>
      <c r="AJ33" s="45">
        <f>'[2]Activity data'!AK554</f>
        <v>2107911.4973490234</v>
      </c>
      <c r="AK33" s="45">
        <f>'[2]Activity data'!AL554</f>
        <v>2129780.2741153426</v>
      </c>
      <c r="AL33" s="45">
        <f>'[2]Activity data'!AM554</f>
        <v>2151649.0508816615</v>
      </c>
      <c r="AM33" s="45">
        <f>'[2]Activity data'!AN554</f>
        <v>2173517.8276479808</v>
      </c>
      <c r="AN33" s="45">
        <f>'[2]Activity data'!AO554</f>
        <v>2195386.6044142996</v>
      </c>
      <c r="AO33" s="45">
        <f>'[2]Activity data'!AP554</f>
        <v>2217255.3811806189</v>
      </c>
      <c r="AP33" s="45">
        <f>'[2]Activity data'!AQ554</f>
        <v>2239124.1579469377</v>
      </c>
      <c r="AQ33" s="45">
        <f>'[2]Activity data'!AR554</f>
        <v>2260992.934713257</v>
      </c>
      <c r="AR33" s="45">
        <f>'[2]Activity data'!AS554</f>
        <v>2282861.7114795758</v>
      </c>
      <c r="AS33" s="45">
        <f>'[2]Activity data'!AT554</f>
        <v>2304730.4882458951</v>
      </c>
      <c r="AT33" s="45">
        <f>'[2]Activity data'!AU554</f>
        <v>2326599.2650122144</v>
      </c>
      <c r="AU33" s="45">
        <f>'[2]Activity data'!AV554</f>
        <v>2348468.0417785333</v>
      </c>
      <c r="AV33" s="45">
        <f>'[2]Activity data'!AW554</f>
        <v>2370336.8185448521</v>
      </c>
      <c r="AW33" s="45">
        <f>'[2]Activity data'!AX554</f>
        <v>2392578.6068636663</v>
      </c>
      <c r="AX33" s="45">
        <f>'[2]Activity data'!AY554</f>
        <v>2414820.3951824801</v>
      </c>
      <c r="AY33" s="45">
        <f>'[2]Activity data'!AZ554</f>
        <v>2437062.1835012939</v>
      </c>
      <c r="AZ33" s="45">
        <f>'[2]Activity data'!BA554</f>
        <v>2459303.9718201077</v>
      </c>
      <c r="BA33" s="45">
        <f>'[2]Activity data'!BB554</f>
        <v>2481545.7601389214</v>
      </c>
      <c r="BB33" s="45">
        <f>'[2]Activity data'!BC554</f>
        <v>2503787.5484577357</v>
      </c>
      <c r="BC33" s="45">
        <f>'[2]Activity data'!BD554</f>
        <v>2526029.336776549</v>
      </c>
      <c r="BD33" s="45">
        <f>'[2]Activity data'!BE554</f>
        <v>2548271.1250953628</v>
      </c>
      <c r="BE33" s="45">
        <f>'[2]Activity data'!BF554</f>
        <v>2570512.9134141766</v>
      </c>
      <c r="BF33" s="45">
        <f>'[2]Activity data'!BG554</f>
        <v>2592754.7017329903</v>
      </c>
      <c r="BG33" s="45">
        <f>'[2]Activity data'!BH554</f>
        <v>2614996.4900518041</v>
      </c>
      <c r="BH33" s="45">
        <f>'[2]Activity data'!BI554</f>
        <v>2637238.2783706179</v>
      </c>
      <c r="BI33" s="45">
        <f>'[2]Activity data'!BJ554</f>
        <v>2659480.0666894317</v>
      </c>
      <c r="BJ33" s="45">
        <f>'[2]Activity data'!BK554</f>
        <v>2681721.8550082454</v>
      </c>
      <c r="BK33" s="45">
        <f>'[2]Activity data'!BL554</f>
        <v>2703963.6433270597</v>
      </c>
      <c r="BL33" s="45">
        <f>'[2]Activity data'!BM554</f>
        <v>2726205.4316458735</v>
      </c>
      <c r="BM33" s="45">
        <f>'[2]Activity data'!BN554</f>
        <v>2748447.2199646872</v>
      </c>
      <c r="BN33" s="45">
        <f>'[2]Activity data'!BO554</f>
        <v>2770689.008283501</v>
      </c>
      <c r="BO33" s="45">
        <f>'[2]Activity data'!BP554</f>
        <v>2792930.7966023148</v>
      </c>
      <c r="BP33" s="45">
        <f>'[2]Activity data'!BQ554</f>
        <v>2815172.5849211286</v>
      </c>
      <c r="BR33" s="23"/>
    </row>
    <row r="34" spans="1:72" x14ac:dyDescent="0.25">
      <c r="A34" t="str">
        <f t="shared" si="8"/>
        <v>3C Aggregated and non-CO2 emissions on land</v>
      </c>
      <c r="B34" t="str">
        <f t="shared" si="8"/>
        <v>3C1 Biomass burning (CH4)</v>
      </c>
      <c r="C34" t="str">
        <f>C33</f>
        <v>3C1c Biomass burning in Grasslands</v>
      </c>
      <c r="D34" t="s">
        <v>356</v>
      </c>
      <c r="E34" t="str">
        <f t="shared" si="6"/>
        <v>Low shrublands - Burnt area</v>
      </c>
      <c r="F34" t="s">
        <v>361</v>
      </c>
      <c r="G34" t="s">
        <v>651</v>
      </c>
      <c r="H34" s="21">
        <v>178542.87430934826</v>
      </c>
      <c r="I34" s="21">
        <v>178542.87430934826</v>
      </c>
      <c r="J34" s="21">
        <v>178542.87430934826</v>
      </c>
      <c r="K34" s="21">
        <v>178542.87430934826</v>
      </c>
      <c r="L34" s="21">
        <v>178542.87430934826</v>
      </c>
      <c r="M34" s="21">
        <v>178542.87430934826</v>
      </c>
      <c r="N34" s="21">
        <v>178542.87430934826</v>
      </c>
      <c r="O34" s="21">
        <v>178542.87430934826</v>
      </c>
      <c r="P34" s="21">
        <v>178542.87430934826</v>
      </c>
      <c r="Q34" s="21">
        <v>178542.87430934826</v>
      </c>
      <c r="R34" s="21">
        <v>150097.10736673351</v>
      </c>
      <c r="S34" s="21">
        <v>126284.62238556995</v>
      </c>
      <c r="T34" s="21">
        <v>307393.3380998653</v>
      </c>
      <c r="U34" s="21">
        <v>191745.88197041591</v>
      </c>
      <c r="V34" s="21">
        <v>117193.42172415672</v>
      </c>
      <c r="W34" s="21">
        <v>198875.78299675265</v>
      </c>
      <c r="X34" s="21">
        <v>154365.81833719404</v>
      </c>
      <c r="Y34" s="21">
        <v>132837.67057806067</v>
      </c>
      <c r="Z34" s="21">
        <v>160872.7183029771</v>
      </c>
      <c r="AA34" s="21">
        <v>215212.25525127185</v>
      </c>
      <c r="AB34" s="21">
        <v>515229.30000000005</v>
      </c>
      <c r="AC34" s="21">
        <v>517662.54000000004</v>
      </c>
      <c r="AD34" s="45">
        <f>'[2]Activity data'!AE555</f>
        <v>273139.2561664434</v>
      </c>
      <c r="AE34" s="45">
        <f>'[2]Activity data'!AF555</f>
        <v>272318.52883358276</v>
      </c>
      <c r="AF34" s="45">
        <f>'[2]Activity data'!AG555</f>
        <v>271497.80150072213</v>
      </c>
      <c r="AG34" s="45">
        <f>'[2]Activity data'!AH555</f>
        <v>270677.07416786149</v>
      </c>
      <c r="AH34" s="45">
        <f>'[2]Activity data'!AI555</f>
        <v>269856.34683500085</v>
      </c>
      <c r="AI34" s="45">
        <f>'[2]Activity data'!AJ555</f>
        <v>269035.61950214021</v>
      </c>
      <c r="AJ34" s="45">
        <f>'[2]Activity data'!AK555</f>
        <v>268214.89216927957</v>
      </c>
      <c r="AK34" s="45">
        <f>'[2]Activity data'!AL555</f>
        <v>267394.16483641899</v>
      </c>
      <c r="AL34" s="45">
        <f>'[2]Activity data'!AM555</f>
        <v>266573.43750355835</v>
      </c>
      <c r="AM34" s="45">
        <f>'[2]Activity data'!AN555</f>
        <v>265752.71017069771</v>
      </c>
      <c r="AN34" s="45">
        <f>'[2]Activity data'!AO555</f>
        <v>264931.98283783707</v>
      </c>
      <c r="AO34" s="45">
        <f>'[2]Activity data'!AP555</f>
        <v>264111.25550497643</v>
      </c>
      <c r="AP34" s="45">
        <f>'[2]Activity data'!AQ555</f>
        <v>263290.5281721158</v>
      </c>
      <c r="AQ34" s="45">
        <f>'[2]Activity data'!AR555</f>
        <v>262469.80083925516</v>
      </c>
      <c r="AR34" s="45">
        <f>'[2]Activity data'!AS555</f>
        <v>261649.07350639458</v>
      </c>
      <c r="AS34" s="45">
        <f>'[2]Activity data'!AT555</f>
        <v>260828.34617353394</v>
      </c>
      <c r="AT34" s="45">
        <f>'[2]Activity data'!AU555</f>
        <v>260007.6188406733</v>
      </c>
      <c r="AU34" s="45">
        <f>'[2]Activity data'!AV555</f>
        <v>259186.89150781266</v>
      </c>
      <c r="AV34" s="45">
        <f>'[2]Activity data'!AW555</f>
        <v>258366.16417495205</v>
      </c>
      <c r="AW34" s="45">
        <f>'[2]Activity data'!AX555</f>
        <v>257545.43684209141</v>
      </c>
      <c r="AX34" s="45">
        <f>'[2]Activity data'!AY555</f>
        <v>256724.70950923077</v>
      </c>
      <c r="AY34" s="45">
        <f>'[2]Activity data'!AZ555</f>
        <v>255903.98217637016</v>
      </c>
      <c r="AZ34" s="45">
        <f>'[2]Activity data'!BA555</f>
        <v>255083.25484350952</v>
      </c>
      <c r="BA34" s="45">
        <f>'[2]Activity data'!BB555</f>
        <v>254262.52751064888</v>
      </c>
      <c r="BB34" s="45">
        <f>'[2]Activity data'!BC555</f>
        <v>253441.80017778825</v>
      </c>
      <c r="BC34" s="45">
        <f>'[2]Activity data'!BD555</f>
        <v>252621.07284492764</v>
      </c>
      <c r="BD34" s="45">
        <f>'[2]Activity data'!BE555</f>
        <v>251800.345512067</v>
      </c>
      <c r="BE34" s="45">
        <f>'[2]Activity data'!BF555</f>
        <v>250979.61817920636</v>
      </c>
      <c r="BF34" s="45">
        <f>'[2]Activity data'!BG555</f>
        <v>250158.89084634575</v>
      </c>
      <c r="BG34" s="45">
        <f>'[2]Activity data'!BH555</f>
        <v>249338.16351348511</v>
      </c>
      <c r="BH34" s="45">
        <f>'[2]Activity data'!BI555</f>
        <v>248517.43618062447</v>
      </c>
      <c r="BI34" s="45">
        <f>'[2]Activity data'!BJ555</f>
        <v>247696.70884776386</v>
      </c>
      <c r="BJ34" s="45">
        <f>'[2]Activity data'!BK555</f>
        <v>246875.98151490322</v>
      </c>
      <c r="BK34" s="45">
        <f>'[2]Activity data'!BL555</f>
        <v>246055.25418204258</v>
      </c>
      <c r="BL34" s="45">
        <f>'[2]Activity data'!BM555</f>
        <v>245234.52684918194</v>
      </c>
      <c r="BM34" s="45">
        <f>'[2]Activity data'!BN555</f>
        <v>244413.79951632133</v>
      </c>
      <c r="BN34" s="45">
        <f>'[2]Activity data'!BO555</f>
        <v>243593.0721834607</v>
      </c>
      <c r="BO34" s="45">
        <f>'[2]Activity data'!BP555</f>
        <v>242772.34485060006</v>
      </c>
      <c r="BP34" s="45">
        <f>'[2]Activity data'!BQ555</f>
        <v>241951.61751773945</v>
      </c>
      <c r="BR34" s="23"/>
    </row>
    <row r="35" spans="1:72" x14ac:dyDescent="0.25">
      <c r="A35" t="str">
        <f>A39</f>
        <v>3C Aggregated and non-CO2 emissions on land</v>
      </c>
      <c r="B35" t="str">
        <f>B39</f>
        <v>3C1 Biomass burning (CH4)</v>
      </c>
      <c r="C35" t="str">
        <f>C39</f>
        <v>3C1f Biomass burning in Other lands</v>
      </c>
      <c r="D35" t="s">
        <v>360</v>
      </c>
      <c r="E35" t="str">
        <f t="shared" si="6"/>
        <v>Degraded land - Burnt area</v>
      </c>
      <c r="F35" t="s">
        <v>361</v>
      </c>
      <c r="G35" t="s">
        <v>641</v>
      </c>
      <c r="H35" s="21">
        <v>61714.023576182241</v>
      </c>
      <c r="I35" s="21">
        <v>61714.023576182241</v>
      </c>
      <c r="J35" s="21">
        <v>61714.023576182241</v>
      </c>
      <c r="K35" s="21">
        <v>61714.023576182241</v>
      </c>
      <c r="L35" s="21">
        <v>61714.023576182241</v>
      </c>
      <c r="M35" s="21">
        <v>61714.023576182241</v>
      </c>
      <c r="N35" s="21">
        <v>61714.023576182241</v>
      </c>
      <c r="O35" s="21">
        <v>61714.023576182241</v>
      </c>
      <c r="P35" s="21">
        <v>61714.023576182241</v>
      </c>
      <c r="Q35" s="21">
        <v>61714.023576182241</v>
      </c>
      <c r="R35" s="21">
        <v>67907.115600353078</v>
      </c>
      <c r="S35" s="21">
        <v>61469.437974631524</v>
      </c>
      <c r="T35" s="21">
        <v>82282.28821979581</v>
      </c>
      <c r="U35" s="21">
        <v>24204.744908178855</v>
      </c>
      <c r="V35" s="21">
        <v>72706.53117795194</v>
      </c>
      <c r="W35" s="21">
        <v>89066.077545824955</v>
      </c>
      <c r="X35" s="21">
        <v>131960.85427061474</v>
      </c>
      <c r="Y35" s="21">
        <v>20074.478617841378</v>
      </c>
      <c r="Z35" s="21">
        <v>93911.641350131511</v>
      </c>
      <c r="AA35" s="21">
        <v>60961.807480847041</v>
      </c>
      <c r="AB35" s="21">
        <v>82046.16</v>
      </c>
      <c r="AC35" s="21">
        <v>96577.74</v>
      </c>
      <c r="AD35" s="45">
        <f>'[2]Activity data'!AE556</f>
        <v>57963.822619231716</v>
      </c>
      <c r="AE35" s="45">
        <f>'[2]Activity data'!AF556</f>
        <v>57963.822619231716</v>
      </c>
      <c r="AF35" s="45">
        <f>'[2]Activity data'!AG556</f>
        <v>57963.822619231716</v>
      </c>
      <c r="AG35" s="45">
        <f>'[2]Activity data'!AH556</f>
        <v>57963.822619231716</v>
      </c>
      <c r="AH35" s="45">
        <f>'[2]Activity data'!AI556</f>
        <v>57963.822619231716</v>
      </c>
      <c r="AI35" s="45">
        <f>'[2]Activity data'!AJ556</f>
        <v>57963.822619231716</v>
      </c>
      <c r="AJ35" s="45">
        <f>'[2]Activity data'!AK556</f>
        <v>57963.822619231716</v>
      </c>
      <c r="AK35" s="45">
        <f>'[2]Activity data'!AL556</f>
        <v>57963.822619231716</v>
      </c>
      <c r="AL35" s="45">
        <f>'[2]Activity data'!AM556</f>
        <v>57963.822619231716</v>
      </c>
      <c r="AM35" s="45">
        <f>'[2]Activity data'!AN556</f>
        <v>57963.822619231716</v>
      </c>
      <c r="AN35" s="45">
        <f>'[2]Activity data'!AO556</f>
        <v>57963.822619231716</v>
      </c>
      <c r="AO35" s="45">
        <f>'[2]Activity data'!AP556</f>
        <v>57963.822619231716</v>
      </c>
      <c r="AP35" s="45">
        <f>'[2]Activity data'!AQ556</f>
        <v>57963.822619231716</v>
      </c>
      <c r="AQ35" s="45">
        <f>'[2]Activity data'!AR556</f>
        <v>57963.822619231716</v>
      </c>
      <c r="AR35" s="45">
        <f>'[2]Activity data'!AS556</f>
        <v>57963.822619231716</v>
      </c>
      <c r="AS35" s="45">
        <f>'[2]Activity data'!AT556</f>
        <v>57963.822619231716</v>
      </c>
      <c r="AT35" s="45">
        <f>'[2]Activity data'!AU556</f>
        <v>57963.822619231716</v>
      </c>
      <c r="AU35" s="45">
        <f>'[2]Activity data'!AV556</f>
        <v>57963.822619231716</v>
      </c>
      <c r="AV35" s="45">
        <f>'[2]Activity data'!AW556</f>
        <v>57963.822619231716</v>
      </c>
      <c r="AW35" s="45">
        <f>'[2]Activity data'!AX556</f>
        <v>57963.822619231716</v>
      </c>
      <c r="AX35" s="45">
        <f>'[2]Activity data'!AY556</f>
        <v>57963.822619231716</v>
      </c>
      <c r="AY35" s="45">
        <f>'[2]Activity data'!AZ556</f>
        <v>57963.822619231716</v>
      </c>
      <c r="AZ35" s="45">
        <f>'[2]Activity data'!BA556</f>
        <v>57963.822619231716</v>
      </c>
      <c r="BA35" s="45">
        <f>'[2]Activity data'!BB556</f>
        <v>57963.822619231716</v>
      </c>
      <c r="BB35" s="45">
        <f>'[2]Activity data'!BC556</f>
        <v>57963.822619231716</v>
      </c>
      <c r="BC35" s="45">
        <f>'[2]Activity data'!BD556</f>
        <v>57963.822619231716</v>
      </c>
      <c r="BD35" s="45">
        <f>'[2]Activity data'!BE556</f>
        <v>57963.822619231716</v>
      </c>
      <c r="BE35" s="45">
        <f>'[2]Activity data'!BF556</f>
        <v>57963.822619231716</v>
      </c>
      <c r="BF35" s="45">
        <f>'[2]Activity data'!BG556</f>
        <v>57963.822619231716</v>
      </c>
      <c r="BG35" s="45">
        <f>'[2]Activity data'!BH556</f>
        <v>57963.822619231716</v>
      </c>
      <c r="BH35" s="45">
        <f>'[2]Activity data'!BI556</f>
        <v>57963.822619231716</v>
      </c>
      <c r="BI35" s="45">
        <f>'[2]Activity data'!BJ556</f>
        <v>57963.822619231716</v>
      </c>
      <c r="BJ35" s="45">
        <f>'[2]Activity data'!BK556</f>
        <v>57963.822619231716</v>
      </c>
      <c r="BK35" s="45">
        <f>'[2]Activity data'!BL556</f>
        <v>57963.822619231716</v>
      </c>
      <c r="BL35" s="45">
        <f>'[2]Activity data'!BM556</f>
        <v>57963.822619231716</v>
      </c>
      <c r="BM35" s="45">
        <f>'[2]Activity data'!BN556</f>
        <v>57963.822619231716</v>
      </c>
      <c r="BN35" s="45">
        <f>'[2]Activity data'!BO556</f>
        <v>57963.822619231716</v>
      </c>
      <c r="BO35" s="45">
        <f>'[2]Activity data'!BP556</f>
        <v>57963.822619231716</v>
      </c>
      <c r="BP35" s="45">
        <f>'[2]Activity data'!BQ556</f>
        <v>57963.822619231716</v>
      </c>
      <c r="BR35" s="23"/>
    </row>
    <row r="36" spans="1:72" x14ac:dyDescent="0.25">
      <c r="A36" t="str">
        <f>A34</f>
        <v>3C Aggregated and non-CO2 emissions on land</v>
      </c>
      <c r="B36" t="str">
        <f>B34</f>
        <v>3C1 Biomass burning (CH4)</v>
      </c>
      <c r="C36" t="str">
        <f>'IPCC Categories'!C62</f>
        <v>3C1d Biomass burning in Wetlands</v>
      </c>
      <c r="D36" t="s">
        <v>106</v>
      </c>
      <c r="E36" t="str">
        <f t="shared" si="6"/>
        <v>Wetlands - Burnt area</v>
      </c>
      <c r="F36" t="s">
        <v>361</v>
      </c>
      <c r="G36" t="s">
        <v>652</v>
      </c>
      <c r="H36" s="21">
        <v>85448.056571942725</v>
      </c>
      <c r="I36" s="21">
        <v>85448.056571942725</v>
      </c>
      <c r="J36" s="21">
        <v>85448.056571942725</v>
      </c>
      <c r="K36" s="21">
        <v>85448.056571942725</v>
      </c>
      <c r="L36" s="21">
        <v>85448.056571942725</v>
      </c>
      <c r="M36" s="21">
        <v>85448.056571942725</v>
      </c>
      <c r="N36" s="21">
        <v>85448.056571942725</v>
      </c>
      <c r="O36" s="21">
        <v>85448.056571942725</v>
      </c>
      <c r="P36" s="21">
        <v>85448.056571942725</v>
      </c>
      <c r="Q36" s="21">
        <v>85448.056571942725</v>
      </c>
      <c r="R36" s="21">
        <v>75590.795347182022</v>
      </c>
      <c r="S36" s="21">
        <v>91304.266541147488</v>
      </c>
      <c r="T36" s="21">
        <v>103348.95371185233</v>
      </c>
      <c r="U36" s="21">
        <v>84543.551328472182</v>
      </c>
      <c r="V36" s="21">
        <v>72452.715931059676</v>
      </c>
      <c r="W36" s="21">
        <v>107202.33064194373</v>
      </c>
      <c r="X36" s="21">
        <v>95157.643471238887</v>
      </c>
      <c r="Y36" s="21">
        <v>83828.253814503129</v>
      </c>
      <c r="Z36" s="21">
        <v>76444.537541274112</v>
      </c>
      <c r="AA36" s="21">
        <v>85858.775789641106</v>
      </c>
      <c r="AB36" s="21">
        <v>114912.98999999999</v>
      </c>
      <c r="AC36" s="21">
        <v>124110.54</v>
      </c>
      <c r="AD36" s="45">
        <f>'[2]Activity data'!AE557</f>
        <v>91537.108006573035</v>
      </c>
      <c r="AE36" s="45">
        <f>'[2]Activity data'!AF557</f>
        <v>91537.108006573035</v>
      </c>
      <c r="AF36" s="45">
        <f>'[2]Activity data'!AG557</f>
        <v>91537.108006573035</v>
      </c>
      <c r="AG36" s="45">
        <f>'[2]Activity data'!AH557</f>
        <v>91537.108006573035</v>
      </c>
      <c r="AH36" s="45">
        <f>'[2]Activity data'!AI557</f>
        <v>91537.108006573035</v>
      </c>
      <c r="AI36" s="45">
        <f>'[2]Activity data'!AJ557</f>
        <v>91537.108006573035</v>
      </c>
      <c r="AJ36" s="45">
        <f>'[2]Activity data'!AK557</f>
        <v>91537.108006573035</v>
      </c>
      <c r="AK36" s="45">
        <f>'[2]Activity data'!AL557</f>
        <v>91537.108006573035</v>
      </c>
      <c r="AL36" s="45">
        <f>'[2]Activity data'!AM557</f>
        <v>91537.108006573035</v>
      </c>
      <c r="AM36" s="45">
        <f>'[2]Activity data'!AN557</f>
        <v>91537.108006573035</v>
      </c>
      <c r="AN36" s="45">
        <f>'[2]Activity data'!AO557</f>
        <v>91537.108006573035</v>
      </c>
      <c r="AO36" s="45">
        <f>'[2]Activity data'!AP557</f>
        <v>91537.108006573035</v>
      </c>
      <c r="AP36" s="45">
        <f>'[2]Activity data'!AQ557</f>
        <v>91537.108006573035</v>
      </c>
      <c r="AQ36" s="45">
        <f>'[2]Activity data'!AR557</f>
        <v>91537.108006573035</v>
      </c>
      <c r="AR36" s="45">
        <f>'[2]Activity data'!AS557</f>
        <v>91537.108006573035</v>
      </c>
      <c r="AS36" s="45">
        <f>'[2]Activity data'!AT557</f>
        <v>91537.108006573035</v>
      </c>
      <c r="AT36" s="45">
        <f>'[2]Activity data'!AU557</f>
        <v>91537.108006573035</v>
      </c>
      <c r="AU36" s="45">
        <f>'[2]Activity data'!AV557</f>
        <v>91537.108006573035</v>
      </c>
      <c r="AV36" s="45">
        <f>'[2]Activity data'!AW557</f>
        <v>91537.108006573035</v>
      </c>
      <c r="AW36" s="45">
        <f>'[2]Activity data'!AX557</f>
        <v>91537.108006573035</v>
      </c>
      <c r="AX36" s="45">
        <f>'[2]Activity data'!AY557</f>
        <v>91537.108006573035</v>
      </c>
      <c r="AY36" s="45">
        <f>'[2]Activity data'!AZ557</f>
        <v>91537.108006573035</v>
      </c>
      <c r="AZ36" s="45">
        <f>'[2]Activity data'!BA557</f>
        <v>91537.108006573035</v>
      </c>
      <c r="BA36" s="45">
        <f>'[2]Activity data'!BB557</f>
        <v>91537.108006573035</v>
      </c>
      <c r="BB36" s="45">
        <f>'[2]Activity data'!BC557</f>
        <v>91537.108006573035</v>
      </c>
      <c r="BC36" s="45">
        <f>'[2]Activity data'!BD557</f>
        <v>91537.108006573035</v>
      </c>
      <c r="BD36" s="45">
        <f>'[2]Activity data'!BE557</f>
        <v>91537.108006573035</v>
      </c>
      <c r="BE36" s="45">
        <f>'[2]Activity data'!BF557</f>
        <v>91537.108006573035</v>
      </c>
      <c r="BF36" s="45">
        <f>'[2]Activity data'!BG557</f>
        <v>91537.108006573035</v>
      </c>
      <c r="BG36" s="45">
        <f>'[2]Activity data'!BH557</f>
        <v>91537.108006573035</v>
      </c>
      <c r="BH36" s="45">
        <f>'[2]Activity data'!BI557</f>
        <v>91537.108006573035</v>
      </c>
      <c r="BI36" s="45">
        <f>'[2]Activity data'!BJ557</f>
        <v>91537.108006573035</v>
      </c>
      <c r="BJ36" s="45">
        <f>'[2]Activity data'!BK557</f>
        <v>91537.108006573035</v>
      </c>
      <c r="BK36" s="45">
        <f>'[2]Activity data'!BL557</f>
        <v>91537.108006573035</v>
      </c>
      <c r="BL36" s="45">
        <f>'[2]Activity data'!BM557</f>
        <v>91537.108006573035</v>
      </c>
      <c r="BM36" s="45">
        <f>'[2]Activity data'!BN557</f>
        <v>91537.108006573035</v>
      </c>
      <c r="BN36" s="45">
        <f>'[2]Activity data'!BO557</f>
        <v>91537.108006573035</v>
      </c>
      <c r="BO36" s="45">
        <f>'[2]Activity data'!BP557</f>
        <v>91537.108006573035</v>
      </c>
      <c r="BP36" s="45">
        <f>'[2]Activity data'!BQ557</f>
        <v>91537.108006573035</v>
      </c>
      <c r="BR36" s="23"/>
    </row>
    <row r="37" spans="1:72" x14ac:dyDescent="0.25">
      <c r="A37" t="str">
        <f t="shared" ref="A37:B39" si="9">A36</f>
        <v>3C Aggregated and non-CO2 emissions on land</v>
      </c>
      <c r="B37" t="str">
        <f t="shared" si="9"/>
        <v>3C1 Biomass burning (CH4)</v>
      </c>
      <c r="C37" t="str">
        <f>'IPCC Categories'!C63</f>
        <v>3C1e Biomass burning in Settlements</v>
      </c>
      <c r="D37" t="s">
        <v>357</v>
      </c>
      <c r="E37" t="str">
        <f t="shared" si="6"/>
        <v>Settlements - Burnt area</v>
      </c>
      <c r="F37" t="s">
        <v>361</v>
      </c>
      <c r="G37" t="s">
        <v>653</v>
      </c>
      <c r="H37" s="21">
        <v>51833.688238067662</v>
      </c>
      <c r="I37" s="21">
        <v>51833.688238067662</v>
      </c>
      <c r="J37" s="21">
        <v>51833.688238067662</v>
      </c>
      <c r="K37" s="21">
        <v>51833.688238067662</v>
      </c>
      <c r="L37" s="21">
        <v>51833.688238067662</v>
      </c>
      <c r="M37" s="21">
        <v>51833.688238067662</v>
      </c>
      <c r="N37" s="21">
        <v>51833.688238067662</v>
      </c>
      <c r="O37" s="21">
        <v>51833.688238067662</v>
      </c>
      <c r="P37" s="21">
        <v>51833.688238067662</v>
      </c>
      <c r="Q37" s="21">
        <v>51833.688238067662</v>
      </c>
      <c r="R37" s="21">
        <v>56462.3553768481</v>
      </c>
      <c r="S37" s="21">
        <v>62530.847188908192</v>
      </c>
      <c r="T37" s="21">
        <v>55285.57559580222</v>
      </c>
      <c r="U37" s="21">
        <v>47694.192302388648</v>
      </c>
      <c r="V37" s="21">
        <v>37195.470726391148</v>
      </c>
      <c r="W37" s="21">
        <v>84220.513741518429</v>
      </c>
      <c r="X37" s="21">
        <v>73767.9403922286</v>
      </c>
      <c r="Y37" s="21">
        <v>81590.064819180581</v>
      </c>
      <c r="Z37" s="21">
        <v>50370.789451434168</v>
      </c>
      <c r="AA37" s="21">
        <v>60615.69578053942</v>
      </c>
      <c r="AB37" s="21">
        <v>45329.58</v>
      </c>
      <c r="AC37" s="21">
        <v>31595.4</v>
      </c>
      <c r="AD37" s="45">
        <f>'[2]Activity data'!AE558</f>
        <v>45569.714076613083</v>
      </c>
      <c r="AE37" s="45">
        <f>'[2]Activity data'!AF558</f>
        <v>45666.022187618808</v>
      </c>
      <c r="AF37" s="45">
        <f>'[2]Activity data'!AG558</f>
        <v>45762.330298624533</v>
      </c>
      <c r="AG37" s="45">
        <f>'[2]Activity data'!AH558</f>
        <v>45858.638409630257</v>
      </c>
      <c r="AH37" s="45">
        <f>'[2]Activity data'!AI558</f>
        <v>45954.946520635982</v>
      </c>
      <c r="AI37" s="45">
        <f>'[2]Activity data'!AJ558</f>
        <v>46051.254631641707</v>
      </c>
      <c r="AJ37" s="45">
        <f>'[2]Activity data'!AK558</f>
        <v>46147.562742647431</v>
      </c>
      <c r="AK37" s="45">
        <f>'[2]Activity data'!AL558</f>
        <v>46243.870853653156</v>
      </c>
      <c r="AL37" s="45">
        <f>'[2]Activity data'!AM558</f>
        <v>46340.17896465888</v>
      </c>
      <c r="AM37" s="45">
        <f>'[2]Activity data'!AN558</f>
        <v>46436.487075664612</v>
      </c>
      <c r="AN37" s="45">
        <f>'[2]Activity data'!AO558</f>
        <v>46532.795186670337</v>
      </c>
      <c r="AO37" s="45">
        <f>'[2]Activity data'!AP558</f>
        <v>46629.103297676062</v>
      </c>
      <c r="AP37" s="45">
        <f>'[2]Activity data'!AQ558</f>
        <v>46725.411408681786</v>
      </c>
      <c r="AQ37" s="45">
        <f>'[2]Activity data'!AR558</f>
        <v>46821.719519687511</v>
      </c>
      <c r="AR37" s="45">
        <f>'[2]Activity data'!AS558</f>
        <v>46918.027630693236</v>
      </c>
      <c r="AS37" s="45">
        <f>'[2]Activity data'!AT558</f>
        <v>47014.33574169896</v>
      </c>
      <c r="AT37" s="45">
        <f>'[2]Activity data'!AU558</f>
        <v>47110.643852704685</v>
      </c>
      <c r="AU37" s="45">
        <f>'[2]Activity data'!AV558</f>
        <v>47206.951963710409</v>
      </c>
      <c r="AV37" s="45">
        <f>'[2]Activity data'!AW558</f>
        <v>47303.260074716134</v>
      </c>
      <c r="AW37" s="45">
        <f>'[2]Activity data'!AX558</f>
        <v>47399.568185721859</v>
      </c>
      <c r="AX37" s="45">
        <f>'[2]Activity data'!AY558</f>
        <v>47495.876296727583</v>
      </c>
      <c r="AY37" s="45">
        <f>'[2]Activity data'!AZ558</f>
        <v>47592.184407733308</v>
      </c>
      <c r="AZ37" s="45">
        <f>'[2]Activity data'!BA558</f>
        <v>47688.492518739033</v>
      </c>
      <c r="BA37" s="45">
        <f>'[2]Activity data'!BB558</f>
        <v>47784.800629744757</v>
      </c>
      <c r="BB37" s="45">
        <f>'[2]Activity data'!BC558</f>
        <v>47881.108740750482</v>
      </c>
      <c r="BC37" s="45">
        <f>'[2]Activity data'!BD558</f>
        <v>47977.416851756207</v>
      </c>
      <c r="BD37" s="45">
        <f>'[2]Activity data'!BE558</f>
        <v>48073.724962761939</v>
      </c>
      <c r="BE37" s="45">
        <f>'[2]Activity data'!BF558</f>
        <v>48170.033073767663</v>
      </c>
      <c r="BF37" s="45">
        <f>'[2]Activity data'!BG558</f>
        <v>48266.341184773388</v>
      </c>
      <c r="BG37" s="45">
        <f>'[2]Activity data'!BH558</f>
        <v>48362.649295779112</v>
      </c>
      <c r="BH37" s="45">
        <f>'[2]Activity data'!BI558</f>
        <v>48458.957406784837</v>
      </c>
      <c r="BI37" s="45">
        <f>'[2]Activity data'!BJ558</f>
        <v>48555.265517790562</v>
      </c>
      <c r="BJ37" s="45">
        <f>'[2]Activity data'!BK558</f>
        <v>48651.573628796286</v>
      </c>
      <c r="BK37" s="45">
        <f>'[2]Activity data'!BL558</f>
        <v>48747.881739802011</v>
      </c>
      <c r="BL37" s="45">
        <f>'[2]Activity data'!BM558</f>
        <v>48844.189850807736</v>
      </c>
      <c r="BM37" s="45">
        <f>'[2]Activity data'!BN558</f>
        <v>48940.49796181346</v>
      </c>
      <c r="BN37" s="45">
        <f>'[2]Activity data'!BO558</f>
        <v>49036.806072819185</v>
      </c>
      <c r="BO37" s="45">
        <f>'[2]Activity data'!BP558</f>
        <v>49133.11418382491</v>
      </c>
      <c r="BP37" s="45">
        <f>'[2]Activity data'!BQ558</f>
        <v>49229.422294830634</v>
      </c>
      <c r="BR37" s="23"/>
    </row>
    <row r="38" spans="1:72" x14ac:dyDescent="0.25">
      <c r="A38" t="str">
        <f t="shared" si="9"/>
        <v>3C Aggregated and non-CO2 emissions on land</v>
      </c>
      <c r="B38" t="str">
        <f t="shared" si="9"/>
        <v>3C1 Biomass burning (CH4)</v>
      </c>
      <c r="C38" t="str">
        <f>C37</f>
        <v>3C1e Biomass burning in Settlements</v>
      </c>
      <c r="D38" t="s">
        <v>358</v>
      </c>
      <c r="E38" t="str">
        <f t="shared" si="6"/>
        <v>Mines - Burnt area</v>
      </c>
      <c r="F38" t="s">
        <v>361</v>
      </c>
      <c r="G38" t="s">
        <v>654</v>
      </c>
      <c r="H38" s="21">
        <v>0</v>
      </c>
      <c r="I38" s="21">
        <v>0</v>
      </c>
      <c r="J38" s="21">
        <v>0</v>
      </c>
      <c r="K38" s="21">
        <v>0</v>
      </c>
      <c r="L38" s="21">
        <v>0</v>
      </c>
      <c r="M38" s="21">
        <v>0</v>
      </c>
      <c r="N38" s="21">
        <v>0</v>
      </c>
      <c r="O38" s="21">
        <v>0</v>
      </c>
      <c r="P38" s="21">
        <v>0</v>
      </c>
      <c r="Q38" s="21">
        <v>0</v>
      </c>
      <c r="R38" s="21">
        <v>0</v>
      </c>
      <c r="S38" s="21">
        <v>0</v>
      </c>
      <c r="T38" s="21">
        <v>0</v>
      </c>
      <c r="U38" s="21">
        <v>0</v>
      </c>
      <c r="V38" s="21">
        <v>0</v>
      </c>
      <c r="W38" s="21">
        <v>0</v>
      </c>
      <c r="X38" s="21">
        <v>0</v>
      </c>
      <c r="Y38" s="21">
        <v>0</v>
      </c>
      <c r="Z38" s="21">
        <v>0</v>
      </c>
      <c r="AA38" s="21">
        <v>0</v>
      </c>
      <c r="AB38" s="21">
        <v>0</v>
      </c>
      <c r="AC38" s="21">
        <v>0</v>
      </c>
      <c r="AD38" s="45">
        <f>'[2]Activity data'!AE559</f>
        <v>0</v>
      </c>
      <c r="AE38" s="45">
        <f>'[2]Activity data'!AF559</f>
        <v>0</v>
      </c>
      <c r="AF38" s="45">
        <f>'[2]Activity data'!AG559</f>
        <v>0</v>
      </c>
      <c r="AG38" s="45">
        <f>'[2]Activity data'!AH559</f>
        <v>0</v>
      </c>
      <c r="AH38" s="45">
        <f>'[2]Activity data'!AI559</f>
        <v>0</v>
      </c>
      <c r="AI38" s="45">
        <f>'[2]Activity data'!AJ559</f>
        <v>0</v>
      </c>
      <c r="AJ38" s="45">
        <f>'[2]Activity data'!AK559</f>
        <v>0</v>
      </c>
      <c r="AK38" s="45">
        <f>'[2]Activity data'!AL559</f>
        <v>0</v>
      </c>
      <c r="AL38" s="45">
        <f>'[2]Activity data'!AM559</f>
        <v>0</v>
      </c>
      <c r="AM38" s="45">
        <f>'[2]Activity data'!AN559</f>
        <v>0</v>
      </c>
      <c r="AN38" s="45">
        <f>'[2]Activity data'!AO559</f>
        <v>0</v>
      </c>
      <c r="AO38" s="45">
        <f>'[2]Activity data'!AP559</f>
        <v>0</v>
      </c>
      <c r="AP38" s="45">
        <f>'[2]Activity data'!AQ559</f>
        <v>0</v>
      </c>
      <c r="AQ38" s="45">
        <f>'[2]Activity data'!AR559</f>
        <v>0</v>
      </c>
      <c r="AR38" s="45">
        <f>'[2]Activity data'!AS559</f>
        <v>0</v>
      </c>
      <c r="AS38" s="45">
        <f>'[2]Activity data'!AT559</f>
        <v>0</v>
      </c>
      <c r="AT38" s="45">
        <f>'[2]Activity data'!AU559</f>
        <v>0</v>
      </c>
      <c r="AU38" s="45">
        <f>'[2]Activity data'!AV559</f>
        <v>0</v>
      </c>
      <c r="AV38" s="45">
        <f>'[2]Activity data'!AW559</f>
        <v>0</v>
      </c>
      <c r="AW38" s="45">
        <f>'[2]Activity data'!AX559</f>
        <v>0</v>
      </c>
      <c r="AX38" s="45">
        <f>'[2]Activity data'!AY559</f>
        <v>0</v>
      </c>
      <c r="AY38" s="45">
        <f>'[2]Activity data'!AZ559</f>
        <v>0</v>
      </c>
      <c r="AZ38" s="45">
        <f>'[2]Activity data'!BA559</f>
        <v>0</v>
      </c>
      <c r="BA38" s="45">
        <f>'[2]Activity data'!BB559</f>
        <v>0</v>
      </c>
      <c r="BB38" s="45">
        <f>'[2]Activity data'!BC559</f>
        <v>0</v>
      </c>
      <c r="BC38" s="45">
        <f>'[2]Activity data'!BD559</f>
        <v>0</v>
      </c>
      <c r="BD38" s="45">
        <f>'[2]Activity data'!BE559</f>
        <v>0</v>
      </c>
      <c r="BE38" s="45">
        <f>'[2]Activity data'!BF559</f>
        <v>0</v>
      </c>
      <c r="BF38" s="45">
        <f>'[2]Activity data'!BG559</f>
        <v>0</v>
      </c>
      <c r="BG38" s="45">
        <f>'[2]Activity data'!BH559</f>
        <v>0</v>
      </c>
      <c r="BH38" s="45">
        <f>'[2]Activity data'!BI559</f>
        <v>0</v>
      </c>
      <c r="BI38" s="45">
        <f>'[2]Activity data'!BJ559</f>
        <v>0</v>
      </c>
      <c r="BJ38" s="45">
        <f>'[2]Activity data'!BK559</f>
        <v>0</v>
      </c>
      <c r="BK38" s="45">
        <f>'[2]Activity data'!BL559</f>
        <v>0</v>
      </c>
      <c r="BL38" s="45">
        <f>'[2]Activity data'!BM559</f>
        <v>0</v>
      </c>
      <c r="BM38" s="45">
        <f>'[2]Activity data'!BN559</f>
        <v>0</v>
      </c>
      <c r="BN38" s="45">
        <f>'[2]Activity data'!BO559</f>
        <v>0</v>
      </c>
      <c r="BO38" s="45">
        <f>'[2]Activity data'!BP559</f>
        <v>0</v>
      </c>
      <c r="BP38" s="45">
        <f>'[2]Activity data'!BQ559</f>
        <v>0</v>
      </c>
      <c r="BR38" s="23"/>
    </row>
    <row r="39" spans="1:72" x14ac:dyDescent="0.25">
      <c r="A39" t="str">
        <f t="shared" si="9"/>
        <v>3C Aggregated and non-CO2 emissions on land</v>
      </c>
      <c r="B39" t="str">
        <f t="shared" si="9"/>
        <v>3C1 Biomass burning (CH4)</v>
      </c>
      <c r="C39" t="str">
        <f>'IPCC Categories'!C64</f>
        <v>3C1f Biomass burning in Other lands</v>
      </c>
      <c r="D39" t="s">
        <v>359</v>
      </c>
      <c r="E39" t="str">
        <f t="shared" si="6"/>
        <v>Bare ground - Burnt area</v>
      </c>
      <c r="F39" t="s">
        <v>361</v>
      </c>
      <c r="G39" t="s">
        <v>655</v>
      </c>
      <c r="H39" s="21">
        <v>0</v>
      </c>
      <c r="I39" s="21">
        <v>0</v>
      </c>
      <c r="J39" s="21">
        <v>0</v>
      </c>
      <c r="K39" s="21">
        <v>0</v>
      </c>
      <c r="L39" s="21">
        <v>0</v>
      </c>
      <c r="M39" s="21">
        <v>0</v>
      </c>
      <c r="N39" s="21">
        <v>0</v>
      </c>
      <c r="O39" s="21">
        <v>0</v>
      </c>
      <c r="P39" s="21">
        <v>0</v>
      </c>
      <c r="Q39" s="21">
        <v>0</v>
      </c>
      <c r="R39" s="21">
        <v>0</v>
      </c>
      <c r="S39" s="21">
        <v>0</v>
      </c>
      <c r="T39" s="21">
        <v>0</v>
      </c>
      <c r="U39" s="21">
        <v>0</v>
      </c>
      <c r="V39" s="21">
        <v>0</v>
      </c>
      <c r="W39" s="21">
        <v>0</v>
      </c>
      <c r="X39" s="21">
        <v>0</v>
      </c>
      <c r="Y39" s="21">
        <v>0</v>
      </c>
      <c r="Z39" s="21">
        <v>0</v>
      </c>
      <c r="AA39" s="21">
        <v>0</v>
      </c>
      <c r="AB39" s="21">
        <v>0</v>
      </c>
      <c r="AC39" s="21">
        <v>0</v>
      </c>
      <c r="AD39" s="45">
        <f>'[2]Activity data'!AE560</f>
        <v>0</v>
      </c>
      <c r="AE39" s="45">
        <f>'[2]Activity data'!AF560</f>
        <v>0</v>
      </c>
      <c r="AF39" s="45">
        <f>'[2]Activity data'!AG560</f>
        <v>0</v>
      </c>
      <c r="AG39" s="45">
        <f>'[2]Activity data'!AH560</f>
        <v>0</v>
      </c>
      <c r="AH39" s="45">
        <f>'[2]Activity data'!AI560</f>
        <v>0</v>
      </c>
      <c r="AI39" s="45">
        <f>'[2]Activity data'!AJ560</f>
        <v>0</v>
      </c>
      <c r="AJ39" s="45">
        <f>'[2]Activity data'!AK560</f>
        <v>0</v>
      </c>
      <c r="AK39" s="45">
        <f>'[2]Activity data'!AL560</f>
        <v>0</v>
      </c>
      <c r="AL39" s="45">
        <f>'[2]Activity data'!AM560</f>
        <v>0</v>
      </c>
      <c r="AM39" s="45">
        <f>'[2]Activity data'!AN560</f>
        <v>0</v>
      </c>
      <c r="AN39" s="45">
        <f>'[2]Activity data'!AO560</f>
        <v>0</v>
      </c>
      <c r="AO39" s="45">
        <f>'[2]Activity data'!AP560</f>
        <v>0</v>
      </c>
      <c r="AP39" s="45">
        <f>'[2]Activity data'!AQ560</f>
        <v>0</v>
      </c>
      <c r="AQ39" s="45">
        <f>'[2]Activity data'!AR560</f>
        <v>0</v>
      </c>
      <c r="AR39" s="45">
        <f>'[2]Activity data'!AS560</f>
        <v>0</v>
      </c>
      <c r="AS39" s="45">
        <f>'[2]Activity data'!AT560</f>
        <v>0</v>
      </c>
      <c r="AT39" s="45">
        <f>'[2]Activity data'!AU560</f>
        <v>0</v>
      </c>
      <c r="AU39" s="45">
        <f>'[2]Activity data'!AV560</f>
        <v>0</v>
      </c>
      <c r="AV39" s="45">
        <f>'[2]Activity data'!AW560</f>
        <v>0</v>
      </c>
      <c r="AW39" s="45">
        <f>'[2]Activity data'!AX560</f>
        <v>0</v>
      </c>
      <c r="AX39" s="45">
        <f>'[2]Activity data'!AY560</f>
        <v>0</v>
      </c>
      <c r="AY39" s="45">
        <f>'[2]Activity data'!AZ560</f>
        <v>0</v>
      </c>
      <c r="AZ39" s="45">
        <f>'[2]Activity data'!BA560</f>
        <v>0</v>
      </c>
      <c r="BA39" s="45">
        <f>'[2]Activity data'!BB560</f>
        <v>0</v>
      </c>
      <c r="BB39" s="45">
        <f>'[2]Activity data'!BC560</f>
        <v>0</v>
      </c>
      <c r="BC39" s="45">
        <f>'[2]Activity data'!BD560</f>
        <v>0</v>
      </c>
      <c r="BD39" s="45">
        <f>'[2]Activity data'!BE560</f>
        <v>0</v>
      </c>
      <c r="BE39" s="45">
        <f>'[2]Activity data'!BF560</f>
        <v>0</v>
      </c>
      <c r="BF39" s="45">
        <f>'[2]Activity data'!BG560</f>
        <v>0</v>
      </c>
      <c r="BG39" s="45">
        <f>'[2]Activity data'!BH560</f>
        <v>0</v>
      </c>
      <c r="BH39" s="45">
        <f>'[2]Activity data'!BI560</f>
        <v>0</v>
      </c>
      <c r="BI39" s="45">
        <f>'[2]Activity data'!BJ560</f>
        <v>0</v>
      </c>
      <c r="BJ39" s="45">
        <f>'[2]Activity data'!BK560</f>
        <v>0</v>
      </c>
      <c r="BK39" s="45">
        <f>'[2]Activity data'!BL560</f>
        <v>0</v>
      </c>
      <c r="BL39" s="45">
        <f>'[2]Activity data'!BM560</f>
        <v>0</v>
      </c>
      <c r="BM39" s="45">
        <f>'[2]Activity data'!BN560</f>
        <v>0</v>
      </c>
      <c r="BN39" s="45">
        <f>'[2]Activity data'!BO560</f>
        <v>0</v>
      </c>
      <c r="BO39" s="45">
        <f>'[2]Activity data'!BP560</f>
        <v>0</v>
      </c>
      <c r="BP39" s="45">
        <f>'[2]Activity data'!BQ560</f>
        <v>0</v>
      </c>
      <c r="BR39" s="23"/>
    </row>
    <row r="40" spans="1:72" ht="18.75" customHeight="1" x14ac:dyDescent="0.25">
      <c r="A40" s="20" t="s">
        <v>368</v>
      </c>
      <c r="B40" s="20"/>
      <c r="C40" s="20"/>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5"/>
      <c r="BA40" s="15"/>
      <c r="BB40" s="15"/>
      <c r="BC40" s="15"/>
      <c r="BD40" s="15"/>
      <c r="BE40" s="15"/>
      <c r="BF40" s="15"/>
      <c r="BG40" s="15"/>
      <c r="BH40" s="15"/>
      <c r="BI40" s="15"/>
      <c r="BJ40" s="15"/>
      <c r="BK40" s="15"/>
      <c r="BL40" s="15"/>
      <c r="BM40" s="15"/>
      <c r="BN40" s="15"/>
      <c r="BO40" s="15"/>
      <c r="BP40" s="15"/>
      <c r="BS40" s="16"/>
      <c r="BT40" s="15"/>
    </row>
    <row r="41" spans="1:72" x14ac:dyDescent="0.25">
      <c r="A41" t="str">
        <f>'IPCC Categories'!A59</f>
        <v>3C Aggregated and non-CO2 emissions on land</v>
      </c>
      <c r="D41" t="s">
        <v>367</v>
      </c>
      <c r="F41" t="s">
        <v>361</v>
      </c>
      <c r="H41" s="21">
        <v>4163000</v>
      </c>
      <c r="I41" s="21">
        <v>3816000</v>
      </c>
      <c r="J41" s="21">
        <v>4173000</v>
      </c>
      <c r="K41" s="21">
        <v>4377000</v>
      </c>
      <c r="L41" s="21">
        <v>4661000</v>
      </c>
      <c r="M41" s="21">
        <v>3526000</v>
      </c>
      <c r="N41" s="21">
        <v>3761000</v>
      </c>
      <c r="O41" s="21">
        <v>4023000</v>
      </c>
      <c r="P41" s="21">
        <v>3560000</v>
      </c>
      <c r="Q41" s="21">
        <v>3567000</v>
      </c>
      <c r="R41" s="21">
        <v>4013000</v>
      </c>
      <c r="S41" s="21">
        <v>3189000</v>
      </c>
      <c r="T41" s="21">
        <v>3533000</v>
      </c>
      <c r="U41" s="21">
        <v>3651000</v>
      </c>
      <c r="V41" s="21">
        <v>3204000</v>
      </c>
      <c r="W41" s="21">
        <v>3223000</v>
      </c>
      <c r="X41" s="21">
        <v>2032000</v>
      </c>
      <c r="Y41" s="21">
        <v>2897000</v>
      </c>
      <c r="Z41" s="21">
        <v>3297000</v>
      </c>
      <c r="AA41" s="21">
        <v>2896000</v>
      </c>
      <c r="AB41" s="21">
        <v>3263000</v>
      </c>
      <c r="AC41" s="21">
        <v>2859000</v>
      </c>
      <c r="AD41" s="22">
        <f>((Data!$AJ$42*LN('Intermediate calculations'!X60))+Data!$AK$42)</f>
        <v>3507287.7345839478</v>
      </c>
      <c r="AE41" s="22">
        <f>((Data!$AJ$42*LN('Intermediate calculations'!Y60))+Data!$AK$42)</f>
        <v>3515617.2389317304</v>
      </c>
      <c r="AF41" s="22">
        <f>((Data!$AJ$42*LN('Intermediate calculations'!Z60))+Data!$AK$42)</f>
        <v>3529937.1972337775</v>
      </c>
      <c r="AG41" s="22">
        <f>((Data!$AJ$42*LN('Intermediate calculations'!AA60))+Data!$AK$42)</f>
        <v>3539796.2550597806</v>
      </c>
      <c r="AH41" s="22">
        <f>((Data!$AJ$42*LN('Intermediate calculations'!AB60))+Data!$AK$42)</f>
        <v>3546076.5340432245</v>
      </c>
      <c r="AI41" s="22">
        <f>((Data!$AJ$42*LN('Intermediate calculations'!AC60))+Data!$AK$42)</f>
        <v>3550038.7806002889</v>
      </c>
      <c r="AJ41" s="22">
        <f>((Data!$AJ$42*LN('Intermediate calculations'!AD60))+Data!$AK$42)</f>
        <v>3555572.724338321</v>
      </c>
      <c r="AK41" s="22">
        <f>((Data!$AJ$42*LN('Intermediate calculations'!AE60))+Data!$AK$42)</f>
        <v>3562032.5684638266</v>
      </c>
      <c r="AL41" s="22">
        <f>((Data!$AJ$42*LN('Intermediate calculations'!AF60))+Data!$AK$42)</f>
        <v>3568206.2156633344</v>
      </c>
      <c r="AM41" s="22">
        <f>((Data!$AJ$42*LN('Intermediate calculations'!AG60))+Data!$AK$42)</f>
        <v>3520716.6219241023</v>
      </c>
      <c r="AN41" s="22">
        <f>((Data!$AJ$42*LN('Intermediate calculations'!AH60))+Data!$AK$42)</f>
        <v>3533037.1152882241</v>
      </c>
      <c r="AO41" s="22">
        <f>((Data!$AJ$42*LN('Intermediate calculations'!AI60))+Data!$AK$42)</f>
        <v>3545304.0204190724</v>
      </c>
      <c r="AP41" s="22">
        <f>((Data!$AJ$42*LN('Intermediate calculations'!AJ60))+Data!$AK$42)</f>
        <v>3558627.5576701295</v>
      </c>
      <c r="AQ41" s="22">
        <f>((Data!$AJ$42*LN('Intermediate calculations'!AK60))+Data!$AK$42)</f>
        <v>3572567.4965905957</v>
      </c>
      <c r="AR41" s="22">
        <f>((Data!$AJ$42*LN('Intermediate calculations'!AL60))+Data!$AK$42)</f>
        <v>3586129.3521209899</v>
      </c>
      <c r="AS41" s="22">
        <f>((Data!$AJ$42*LN('Intermediate calculations'!AM60))+Data!$AK$42)</f>
        <v>3601357.7553091105</v>
      </c>
      <c r="AT41" s="22">
        <f>((Data!$AJ$42*LN('Intermediate calculations'!AN60))+Data!$AK$42)</f>
        <v>3616836.8800676391</v>
      </c>
      <c r="AU41" s="22">
        <f>((Data!$AJ$42*LN('Intermediate calculations'!AO60))+Data!$AK$42)</f>
        <v>3632816.9098103661</v>
      </c>
      <c r="AV41" s="22">
        <f>((Data!$AJ$42*LN('Intermediate calculations'!AP60))+Data!$AK$42)</f>
        <v>3648982.2872415613</v>
      </c>
      <c r="AW41" s="22">
        <f>((Data!$AJ$42*LN('Intermediate calculations'!AQ60))+Data!$AK$42)</f>
        <v>3662536.5532071777</v>
      </c>
      <c r="AX41" s="22">
        <f>((Data!$AJ$42*LN('Intermediate calculations'!AR60))+Data!$AK$42)</f>
        <v>3679106.7642989531</v>
      </c>
      <c r="AY41" s="22">
        <f>((Data!$AJ$42*LN('Intermediate calculations'!AS60))+Data!$AK$42)</f>
        <v>3695686.1969787367</v>
      </c>
      <c r="AZ41" s="22">
        <f>((Data!$AJ$42*LN('Intermediate calculations'!AT60))+Data!$AK$42)</f>
        <v>3712366.5577206537</v>
      </c>
      <c r="BA41" s="22">
        <f>((Data!$AJ$42*LN('Intermediate calculations'!AU60))+Data!$AK$42)</f>
        <v>3728092.3106716257</v>
      </c>
      <c r="BB41" s="22">
        <f>((Data!$AJ$42*LN('Intermediate calculations'!AV60))+Data!$AK$42)</f>
        <v>3744349.0542546511</v>
      </c>
      <c r="BC41" s="22">
        <f>((Data!$AJ$42*LN('Intermediate calculations'!AW60))+Data!$AK$42)</f>
        <v>3761122.4167910554</v>
      </c>
      <c r="BD41" s="22">
        <f>((Data!$AJ$42*LN('Intermediate calculations'!AX60))+Data!$AK$42)</f>
        <v>3778110.3404880594</v>
      </c>
      <c r="BE41" s="22">
        <f>((Data!$AJ$42*LN('Intermediate calculations'!AY60))+Data!$AK$42)</f>
        <v>3794589.4316595942</v>
      </c>
      <c r="BF41" s="22">
        <f>((Data!$AJ$42*LN('Intermediate calculations'!AZ60))+Data!$AK$42)</f>
        <v>3811279.0879160985</v>
      </c>
      <c r="BG41" s="22">
        <f>((Data!$AJ$42*LN('Intermediate calculations'!BA60))+Data!$AK$42)</f>
        <v>3828575.1785653625</v>
      </c>
      <c r="BH41" s="22">
        <f>((Data!$AJ$42*LN('Intermediate calculations'!BB60))+Data!$AK$42)</f>
        <v>3846248.7906987332</v>
      </c>
      <c r="BI41" s="22">
        <f>((Data!$AJ$42*LN('Intermediate calculations'!BC60))+Data!$AK$42)</f>
        <v>3864212.946987683</v>
      </c>
      <c r="BJ41" s="22">
        <f>((Data!$AJ$42*LN('Intermediate calculations'!BD60))+Data!$AK$42)</f>
        <v>3882469.507038977</v>
      </c>
      <c r="BK41" s="22">
        <f>((Data!$AJ$42*LN('Intermediate calculations'!BE60))+Data!$AK$42)</f>
        <v>3900997.69296032</v>
      </c>
      <c r="BL41" s="22">
        <f>((Data!$AJ$42*LN('Intermediate calculations'!BF60))+Data!$AK$42)</f>
        <v>3919922.2985376902</v>
      </c>
      <c r="BM41" s="22">
        <f>((Data!$AJ$42*LN('Intermediate calculations'!BG60))+Data!$AK$42)</f>
        <v>3937417.2855871152</v>
      </c>
      <c r="BN41" s="22">
        <f>((Data!$AJ$42*LN('Intermediate calculations'!BH60))+Data!$AK$42)</f>
        <v>3955246.9721445516</v>
      </c>
      <c r="BO41" s="22">
        <f>((Data!$AJ$42*LN('Intermediate calculations'!BI60))+Data!$AK$42)</f>
        <v>3973515.3159673344</v>
      </c>
      <c r="BP41" s="22">
        <f>((Data!$AJ$42*LN('Intermediate calculations'!BJ60))+Data!$AK$42)</f>
        <v>3992255.377355203</v>
      </c>
      <c r="BR41" s="23"/>
    </row>
    <row r="42" spans="1:72" x14ac:dyDescent="0.25">
      <c r="A42" t="str">
        <f>A41</f>
        <v>3C Aggregated and non-CO2 emissions on land</v>
      </c>
      <c r="D42" t="s">
        <v>370</v>
      </c>
      <c r="F42" t="s">
        <v>361</v>
      </c>
      <c r="H42" s="21">
        <v>1563000</v>
      </c>
      <c r="I42" s="21">
        <v>1436000</v>
      </c>
      <c r="J42" s="21">
        <v>750000</v>
      </c>
      <c r="K42" s="21">
        <v>1075000</v>
      </c>
      <c r="L42" s="21">
        <v>1048000</v>
      </c>
      <c r="M42" s="21">
        <v>1363000</v>
      </c>
      <c r="N42" s="21">
        <v>1294000</v>
      </c>
      <c r="O42" s="21">
        <v>1382000</v>
      </c>
      <c r="P42" s="21">
        <v>745000</v>
      </c>
      <c r="Q42" s="21">
        <v>718000</v>
      </c>
      <c r="R42" s="21">
        <v>934000</v>
      </c>
      <c r="S42" s="21">
        <v>974000</v>
      </c>
      <c r="T42" s="21">
        <v>941000</v>
      </c>
      <c r="U42" s="21">
        <v>748000</v>
      </c>
      <c r="V42" s="21">
        <v>830000</v>
      </c>
      <c r="W42" s="21">
        <v>805000</v>
      </c>
      <c r="X42" s="21">
        <v>765000</v>
      </c>
      <c r="Y42" s="21">
        <v>632000</v>
      </c>
      <c r="Z42" s="21">
        <v>748000</v>
      </c>
      <c r="AA42" s="21">
        <v>642000</v>
      </c>
      <c r="AB42" s="21">
        <v>558000</v>
      </c>
      <c r="AC42" s="21">
        <v>605000</v>
      </c>
      <c r="AD42" s="22">
        <f>Data!$AD$46</f>
        <v>492000</v>
      </c>
      <c r="AE42" s="22">
        <f t="shared" ref="AE42" si="10">AD42</f>
        <v>492000</v>
      </c>
      <c r="AF42" s="22">
        <f t="shared" ref="AF42" si="11">AE42</f>
        <v>492000</v>
      </c>
      <c r="AG42" s="22">
        <f t="shared" ref="AG42" si="12">AF42</f>
        <v>492000</v>
      </c>
      <c r="AH42" s="22">
        <f t="shared" ref="AH42" si="13">AG42</f>
        <v>492000</v>
      </c>
      <c r="AI42" s="22">
        <f t="shared" ref="AI42" si="14">AH42</f>
        <v>492000</v>
      </c>
      <c r="AJ42" s="22">
        <f t="shared" ref="AJ42:BP42" si="15">AI42</f>
        <v>492000</v>
      </c>
      <c r="AK42" s="22">
        <f t="shared" si="15"/>
        <v>492000</v>
      </c>
      <c r="AL42" s="22">
        <f t="shared" si="15"/>
        <v>492000</v>
      </c>
      <c r="AM42" s="22">
        <f t="shared" si="15"/>
        <v>492000</v>
      </c>
      <c r="AN42" s="22">
        <f t="shared" si="15"/>
        <v>492000</v>
      </c>
      <c r="AO42" s="22">
        <f t="shared" si="15"/>
        <v>492000</v>
      </c>
      <c r="AP42" s="22">
        <f t="shared" si="15"/>
        <v>492000</v>
      </c>
      <c r="AQ42" s="22">
        <f t="shared" si="15"/>
        <v>492000</v>
      </c>
      <c r="AR42" s="22">
        <f t="shared" si="15"/>
        <v>492000</v>
      </c>
      <c r="AS42" s="22">
        <f t="shared" si="15"/>
        <v>492000</v>
      </c>
      <c r="AT42" s="22">
        <f t="shared" si="15"/>
        <v>492000</v>
      </c>
      <c r="AU42" s="22">
        <f t="shared" si="15"/>
        <v>492000</v>
      </c>
      <c r="AV42" s="22">
        <f t="shared" si="15"/>
        <v>492000</v>
      </c>
      <c r="AW42" s="22">
        <f t="shared" si="15"/>
        <v>492000</v>
      </c>
      <c r="AX42" s="22">
        <f t="shared" si="15"/>
        <v>492000</v>
      </c>
      <c r="AY42" s="22">
        <f t="shared" si="15"/>
        <v>492000</v>
      </c>
      <c r="AZ42" s="22">
        <f t="shared" si="15"/>
        <v>492000</v>
      </c>
      <c r="BA42" s="22">
        <f t="shared" si="15"/>
        <v>492000</v>
      </c>
      <c r="BB42" s="22">
        <f t="shared" si="15"/>
        <v>492000</v>
      </c>
      <c r="BC42" s="22">
        <f t="shared" si="15"/>
        <v>492000</v>
      </c>
      <c r="BD42" s="22">
        <f t="shared" si="15"/>
        <v>492000</v>
      </c>
      <c r="BE42" s="22">
        <f t="shared" si="15"/>
        <v>492000</v>
      </c>
      <c r="BF42" s="22">
        <f t="shared" si="15"/>
        <v>492000</v>
      </c>
      <c r="BG42" s="22">
        <f t="shared" si="15"/>
        <v>492000</v>
      </c>
      <c r="BH42" s="22">
        <f t="shared" si="15"/>
        <v>492000</v>
      </c>
      <c r="BI42" s="22">
        <f t="shared" si="15"/>
        <v>492000</v>
      </c>
      <c r="BJ42" s="22">
        <f t="shared" si="15"/>
        <v>492000</v>
      </c>
      <c r="BK42" s="22">
        <f t="shared" si="15"/>
        <v>492000</v>
      </c>
      <c r="BL42" s="22">
        <f t="shared" si="15"/>
        <v>492000</v>
      </c>
      <c r="BM42" s="22">
        <f t="shared" si="15"/>
        <v>492000</v>
      </c>
      <c r="BN42" s="22">
        <f t="shared" si="15"/>
        <v>492000</v>
      </c>
      <c r="BO42" s="22">
        <f t="shared" si="15"/>
        <v>492000</v>
      </c>
      <c r="BP42" s="22">
        <f t="shared" si="15"/>
        <v>492000</v>
      </c>
      <c r="BR42" s="23"/>
    </row>
    <row r="43" spans="1:72" x14ac:dyDescent="0.25">
      <c r="A43" t="str">
        <f>A42</f>
        <v>3C Aggregated and non-CO2 emissions on land</v>
      </c>
      <c r="D43" t="s">
        <v>372</v>
      </c>
      <c r="F43" t="s">
        <v>361</v>
      </c>
      <c r="H43" s="21">
        <v>341000</v>
      </c>
      <c r="I43" s="21">
        <v>302000</v>
      </c>
      <c r="J43" s="21">
        <v>118000</v>
      </c>
      <c r="K43" s="21">
        <v>515368</v>
      </c>
      <c r="L43" s="21">
        <v>520185</v>
      </c>
      <c r="M43" s="21">
        <v>290557</v>
      </c>
      <c r="N43" s="21">
        <v>535839</v>
      </c>
      <c r="O43" s="21">
        <v>433371</v>
      </c>
      <c r="P43" s="21">
        <v>358469</v>
      </c>
      <c r="Q43" s="21">
        <v>223530</v>
      </c>
      <c r="R43" s="21">
        <v>142000</v>
      </c>
      <c r="S43" s="21">
        <v>88000</v>
      </c>
      <c r="T43" s="21">
        <v>75000</v>
      </c>
      <c r="U43" s="21">
        <v>95000</v>
      </c>
      <c r="V43" s="21">
        <v>130000</v>
      </c>
      <c r="W43" s="21">
        <v>86000</v>
      </c>
      <c r="X43" s="21">
        <v>37000</v>
      </c>
      <c r="Y43" s="21">
        <v>69000</v>
      </c>
      <c r="Z43" s="21">
        <v>87000</v>
      </c>
      <c r="AA43" s="21">
        <v>86000</v>
      </c>
      <c r="AB43" s="21">
        <v>87000</v>
      </c>
      <c r="AC43" s="21">
        <v>69000</v>
      </c>
      <c r="AD43" s="22">
        <f>Data!$AD$45</f>
        <v>42000</v>
      </c>
      <c r="AE43" s="22">
        <f>Data!$AD$45</f>
        <v>42000</v>
      </c>
      <c r="AF43" s="22">
        <f>Data!$AD$45</f>
        <v>42000</v>
      </c>
      <c r="AG43" s="22">
        <f>Data!$AD$45</f>
        <v>42000</v>
      </c>
      <c r="AH43" s="22">
        <f>Data!$AD$45</f>
        <v>42000</v>
      </c>
      <c r="AI43" s="22">
        <f>Data!$AD$45</f>
        <v>42000</v>
      </c>
      <c r="AJ43" s="22">
        <f>Data!$AD$45</f>
        <v>42000</v>
      </c>
      <c r="AK43" s="22">
        <f>Data!$AD$45</f>
        <v>42000</v>
      </c>
      <c r="AL43" s="22">
        <f>Data!$AD$45</f>
        <v>42000</v>
      </c>
      <c r="AM43" s="22">
        <f>Data!$AD$45</f>
        <v>42000</v>
      </c>
      <c r="AN43" s="22">
        <f>Data!$AD$45</f>
        <v>42000</v>
      </c>
      <c r="AO43" s="22">
        <f>Data!$AD$45</f>
        <v>42000</v>
      </c>
      <c r="AP43" s="22">
        <f>Data!$AD$45</f>
        <v>42000</v>
      </c>
      <c r="AQ43" s="22">
        <f>Data!$AD$45</f>
        <v>42000</v>
      </c>
      <c r="AR43" s="22">
        <f>Data!$AD$45</f>
        <v>42000</v>
      </c>
      <c r="AS43" s="22">
        <f>Data!$AD$45</f>
        <v>42000</v>
      </c>
      <c r="AT43" s="22">
        <f>Data!$AD$45</f>
        <v>42000</v>
      </c>
      <c r="AU43" s="22">
        <f>Data!$AD$45</f>
        <v>42000</v>
      </c>
      <c r="AV43" s="22">
        <f>Data!$AD$45</f>
        <v>42000</v>
      </c>
      <c r="AW43" s="22">
        <f>Data!$AD$45</f>
        <v>42000</v>
      </c>
      <c r="AX43" s="22">
        <f>Data!$AD$45</f>
        <v>42000</v>
      </c>
      <c r="AY43" s="22">
        <f>Data!$AD$45</f>
        <v>42000</v>
      </c>
      <c r="AZ43" s="22">
        <f>Data!$AD$45</f>
        <v>42000</v>
      </c>
      <c r="BA43" s="22">
        <f>Data!$AD$45</f>
        <v>42000</v>
      </c>
      <c r="BB43" s="22">
        <f>Data!$AD$45</f>
        <v>42000</v>
      </c>
      <c r="BC43" s="22">
        <f>Data!$AD$45</f>
        <v>42000</v>
      </c>
      <c r="BD43" s="22">
        <f>Data!$AD$45</f>
        <v>42000</v>
      </c>
      <c r="BE43" s="22">
        <f>Data!$AD$45</f>
        <v>42000</v>
      </c>
      <c r="BF43" s="22">
        <f>Data!$AD$45</f>
        <v>42000</v>
      </c>
      <c r="BG43" s="22">
        <f>Data!$AD$45</f>
        <v>42000</v>
      </c>
      <c r="BH43" s="22">
        <f>Data!$AD$45</f>
        <v>42000</v>
      </c>
      <c r="BI43" s="22">
        <f>Data!$AD$45</f>
        <v>42000</v>
      </c>
      <c r="BJ43" s="22">
        <f>Data!$AD$45</f>
        <v>42000</v>
      </c>
      <c r="BK43" s="22">
        <f>Data!$AD$45</f>
        <v>42000</v>
      </c>
      <c r="BL43" s="22">
        <f>Data!$AD$45</f>
        <v>42000</v>
      </c>
      <c r="BM43" s="22">
        <f>Data!$AD$45</f>
        <v>42000</v>
      </c>
      <c r="BN43" s="22">
        <f>Data!$AD$45</f>
        <v>42000</v>
      </c>
      <c r="BO43" s="22">
        <f>Data!$AD$45</f>
        <v>42000</v>
      </c>
      <c r="BP43" s="22">
        <f>Data!$AD$45</f>
        <v>42000</v>
      </c>
      <c r="BR43" s="23"/>
    </row>
    <row r="44" spans="1:72" ht="18.75" customHeight="1" x14ac:dyDescent="0.25">
      <c r="A44" s="20" t="s">
        <v>373</v>
      </c>
      <c r="B44" s="20"/>
      <c r="C44" s="20"/>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5"/>
      <c r="AS44" s="15"/>
      <c r="AT44" s="15"/>
      <c r="AU44" s="15"/>
      <c r="AV44" s="15"/>
      <c r="AW44" s="15"/>
      <c r="AX44" s="15"/>
      <c r="AY44" s="15"/>
      <c r="AZ44" s="15"/>
      <c r="BA44" s="15"/>
      <c r="BB44" s="15"/>
      <c r="BC44" s="15"/>
      <c r="BD44" s="15"/>
      <c r="BE44" s="15"/>
      <c r="BF44" s="15"/>
      <c r="BG44" s="15"/>
      <c r="BH44" s="15"/>
      <c r="BI44" s="15"/>
      <c r="BJ44" s="15"/>
      <c r="BK44" s="15"/>
      <c r="BL44" s="15"/>
      <c r="BM44" s="15"/>
      <c r="BN44" s="15"/>
      <c r="BO44" s="15"/>
      <c r="BP44" s="15"/>
      <c r="BS44" s="16"/>
      <c r="BT44" s="15"/>
    </row>
    <row r="45" spans="1:72" x14ac:dyDescent="0.25">
      <c r="A45" t="str">
        <f>'IPCC Categories'!A59</f>
        <v>3C Aggregated and non-CO2 emissions on land</v>
      </c>
      <c r="B45" t="str">
        <f>'IPCC Categories'!B71</f>
        <v>3C2 Liming (CO2)</v>
      </c>
      <c r="C45" t="s">
        <v>383</v>
      </c>
      <c r="D45" t="s">
        <v>376</v>
      </c>
      <c r="E45" t="str">
        <f>C45&amp;D45</f>
        <v>Lime consumption - total</v>
      </c>
      <c r="F45" t="s">
        <v>321</v>
      </c>
      <c r="H45" s="21">
        <v>780000</v>
      </c>
      <c r="I45" s="21">
        <v>825000</v>
      </c>
      <c r="J45" s="21">
        <v>570000</v>
      </c>
      <c r="K45" s="21">
        <v>900000</v>
      </c>
      <c r="L45" s="21">
        <v>1299451</v>
      </c>
      <c r="M45" s="21">
        <v>1032745</v>
      </c>
      <c r="N45" s="21">
        <v>1263570</v>
      </c>
      <c r="O45" s="21">
        <v>1193985</v>
      </c>
      <c r="P45" s="21">
        <v>1244321</v>
      </c>
      <c r="Q45" s="21">
        <v>1237174</v>
      </c>
      <c r="R45" s="21">
        <v>825252</v>
      </c>
      <c r="S45" s="21">
        <v>1068357</v>
      </c>
      <c r="T45" s="21">
        <v>1467915</v>
      </c>
      <c r="U45" s="21">
        <v>1265742</v>
      </c>
      <c r="V45" s="21">
        <v>1264888</v>
      </c>
      <c r="W45" s="21">
        <v>580444</v>
      </c>
      <c r="X45" s="21">
        <v>963118</v>
      </c>
      <c r="Y45" s="21">
        <v>1137646</v>
      </c>
      <c r="Z45" s="21">
        <v>1429803</v>
      </c>
      <c r="AA45" s="21">
        <v>1517602.3688259386</v>
      </c>
      <c r="AB45" s="21">
        <v>1425245.0325037544</v>
      </c>
      <c r="AC45" s="21">
        <v>1576608.4448095565</v>
      </c>
      <c r="AD45" s="22">
        <f>AC45*(AD41/AC41)</f>
        <v>1934109.6399867192</v>
      </c>
      <c r="AE45" s="22">
        <f t="shared" ref="AE45:BP45" si="16">AD45*(AE41/AD41)</f>
        <v>1938702.9827274648</v>
      </c>
      <c r="AF45" s="22">
        <f t="shared" si="16"/>
        <v>1946599.7883197449</v>
      </c>
      <c r="AG45" s="22">
        <f t="shared" si="16"/>
        <v>1952036.6102247264</v>
      </c>
      <c r="AH45" s="22">
        <f t="shared" si="16"/>
        <v>1955499.8983957856</v>
      </c>
      <c r="AI45" s="22">
        <f t="shared" si="16"/>
        <v>1957684.8971304079</v>
      </c>
      <c r="AJ45" s="22">
        <f t="shared" si="16"/>
        <v>1960736.6153642246</v>
      </c>
      <c r="AK45" s="22">
        <f t="shared" si="16"/>
        <v>1964298.9255427576</v>
      </c>
      <c r="AL45" s="22">
        <f t="shared" si="16"/>
        <v>1967703.4111356291</v>
      </c>
      <c r="AM45" s="22">
        <f t="shared" si="16"/>
        <v>1941515.0604781096</v>
      </c>
      <c r="AN45" s="22">
        <f t="shared" si="16"/>
        <v>1948309.2521122803</v>
      </c>
      <c r="AO45" s="22">
        <f t="shared" si="16"/>
        <v>1955073.8922735164</v>
      </c>
      <c r="AP45" s="22">
        <f t="shared" si="16"/>
        <v>1962421.2169831183</v>
      </c>
      <c r="AQ45" s="22">
        <f t="shared" si="16"/>
        <v>1970108.4591734423</v>
      </c>
      <c r="AR45" s="22">
        <f t="shared" si="16"/>
        <v>1977587.2055730599</v>
      </c>
      <c r="AS45" s="22">
        <f t="shared" si="16"/>
        <v>1985984.9771950799</v>
      </c>
      <c r="AT45" s="22">
        <f t="shared" si="16"/>
        <v>1994521.0103579189</v>
      </c>
      <c r="AU45" s="22">
        <f t="shared" si="16"/>
        <v>2003333.2698335019</v>
      </c>
      <c r="AV45" s="22">
        <f t="shared" si="16"/>
        <v>2012247.740127855</v>
      </c>
      <c r="AW45" s="22">
        <f t="shared" si="16"/>
        <v>2019722.3012277451</v>
      </c>
      <c r="AX45" s="22">
        <f t="shared" si="16"/>
        <v>2028860.0188701269</v>
      </c>
      <c r="AY45" s="22">
        <f t="shared" si="16"/>
        <v>2038002.8217988077</v>
      </c>
      <c r="AZ45" s="22">
        <f t="shared" si="16"/>
        <v>2047201.2819625628</v>
      </c>
      <c r="BA45" s="22">
        <f t="shared" si="16"/>
        <v>2055873.3193544799</v>
      </c>
      <c r="BB45" s="22">
        <f t="shared" si="16"/>
        <v>2064838.1739253446</v>
      </c>
      <c r="BC45" s="22">
        <f t="shared" si="16"/>
        <v>2074087.9203481311</v>
      </c>
      <c r="BD45" s="22">
        <f t="shared" si="16"/>
        <v>2083455.9874906554</v>
      </c>
      <c r="BE45" s="22">
        <f t="shared" si="16"/>
        <v>2092543.456642047</v>
      </c>
      <c r="BF45" s="22">
        <f t="shared" si="16"/>
        <v>2101747.0428592465</v>
      </c>
      <c r="BG45" s="22">
        <f t="shared" si="16"/>
        <v>2111285.0500575053</v>
      </c>
      <c r="BH45" s="22">
        <f t="shared" si="16"/>
        <v>2121031.2431808915</v>
      </c>
      <c r="BI45" s="22">
        <f t="shared" si="16"/>
        <v>2130937.6581892986</v>
      </c>
      <c r="BJ45" s="22">
        <f t="shared" si="16"/>
        <v>2141005.3205712652</v>
      </c>
      <c r="BK45" s="22">
        <f t="shared" si="16"/>
        <v>2151222.7722643716</v>
      </c>
      <c r="BL45" s="22">
        <f t="shared" si="16"/>
        <v>2161658.8313647467</v>
      </c>
      <c r="BM45" s="22">
        <f t="shared" si="16"/>
        <v>2171306.5208799466</v>
      </c>
      <c r="BN45" s="22">
        <f t="shared" si="16"/>
        <v>2181138.7819484188</v>
      </c>
      <c r="BO45" s="22">
        <f t="shared" si="16"/>
        <v>2191212.9425443211</v>
      </c>
      <c r="BP45" s="22">
        <f t="shared" si="16"/>
        <v>2201547.2339190547</v>
      </c>
      <c r="BR45" s="23"/>
    </row>
    <row r="46" spans="1:72" x14ac:dyDescent="0.25">
      <c r="A46" t="str">
        <f>A45</f>
        <v>3C Aggregated and non-CO2 emissions on land</v>
      </c>
      <c r="B46" t="str">
        <f>'IPCC Categories'!B72</f>
        <v>3C3 Urea application (CO2)</v>
      </c>
      <c r="C46" t="s">
        <v>114</v>
      </c>
      <c r="D46" t="s">
        <v>376</v>
      </c>
      <c r="E46" t="str">
        <f>C46&amp;D46</f>
        <v>Urea application - total</v>
      </c>
      <c r="F46" t="s">
        <v>321</v>
      </c>
      <c r="H46" s="21">
        <v>124083.5011138469</v>
      </c>
      <c r="I46" s="21">
        <v>152218.50271143019</v>
      </c>
      <c r="J46" s="21">
        <v>180353.50430901349</v>
      </c>
      <c r="K46" s="21">
        <v>208488.50590658933</v>
      </c>
      <c r="L46" s="21">
        <v>236623.50750417262</v>
      </c>
      <c r="M46" s="21">
        <v>264758.50910175592</v>
      </c>
      <c r="N46" s="21">
        <v>292893.51069933921</v>
      </c>
      <c r="O46" s="21">
        <v>321028.5122969225</v>
      </c>
      <c r="P46" s="21">
        <v>349163.5138945058</v>
      </c>
      <c r="Q46" s="21">
        <v>377298.51549208909</v>
      </c>
      <c r="R46" s="21">
        <v>405433.51708967239</v>
      </c>
      <c r="S46" s="21">
        <v>433568.51868725568</v>
      </c>
      <c r="T46" s="21">
        <v>461703.52028483152</v>
      </c>
      <c r="U46" s="21">
        <v>489838.52188241482</v>
      </c>
      <c r="V46" s="21">
        <v>594407</v>
      </c>
      <c r="W46" s="21">
        <v>484209</v>
      </c>
      <c r="X46" s="21">
        <v>536026</v>
      </c>
      <c r="Y46" s="21">
        <v>660755</v>
      </c>
      <c r="Z46" s="21">
        <v>654808</v>
      </c>
      <c r="AA46" s="21">
        <v>518924</v>
      </c>
      <c r="AB46" s="21">
        <v>683837</v>
      </c>
      <c r="AC46" s="21">
        <v>778897</v>
      </c>
      <c r="AD46" s="22">
        <f>((Data!$AJ$48*'Activity data'!AD47)+Data!$AK$48)</f>
        <v>641039.33073872479</v>
      </c>
      <c r="AE46" s="22">
        <f>((Data!$AJ$48*'Activity data'!AE47)+Data!$AK$48)</f>
        <v>640966.99755173351</v>
      </c>
      <c r="AF46" s="22">
        <f>((Data!$AJ$48*'Activity data'!AF47)+Data!$AK$48)</f>
        <v>640842.64342712774</v>
      </c>
      <c r="AG46" s="22">
        <f>((Data!$AJ$48*'Activity data'!AG47)+Data!$AK$48)</f>
        <v>640757.02763974003</v>
      </c>
      <c r="AH46" s="22">
        <f>((Data!$AJ$48*'Activity data'!AH47)+Data!$AK$48)</f>
        <v>640702.48986953194</v>
      </c>
      <c r="AI46" s="22">
        <f>((Data!$AJ$48*'Activity data'!AI47)+Data!$AK$48)</f>
        <v>640668.08182925114</v>
      </c>
      <c r="AJ46" s="22">
        <f>((Data!$AJ$48*'Activity data'!AJ47)+Data!$AK$48)</f>
        <v>640620.02521381655</v>
      </c>
      <c r="AK46" s="22">
        <f>((Data!$AJ$48*'Activity data'!AK47)+Data!$AK$48)</f>
        <v>640563.92810484651</v>
      </c>
      <c r="AL46" s="22">
        <f>((Data!$AJ$48*'Activity data'!AL47)+Data!$AK$48)</f>
        <v>640510.31632212154</v>
      </c>
      <c r="AM46" s="22">
        <f>((Data!$AJ$48*'Activity data'!AM47)+Data!$AK$48)</f>
        <v>640922.71464987937</v>
      </c>
      <c r="AN46" s="22">
        <f>((Data!$AJ$48*'Activity data'!AN47)+Data!$AK$48)</f>
        <v>640815.72382388043</v>
      </c>
      <c r="AO46" s="22">
        <f>((Data!$AJ$48*'Activity data'!AO47)+Data!$AK$48)</f>
        <v>640709.19835662749</v>
      </c>
      <c r="AP46" s="22">
        <f>((Data!$AJ$48*'Activity data'!AP47)+Data!$AK$48)</f>
        <v>640593.49712506239</v>
      </c>
      <c r="AQ46" s="22">
        <f>((Data!$AJ$48*'Activity data'!AQ47)+Data!$AK$48)</f>
        <v>640472.4430783292</v>
      </c>
      <c r="AR46" s="22">
        <f>((Data!$AJ$48*'Activity data'!AR47)+Data!$AK$48)</f>
        <v>640354.67229737167</v>
      </c>
      <c r="AS46" s="22">
        <f>((Data!$AJ$48*'Activity data'!AS47)+Data!$AK$48)</f>
        <v>640222.42926232517</v>
      </c>
      <c r="AT46" s="22">
        <f>((Data!$AJ$48*'Activity data'!AT47)+Data!$AK$48)</f>
        <v>640088.00896804722</v>
      </c>
      <c r="AU46" s="22">
        <f>((Data!$AJ$48*'Activity data'!AU47)+Data!$AK$48)</f>
        <v>639949.23882864334</v>
      </c>
      <c r="AV46" s="22">
        <f>((Data!$AJ$48*'Activity data'!AV47)+Data!$AK$48)</f>
        <v>639808.85913500353</v>
      </c>
      <c r="AW46" s="22">
        <f>((Data!$AJ$48*'Activity data'!AW47)+Data!$AK$48)</f>
        <v>639691.15426161792</v>
      </c>
      <c r="AX46" s="22">
        <f>((Data!$AJ$48*'Activity data'!AX47)+Data!$AK$48)</f>
        <v>639547.25900358811</v>
      </c>
      <c r="AY46" s="22">
        <f>((Data!$AJ$48*'Activity data'!AY47)+Data!$AK$48)</f>
        <v>639403.28366554109</v>
      </c>
      <c r="AZ46" s="22">
        <f>((Data!$AJ$48*'Activity data'!AZ47)+Data!$AK$48)</f>
        <v>639258.4318709746</v>
      </c>
      <c r="BA46" s="22">
        <f>((Data!$AJ$48*'Activity data'!BA47)+Data!$AK$48)</f>
        <v>639121.86986424692</v>
      </c>
      <c r="BB46" s="22">
        <f>((Data!$AJ$48*'Activity data'!BB47)+Data!$AK$48)</f>
        <v>638980.6967494539</v>
      </c>
      <c r="BC46" s="22">
        <f>((Data!$AJ$48*'Activity data'!BC47)+Data!$AK$48)</f>
        <v>638835.03732985817</v>
      </c>
      <c r="BD46" s="22">
        <f>((Data!$AJ$48*'Activity data'!BD47)+Data!$AK$48)</f>
        <v>638687.51466703671</v>
      </c>
      <c r="BE46" s="22">
        <f>((Data!$AJ$48*'Activity data'!BE47)+Data!$AK$48)</f>
        <v>638544.41069189156</v>
      </c>
      <c r="BF46" s="22">
        <f>((Data!$AJ$48*'Activity data'!BF47)+Data!$AK$48)</f>
        <v>638399.47817533172</v>
      </c>
      <c r="BG46" s="22">
        <f>((Data!$AJ$48*'Activity data'!BG47)+Data!$AK$48)</f>
        <v>638249.27939916041</v>
      </c>
      <c r="BH46" s="22">
        <f>((Data!$AJ$48*'Activity data'!BH47)+Data!$AK$48)</f>
        <v>638095.8022367896</v>
      </c>
      <c r="BI46" s="22">
        <f>((Data!$AJ$48*'Activity data'!BI47)+Data!$AK$48)</f>
        <v>637939.80199695134</v>
      </c>
      <c r="BJ46" s="22">
        <f>((Data!$AJ$48*'Activity data'!BJ47)+Data!$AK$48)</f>
        <v>637781.26253087155</v>
      </c>
      <c r="BK46" s="22">
        <f>((Data!$AJ$48*'Activity data'!BK47)+Data!$AK$48)</f>
        <v>637620.36427319632</v>
      </c>
      <c r="BL46" s="22">
        <f>((Data!$AJ$48*'Activity data'!BL47)+Data!$AK$48)</f>
        <v>637456.02351811563</v>
      </c>
      <c r="BM46" s="22">
        <f>((Data!$AJ$48*'Activity data'!BM47)+Data!$AK$48)</f>
        <v>637304.09753106791</v>
      </c>
      <c r="BN46" s="22">
        <f>((Data!$AJ$48*'Activity data'!BN47)+Data!$AK$48)</f>
        <v>637149.26502268494</v>
      </c>
      <c r="BO46" s="22">
        <f>((Data!$AJ$48*'Activity data'!BO47)+Data!$AK$48)</f>
        <v>636990.62322665716</v>
      </c>
      <c r="BP46" s="22">
        <f>((Data!$AJ$48*'Activity data'!BP47)+Data!$AK$48)</f>
        <v>636827.88504824962</v>
      </c>
      <c r="BR46" s="23"/>
    </row>
    <row r="47" spans="1:72" x14ac:dyDescent="0.25">
      <c r="A47" t="str">
        <f>A45</f>
        <v>3C Aggregated and non-CO2 emissions on land</v>
      </c>
      <c r="B47" t="str">
        <f>'IPCC Categories'!B73</f>
        <v>3C4 Direct N2O from managed soils (N2O)</v>
      </c>
      <c r="C47" t="s">
        <v>384</v>
      </c>
      <c r="D47" t="s">
        <v>376</v>
      </c>
      <c r="E47" t="str">
        <f>C47&amp;D47</f>
        <v>Inorganic N application - total</v>
      </c>
      <c r="F47" t="s">
        <v>321</v>
      </c>
      <c r="H47" s="21">
        <v>343689</v>
      </c>
      <c r="I47" s="21">
        <v>365035</v>
      </c>
      <c r="J47" s="21">
        <v>347525</v>
      </c>
      <c r="K47" s="21">
        <v>408459</v>
      </c>
      <c r="L47" s="21">
        <v>375066</v>
      </c>
      <c r="M47" s="21">
        <v>371491</v>
      </c>
      <c r="N47" s="21">
        <v>415084</v>
      </c>
      <c r="O47" s="21">
        <v>406914</v>
      </c>
      <c r="P47" s="21">
        <v>415521</v>
      </c>
      <c r="Q47" s="21">
        <v>413045</v>
      </c>
      <c r="R47" s="21">
        <v>415933</v>
      </c>
      <c r="S47" s="21">
        <v>395813</v>
      </c>
      <c r="T47" s="21">
        <v>477072</v>
      </c>
      <c r="U47" s="21">
        <v>420827</v>
      </c>
      <c r="V47" s="21">
        <v>427571</v>
      </c>
      <c r="W47" s="21">
        <v>347260</v>
      </c>
      <c r="X47" s="21">
        <v>428719</v>
      </c>
      <c r="Y47" s="21">
        <v>439480</v>
      </c>
      <c r="Z47" s="21">
        <v>424123</v>
      </c>
      <c r="AA47" s="21">
        <v>453777</v>
      </c>
      <c r="AB47" s="21">
        <v>395000</v>
      </c>
      <c r="AC47" s="21">
        <v>419000</v>
      </c>
      <c r="AD47" s="22">
        <f>((Data!$AJ$49*'Activity data'!AD41)+Data!$AK$49)</f>
        <v>420412.44040319067</v>
      </c>
      <c r="AE47" s="22">
        <f>((Data!$AJ$49*'Activity data'!AE41)+Data!$AK$49)</f>
        <v>420359.23763386183</v>
      </c>
      <c r="AF47" s="22">
        <f>((Data!$AJ$49*'Activity data'!AF41)+Data!$AK$49)</f>
        <v>420267.77223489777</v>
      </c>
      <c r="AG47" s="22">
        <f>((Data!$AJ$49*'Activity data'!AG41)+Data!$AK$49)</f>
        <v>420204.79979891411</v>
      </c>
      <c r="AH47" s="22">
        <f>((Data!$AJ$49*'Activity data'!AH41)+Data!$AK$49)</f>
        <v>420164.68597939663</v>
      </c>
      <c r="AI47" s="22">
        <f>((Data!$AJ$49*'Activity data'!AI41)+Data!$AK$49)</f>
        <v>420139.37805220217</v>
      </c>
      <c r="AJ47" s="22">
        <f>((Data!$AJ$49*'Activity data'!AJ41)+Data!$AK$49)</f>
        <v>420104.03127526556</v>
      </c>
      <c r="AK47" s="22">
        <f>((Data!$AJ$49*'Activity data'!AK41)+Data!$AK$49)</f>
        <v>420062.77052521851</v>
      </c>
      <c r="AL47" s="22">
        <f>((Data!$AJ$49*'Activity data'!AL41)+Data!$AK$49)</f>
        <v>420023.33779138955</v>
      </c>
      <c r="AM47" s="22">
        <f>((Data!$AJ$49*'Activity data'!AM41)+Data!$AK$49)</f>
        <v>420326.66651249194</v>
      </c>
      <c r="AN47" s="22">
        <f>((Data!$AJ$49*'Activity data'!AN41)+Data!$AK$49)</f>
        <v>420247.97223020328</v>
      </c>
      <c r="AO47" s="22">
        <f>((Data!$AJ$49*'Activity data'!AO41)+Data!$AK$49)</f>
        <v>420169.62023027556</v>
      </c>
      <c r="AP47" s="22">
        <f>((Data!$AJ$49*'Activity data'!AP41)+Data!$AK$49)</f>
        <v>420084.51923873805</v>
      </c>
      <c r="AQ47" s="22">
        <f>((Data!$AJ$49*'Activity data'!AQ41)+Data!$AK$49)</f>
        <v>419995.48112507869</v>
      </c>
      <c r="AR47" s="22">
        <f>((Data!$AJ$49*'Activity data'!AR41)+Data!$AK$49)</f>
        <v>419908.85793102911</v>
      </c>
      <c r="AS47" s="22">
        <f>((Data!$AJ$49*'Activity data'!AS41)+Data!$AK$49)</f>
        <v>419811.5900519049</v>
      </c>
      <c r="AT47" s="22">
        <f>((Data!$AJ$49*'Activity data'!AT41)+Data!$AK$49)</f>
        <v>419712.72074713535</v>
      </c>
      <c r="AU47" s="22">
        <f>((Data!$AJ$49*'Activity data'!AU41)+Data!$AK$49)</f>
        <v>419610.65202842496</v>
      </c>
      <c r="AV47" s="22">
        <f>((Data!$AJ$49*'Activity data'!AV41)+Data!$AK$49)</f>
        <v>419507.39944451646</v>
      </c>
      <c r="AW47" s="22">
        <f>((Data!$AJ$49*'Activity data'!AW41)+Data!$AK$49)</f>
        <v>419420.8247270445</v>
      </c>
      <c r="AX47" s="22">
        <f>((Data!$AJ$49*'Activity data'!AX41)+Data!$AK$49)</f>
        <v>419314.98636240268</v>
      </c>
      <c r="AY47" s="22">
        <f>((Data!$AJ$49*'Activity data'!AY41)+Data!$AK$49)</f>
        <v>419209.08909701486</v>
      </c>
      <c r="AZ47" s="22">
        <f>((Data!$AJ$49*'Activity data'!AZ41)+Data!$AK$49)</f>
        <v>419102.54717713333</v>
      </c>
      <c r="BA47" s="22">
        <f>((Data!$AJ$49*'Activity data'!BA41)+Data!$AK$49)</f>
        <v>419002.10259221686</v>
      </c>
      <c r="BB47" s="22">
        <f>((Data!$AJ$49*'Activity data'!BB41)+Data!$AK$49)</f>
        <v>418898.26642828999</v>
      </c>
      <c r="BC47" s="22">
        <f>((Data!$AJ$49*'Activity data'!BC41)+Data!$AK$49)</f>
        <v>418791.13048110349</v>
      </c>
      <c r="BD47" s="22">
        <f>((Data!$AJ$49*'Activity data'!BD41)+Data!$AK$49)</f>
        <v>418682.62407446856</v>
      </c>
      <c r="BE47" s="22">
        <f>((Data!$AJ$49*'Activity data'!BE41)+Data!$AK$49)</f>
        <v>418577.36771709815</v>
      </c>
      <c r="BF47" s="22">
        <f>((Data!$AJ$49*'Activity data'!BF41)+Data!$AK$49)</f>
        <v>418470.76642428187</v>
      </c>
      <c r="BG47" s="22">
        <f>((Data!$AJ$49*'Activity data'!BG41)+Data!$AK$49)</f>
        <v>418360.29167300224</v>
      </c>
      <c r="BH47" s="22">
        <f>((Data!$AJ$49*'Activity data'!BH41)+Data!$AK$49)</f>
        <v>418247.40559115633</v>
      </c>
      <c r="BI47" s="22">
        <f>((Data!$AJ$49*'Activity data'!BI41)+Data!$AK$49)</f>
        <v>418132.66372617579</v>
      </c>
      <c r="BJ47" s="22">
        <f>((Data!$AJ$49*'Activity data'!BJ41)+Data!$AK$49)</f>
        <v>418016.05420025531</v>
      </c>
      <c r="BK47" s="22">
        <f>((Data!$AJ$49*'Activity data'!BK41)+Data!$AK$49)</f>
        <v>417897.7097273434</v>
      </c>
      <c r="BL47" s="22">
        <f>((Data!$AJ$49*'Activity data'!BL41)+Data!$AK$49)</f>
        <v>417776.83321619302</v>
      </c>
      <c r="BM47" s="22">
        <f>((Data!$AJ$49*'Activity data'!BM41)+Data!$AK$49)</f>
        <v>417665.08806047437</v>
      </c>
      <c r="BN47" s="22">
        <f>((Data!$AJ$49*'Activity data'!BN41)+Data!$AK$49)</f>
        <v>417551.20508958981</v>
      </c>
      <c r="BO47" s="22">
        <f>((Data!$AJ$49*'Activity data'!BO41)+Data!$AK$49)</f>
        <v>417434.52029757306</v>
      </c>
      <c r="BP47" s="22">
        <f>((Data!$AJ$49*'Activity data'!BP41)+Data!$AK$49)</f>
        <v>417314.82251945825</v>
      </c>
      <c r="BR47" s="23"/>
    </row>
    <row r="48" spans="1:72" x14ac:dyDescent="0.25">
      <c r="A48" t="str">
        <f>A47</f>
        <v>3C Aggregated and non-CO2 emissions on land</v>
      </c>
      <c r="B48" t="str">
        <f>B47</f>
        <v>3C4 Direct N2O from managed soils (N2O)</v>
      </c>
      <c r="C48" t="s">
        <v>390</v>
      </c>
      <c r="D48" t="s">
        <v>376</v>
      </c>
      <c r="E48" t="str">
        <f>C48&amp;D48</f>
        <v>Compost N - total</v>
      </c>
      <c r="F48" t="s">
        <v>321</v>
      </c>
      <c r="H48" s="22">
        <f t="shared" ref="H48:AM48" si="17">H47*0.05*0.33*0.8*0.5</f>
        <v>2268.3474000000001</v>
      </c>
      <c r="I48" s="22">
        <f t="shared" si="17"/>
        <v>2409.2310000000002</v>
      </c>
      <c r="J48" s="22">
        <f t="shared" si="17"/>
        <v>2293.6650000000004</v>
      </c>
      <c r="K48" s="22">
        <f t="shared" si="17"/>
        <v>2695.8294000000005</v>
      </c>
      <c r="L48" s="22">
        <f t="shared" si="17"/>
        <v>2475.4356000000002</v>
      </c>
      <c r="M48" s="22">
        <f t="shared" si="17"/>
        <v>2451.8406</v>
      </c>
      <c r="N48" s="22">
        <f t="shared" si="17"/>
        <v>2739.5544000000004</v>
      </c>
      <c r="O48" s="22">
        <f t="shared" si="17"/>
        <v>2685.6324000000004</v>
      </c>
      <c r="P48" s="22">
        <f t="shared" si="17"/>
        <v>2742.4386000000009</v>
      </c>
      <c r="Q48" s="22">
        <f t="shared" si="17"/>
        <v>2726.0970000000002</v>
      </c>
      <c r="R48" s="22">
        <f t="shared" si="17"/>
        <v>2745.1578000000009</v>
      </c>
      <c r="S48" s="22">
        <f t="shared" si="17"/>
        <v>2612.3658000000005</v>
      </c>
      <c r="T48" s="22">
        <f t="shared" si="17"/>
        <v>3148.6752000000006</v>
      </c>
      <c r="U48" s="22">
        <f t="shared" si="17"/>
        <v>2777.4582000000009</v>
      </c>
      <c r="V48" s="22">
        <f t="shared" si="17"/>
        <v>2821.9686000000006</v>
      </c>
      <c r="W48" s="22">
        <f t="shared" si="17"/>
        <v>2291.9160000000002</v>
      </c>
      <c r="X48" s="22">
        <f t="shared" si="17"/>
        <v>2829.5454000000004</v>
      </c>
      <c r="Y48" s="22">
        <f t="shared" si="17"/>
        <v>2900.5680000000002</v>
      </c>
      <c r="Z48" s="22">
        <f t="shared" si="17"/>
        <v>2799.2118000000005</v>
      </c>
      <c r="AA48" s="22">
        <f t="shared" si="17"/>
        <v>2994.9282000000003</v>
      </c>
      <c r="AB48" s="22">
        <f t="shared" si="17"/>
        <v>2607</v>
      </c>
      <c r="AC48" s="22">
        <f t="shared" si="17"/>
        <v>2765.4</v>
      </c>
      <c r="AD48" s="22">
        <f t="shared" ref="AD48:AI48" si="18">AD47*0.05*0.33*0.8*0.5</f>
        <v>2774.7221066610591</v>
      </c>
      <c r="AE48" s="22">
        <f t="shared" si="18"/>
        <v>2774.3709683834886</v>
      </c>
      <c r="AF48" s="22">
        <f t="shared" si="18"/>
        <v>2773.7672967503258</v>
      </c>
      <c r="AG48" s="22">
        <f t="shared" si="18"/>
        <v>2773.3516786728342</v>
      </c>
      <c r="AH48" s="22">
        <f t="shared" si="18"/>
        <v>2773.0869274640186</v>
      </c>
      <c r="AI48" s="22">
        <f t="shared" si="18"/>
        <v>2772.9198951445351</v>
      </c>
      <c r="AJ48" s="22">
        <f t="shared" si="17"/>
        <v>2772.6866064167534</v>
      </c>
      <c r="AK48" s="22">
        <f t="shared" si="17"/>
        <v>2772.4142854664424</v>
      </c>
      <c r="AL48" s="22">
        <f t="shared" si="17"/>
        <v>2772.1540294231713</v>
      </c>
      <c r="AM48" s="22">
        <f t="shared" si="17"/>
        <v>2774.1559989824473</v>
      </c>
      <c r="AN48" s="22">
        <f t="shared" ref="AN48:BP48" si="19">AN47*0.05*0.33*0.8*0.5</f>
        <v>2773.6366167193423</v>
      </c>
      <c r="AO48" s="22">
        <f t="shared" si="19"/>
        <v>2773.1194935198196</v>
      </c>
      <c r="AP48" s="22">
        <f t="shared" si="19"/>
        <v>2772.5578269756716</v>
      </c>
      <c r="AQ48" s="22">
        <f t="shared" si="19"/>
        <v>2771.9701754255202</v>
      </c>
      <c r="AR48" s="22">
        <f t="shared" si="19"/>
        <v>2771.3984623447923</v>
      </c>
      <c r="AS48" s="22">
        <f t="shared" si="19"/>
        <v>2770.7564943425732</v>
      </c>
      <c r="AT48" s="22">
        <f t="shared" si="19"/>
        <v>2770.1039569310942</v>
      </c>
      <c r="AU48" s="22">
        <f t="shared" si="19"/>
        <v>2769.4303033876049</v>
      </c>
      <c r="AV48" s="22">
        <f t="shared" si="19"/>
        <v>2768.7488363338089</v>
      </c>
      <c r="AW48" s="22">
        <f t="shared" si="19"/>
        <v>2768.1774431984941</v>
      </c>
      <c r="AX48" s="22">
        <f t="shared" si="19"/>
        <v>2767.478909991858</v>
      </c>
      <c r="AY48" s="22">
        <f t="shared" si="19"/>
        <v>2766.7799880402986</v>
      </c>
      <c r="AZ48" s="22">
        <f t="shared" si="19"/>
        <v>2766.0768113690806</v>
      </c>
      <c r="BA48" s="22">
        <f t="shared" si="19"/>
        <v>2765.4138771086318</v>
      </c>
      <c r="BB48" s="22">
        <f t="shared" si="19"/>
        <v>2764.7285584267142</v>
      </c>
      <c r="BC48" s="22">
        <f t="shared" si="19"/>
        <v>2764.0214611752835</v>
      </c>
      <c r="BD48" s="22">
        <f t="shared" si="19"/>
        <v>2763.3053188914932</v>
      </c>
      <c r="BE48" s="22">
        <f t="shared" si="19"/>
        <v>2762.6106269328484</v>
      </c>
      <c r="BF48" s="22">
        <f t="shared" si="19"/>
        <v>2761.9070584002607</v>
      </c>
      <c r="BG48" s="22">
        <f t="shared" si="19"/>
        <v>2761.1779250418153</v>
      </c>
      <c r="BH48" s="22">
        <f t="shared" si="19"/>
        <v>2760.432876901632</v>
      </c>
      <c r="BI48" s="22">
        <f t="shared" si="19"/>
        <v>2759.6755805927605</v>
      </c>
      <c r="BJ48" s="22">
        <f t="shared" si="19"/>
        <v>2758.9059577216854</v>
      </c>
      <c r="BK48" s="22">
        <f t="shared" si="19"/>
        <v>2758.124884200467</v>
      </c>
      <c r="BL48" s="22">
        <f t="shared" si="19"/>
        <v>2757.3270992268745</v>
      </c>
      <c r="BM48" s="22">
        <f t="shared" si="19"/>
        <v>2756.5895811991313</v>
      </c>
      <c r="BN48" s="22">
        <f t="shared" si="19"/>
        <v>2755.8379535912936</v>
      </c>
      <c r="BO48" s="22">
        <f t="shared" si="19"/>
        <v>2755.067833963983</v>
      </c>
      <c r="BP48" s="22">
        <f t="shared" si="19"/>
        <v>2754.2778286284247</v>
      </c>
      <c r="BR48" s="23"/>
    </row>
    <row r="49" spans="1:72" ht="18.75" customHeight="1" x14ac:dyDescent="0.25">
      <c r="A49" s="20" t="s">
        <v>629</v>
      </c>
      <c r="B49" s="20"/>
      <c r="C49" s="20"/>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5"/>
      <c r="AS49" s="15"/>
      <c r="AT49" s="15"/>
      <c r="AU49" s="15"/>
      <c r="AV49" s="15"/>
      <c r="AW49" s="15"/>
      <c r="AX49" s="15"/>
      <c r="AY49" s="15"/>
      <c r="AZ49" s="15"/>
      <c r="BA49" s="15"/>
      <c r="BB49" s="15"/>
      <c r="BC49" s="15"/>
      <c r="BD49" s="15"/>
      <c r="BE49" s="15"/>
      <c r="BF49" s="15"/>
      <c r="BG49" s="15"/>
      <c r="BH49" s="15"/>
      <c r="BI49" s="15"/>
      <c r="BJ49" s="15"/>
      <c r="BK49" s="15"/>
      <c r="BL49" s="15"/>
      <c r="BM49" s="15"/>
      <c r="BN49" s="15"/>
      <c r="BO49" s="15"/>
      <c r="BP49" s="15"/>
      <c r="BS49" s="16"/>
      <c r="BT49" s="15"/>
    </row>
    <row r="50" spans="1:72" x14ac:dyDescent="0.25">
      <c r="A50" t="str">
        <f>Constants!A130</f>
        <v>3C Aggregated and non-CO2 emissions on land</v>
      </c>
      <c r="B50" t="str">
        <f>Constants!B130</f>
        <v>3C4 Direct N2O from managed soils (N2O)</v>
      </c>
      <c r="C50" t="s">
        <v>409</v>
      </c>
      <c r="D50" t="str">
        <f>Constants!D115</f>
        <v xml:space="preserve"> - TMR</v>
      </c>
      <c r="E50" t="str">
        <f>C50&amp;D50</f>
        <v>MM N available - TMR</v>
      </c>
      <c r="F50" t="s">
        <v>407</v>
      </c>
      <c r="H50" s="22">
        <f>((H5*Constants!$H63*Constants!$H81*(1-Constants!$H99))+(H5*Constants!$H63*Constants!$H115))</f>
        <v>16768553.295054734</v>
      </c>
      <c r="I50" s="22">
        <f>((I5*Constants!$H63*Constants!$H81*(1-Constants!$H99))+(I5*Constants!$H63*Constants!$H115))</f>
        <v>19304960.418965299</v>
      </c>
      <c r="J50" s="22">
        <f>((J5*Constants!$H63*Constants!$H81*(1-Constants!$H99))+(J5*Constants!$H63*Constants!$H115))</f>
        <v>16701288.624605378</v>
      </c>
      <c r="K50" s="22">
        <f>((K5*Constants!$H63*Constants!$H81*(1-Constants!$H99))+(K5*Constants!$H63*Constants!$H115))</f>
        <v>17713281.812601872</v>
      </c>
      <c r="L50" s="22">
        <f>((L5*Constants!$H63*Constants!$H81*(1-Constants!$H99))+(L5*Constants!$H63*Constants!$H115))</f>
        <v>16432229.94280795</v>
      </c>
      <c r="M50" s="22">
        <f>((M5*Constants!$H63*Constants!$H81*(1-Constants!$H99))+(M5*Constants!$H63*Constants!$H115))</f>
        <v>17578752.471703161</v>
      </c>
      <c r="N50" s="22">
        <f>((N5*Constants!$H63*Constants!$H81*(1-Constants!$H99))+(N5*Constants!$H63*Constants!$H115))</f>
        <v>17646017.142152518</v>
      </c>
      <c r="O50" s="22">
        <f>((O5*Constants!$H63*Constants!$H81*(1-Constants!$H99))+(O5*Constants!$H63*Constants!$H115))</f>
        <v>17011915.361174878</v>
      </c>
      <c r="P50" s="22">
        <f>((P5*Constants!$H63*Constants!$H81*(1-Constants!$H99))+(P5*Constants!$H63*Constants!$H115))</f>
        <v>16810121.349826809</v>
      </c>
      <c r="Q50" s="22">
        <f>((Q5*Constants!$H63*Constants!$H81*(1-Constants!$H99))+(Q5*Constants!$H63*Constants!$H115))</f>
        <v>16512342.921095951</v>
      </c>
      <c r="R50" s="22">
        <f>((R5*Constants!$H63*Constants!$H81*(1-Constants!$H99))+(R5*Constants!$H63*Constants!$H115))</f>
        <v>21261682.124508936</v>
      </c>
      <c r="S50" s="22">
        <f>((S5*Constants!$H63*Constants!$H81*(1-Constants!$H99))+(S5*Constants!$H63*Constants!$H115))</f>
        <v>21194417.454059578</v>
      </c>
      <c r="T50" s="22">
        <f>((T5*Constants!$H63*Constants!$H81*(1-Constants!$H99))+(T5*Constants!$H63*Constants!$H115))</f>
        <v>18481912.934478231</v>
      </c>
      <c r="U50" s="22">
        <f>((U5*Constants!$H63*Constants!$H81*(1-Constants!$H99))+(U5*Constants!$H63*Constants!$H115))</f>
        <v>16810121.349826809</v>
      </c>
      <c r="V50" s="22">
        <f>((V5*Constants!$H63*Constants!$H81*(1-Constants!$H99))+(V5*Constants!$H63*Constants!$H115))</f>
        <v>16230435.931459881</v>
      </c>
      <c r="W50" s="22">
        <f>((W5*Constants!$H63*Constants!$H81*(1-Constants!$H99))+(W5*Constants!$H63*Constants!$H115))</f>
        <v>17376958.460355092</v>
      </c>
      <c r="X50" s="22">
        <f>((X5*Constants!$H63*Constants!$H81*(1-Constants!$H99))+(X5*Constants!$H63*Constants!$H115))</f>
        <v>16999067.053336237</v>
      </c>
      <c r="Y50" s="22">
        <f>((Y5*Constants!$H63*Constants!$H81*(1-Constants!$H99))+(Y5*Constants!$H63*Constants!$H115))</f>
        <v>16877386.020276166</v>
      </c>
      <c r="Z50" s="22">
        <f>((Z5*Constants!$H63*Constants!$H81*(1-Constants!$H99))+(Z5*Constants!$H63*Constants!$H115))</f>
        <v>20669148.398303367</v>
      </c>
      <c r="AA50" s="22">
        <f>((AA5*Constants!$H63*Constants!$H81*(1-Constants!$H99))+(AA5*Constants!$H63*Constants!$H115))</f>
        <v>21181569.146220937</v>
      </c>
      <c r="AB50" s="22">
        <f>((AB5*Constants!$H63*Constants!$H81*(1-Constants!$H99))+(AB5*Constants!$H63*Constants!$H115))</f>
        <v>21181569.146220937</v>
      </c>
      <c r="AC50" s="22">
        <f>((AC5*Constants!$H63*Constants!$H81*(1-Constants!$H99))+(AC5*Constants!$H63*Constants!$H115))</f>
        <v>20412938.024344582</v>
      </c>
      <c r="AD50" s="22">
        <f>((AD5*Constants!$H63*Constants!$H81*(1-Constants!$H99))+(AD5*Constants!$H63*Constants!$H115))</f>
        <v>20307597.645650283</v>
      </c>
      <c r="AE50" s="22">
        <f>((AE5*Constants!$H63*Constants!$H81*(1-Constants!$H99))+(AE5*Constants!$H63*Constants!$H115))</f>
        <v>20454820.270463273</v>
      </c>
      <c r="AF50" s="22">
        <f>((AF5*Constants!$H63*Constants!$H81*(1-Constants!$H99))+(AF5*Constants!$H63*Constants!$H115))</f>
        <v>20549055.728148926</v>
      </c>
      <c r="AG50" s="22">
        <f>((AG5*Constants!$H63*Constants!$H81*(1-Constants!$H99))+(AG5*Constants!$H63*Constants!$H115))</f>
        <v>20601623.672899902</v>
      </c>
      <c r="AH50" s="22">
        <f>((AH5*Constants!$H63*Constants!$H81*(1-Constants!$H99))+(AH5*Constants!$H63*Constants!$H115))</f>
        <v>20630359.74954186</v>
      </c>
      <c r="AI50" s="22">
        <f>((AI5*Constants!$H63*Constants!$H81*(1-Constants!$H99))+(AI5*Constants!$H63*Constants!$H115))</f>
        <v>20692238.608987678</v>
      </c>
      <c r="AJ50" s="22">
        <f>((AJ5*Constants!$H63*Constants!$H81*(1-Constants!$H99))+(AJ5*Constants!$H63*Constants!$H115))</f>
        <v>20774289.979551502</v>
      </c>
      <c r="AK50" s="22">
        <f>((AK5*Constants!$H63*Constants!$H81*(1-Constants!$H99))+(AK5*Constants!$H63*Constants!$H115))</f>
        <v>20858475.73709812</v>
      </c>
      <c r="AL50" s="22">
        <f>((AL5*Constants!$H63*Constants!$H81*(1-Constants!$H99))+(AL5*Constants!$H63*Constants!$H115))</f>
        <v>20178333.301941454</v>
      </c>
      <c r="AM50" s="22">
        <f>((AM5*Constants!$H63*Constants!$H81*(1-Constants!$H99))+(AM5*Constants!$H63*Constants!$H115))</f>
        <v>20335593.564849749</v>
      </c>
      <c r="AN50" s="22">
        <f>((AN5*Constants!$H63*Constants!$H81*(1-Constants!$H99))+(AN5*Constants!$H63*Constants!$H115))</f>
        <v>20490534.501549277</v>
      </c>
      <c r="AO50" s="22">
        <f>((AO5*Constants!$H63*Constants!$H81*(1-Constants!$H99))+(AO5*Constants!$H63*Constants!$H115))</f>
        <v>20658650.283323064</v>
      </c>
      <c r="AP50" s="22">
        <f>((AP5*Constants!$H63*Constants!$H81*(1-Constants!$H99))+(AP5*Constants!$H63*Constants!$H115))</f>
        <v>20838598.743132297</v>
      </c>
      <c r="AQ50" s="22">
        <f>((AQ5*Constants!$H63*Constants!$H81*(1-Constants!$H99))+(AQ5*Constants!$H63*Constants!$H115))</f>
        <v>21015929.964997686</v>
      </c>
      <c r="AR50" s="22">
        <f>((AR5*Constants!$H63*Constants!$H81*(1-Constants!$H99))+(AR5*Constants!$H63*Constants!$H115))</f>
        <v>21220685.47411114</v>
      </c>
      <c r="AS50" s="22">
        <f>((AS5*Constants!$H63*Constants!$H81*(1-Constants!$H99))+(AS5*Constants!$H63*Constants!$H115))</f>
        <v>21432399.953956746</v>
      </c>
      <c r="AT50" s="22">
        <f>((AT5*Constants!$H63*Constants!$H81*(1-Constants!$H99))+(AT5*Constants!$H63*Constants!$H115))</f>
        <v>21654985.575505547</v>
      </c>
      <c r="AU50" s="22">
        <f>((AU5*Constants!$H63*Constants!$H81*(1-Constants!$H99))+(AU5*Constants!$H63*Constants!$H115))</f>
        <v>21884386.907820627</v>
      </c>
      <c r="AV50" s="22">
        <f>((AV5*Constants!$H63*Constants!$H81*(1-Constants!$H99))+(AV5*Constants!$H63*Constants!$H115))</f>
        <v>22076346.002853125</v>
      </c>
      <c r="AW50" s="22">
        <f>((AW5*Constants!$H63*Constants!$H81*(1-Constants!$H99))+(AW5*Constants!$H63*Constants!$H115))</f>
        <v>22319441.957152013</v>
      </c>
      <c r="AX50" s="22">
        <f>((AX5*Constants!$H63*Constants!$H81*(1-Constants!$H99))+(AX5*Constants!$H63*Constants!$H115))</f>
        <v>22566777.016591996</v>
      </c>
      <c r="AY50" s="22">
        <f>((AY5*Constants!$H63*Constants!$H81*(1-Constants!$H99))+(AY5*Constants!$H63*Constants!$H115))</f>
        <v>22819872.362522557</v>
      </c>
      <c r="AZ50" s="22">
        <f>((AZ5*Constants!$H63*Constants!$H81*(1-Constants!$H99))+(AZ5*Constants!$H63*Constants!$H115))</f>
        <v>23061079.260721099</v>
      </c>
      <c r="BA50" s="22">
        <f>((BA5*Constants!$H63*Constants!$H81*(1-Constants!$H99))+(BA5*Constants!$H63*Constants!$H115))</f>
        <v>23315185.154151864</v>
      </c>
      <c r="BB50" s="22">
        <f>((BB5*Constants!$H63*Constants!$H81*(1-Constants!$H99))+(BB5*Constants!$H63*Constants!$H115))</f>
        <v>23582410.353132322</v>
      </c>
      <c r="BC50" s="22">
        <f>((BC5*Constants!$H63*Constants!$H81*(1-Constants!$H99))+(BC5*Constants!$H63*Constants!$H115))</f>
        <v>23857861.065449283</v>
      </c>
      <c r="BD50" s="22">
        <f>((BD5*Constants!$H63*Constants!$H81*(1-Constants!$H99))+(BD5*Constants!$H63*Constants!$H115))</f>
        <v>24128614.020890936</v>
      </c>
      <c r="BE50" s="22">
        <f>((BE5*Constants!$H63*Constants!$H81*(1-Constants!$H99))+(BE5*Constants!$H63*Constants!$H115))</f>
        <v>24407711.722429164</v>
      </c>
      <c r="BF50" s="22">
        <f>((BF5*Constants!$H63*Constants!$H81*(1-Constants!$H99))+(BF5*Constants!$H63*Constants!$H115))</f>
        <v>24702878.244497325</v>
      </c>
      <c r="BG50" s="22">
        <f>((BG5*Constants!$H63*Constants!$H81*(1-Constants!$H99))+(BG5*Constants!$H63*Constants!$H115))</f>
        <v>25010413.898648918</v>
      </c>
      <c r="BH50" s="22">
        <f>((BH5*Constants!$H63*Constants!$H81*(1-Constants!$H99))+(BH5*Constants!$H63*Constants!$H115))</f>
        <v>25329110.647399638</v>
      </c>
      <c r="BI50" s="22">
        <f>((BI5*Constants!$H63*Constants!$H81*(1-Constants!$H99))+(BI5*Constants!$H63*Constants!$H115))</f>
        <v>25659436.731815606</v>
      </c>
      <c r="BJ50" s="22">
        <f>((BJ5*Constants!$H63*Constants!$H81*(1-Constants!$H99))+(BJ5*Constants!$H63*Constants!$H115))</f>
        <v>26001436.634731725</v>
      </c>
      <c r="BK50" s="22">
        <f>((BK5*Constants!$H63*Constants!$H81*(1-Constants!$H99))+(BK5*Constants!$H63*Constants!$H115))</f>
        <v>26358183.538413592</v>
      </c>
      <c r="BL50" s="22">
        <f>((BL5*Constants!$H63*Constants!$H81*(1-Constants!$H99))+(BL5*Constants!$H63*Constants!$H115))</f>
        <v>26691383.482659414</v>
      </c>
      <c r="BM50" s="22">
        <f>((BM5*Constants!$H63*Constants!$H81*(1-Constants!$H99))+(BM5*Constants!$H63*Constants!$H115))</f>
        <v>27037691.82213084</v>
      </c>
      <c r="BN50" s="22">
        <f>((BN5*Constants!$H63*Constants!$H81*(1-Constants!$H99))+(BN5*Constants!$H63*Constants!$H115))</f>
        <v>27399969.673044566</v>
      </c>
      <c r="BO50" s="22">
        <f>((BO5*Constants!$H63*Constants!$H81*(1-Constants!$H99))+(BO5*Constants!$H63*Constants!$H115))</f>
        <v>27779680.093760237</v>
      </c>
      <c r="BP50" s="22">
        <f>((BP5*Constants!$H63*Constants!$H81*(1-Constants!$H99))+(BP5*Constants!$H63*Constants!$H115))</f>
        <v>28185835.493014816</v>
      </c>
    </row>
    <row r="51" spans="1:72" x14ac:dyDescent="0.25">
      <c r="A51" t="str">
        <f t="shared" ref="A51:A65" si="20">A50</f>
        <v>3C Aggregated and non-CO2 emissions on land</v>
      </c>
      <c r="B51" t="str">
        <f t="shared" ref="B51:B65" si="21">B50</f>
        <v>3C4 Direct N2O from managed soils (N2O)</v>
      </c>
      <c r="C51" t="s">
        <v>409</v>
      </c>
      <c r="D51" t="str">
        <f>Constants!D116</f>
        <v xml:space="preserve"> - Pasture</v>
      </c>
      <c r="E51" t="str">
        <f t="shared" ref="E51" si="22">C51&amp;D51</f>
        <v>MM N available - Pasture</v>
      </c>
      <c r="F51" t="str">
        <f>F50</f>
        <v>kg N</v>
      </c>
      <c r="H51" s="22">
        <f>((H6*Constants!$H64*Constants!$H82*(1-Constants!$H100))+(H6*Constants!$H64*Constants!$H116))</f>
        <v>48497097.884958483</v>
      </c>
      <c r="I51" s="22">
        <f>((I6*Constants!$H64*Constants!$H82*(1-Constants!$H100))+(I6*Constants!$H64*Constants!$H116))</f>
        <v>55832756.626650497</v>
      </c>
      <c r="J51" s="22">
        <f>((J6*Constants!$H64*Constants!$H82*(1-Constants!$H100))+(J6*Constants!$H64*Constants!$H116))</f>
        <v>48302558.663262829</v>
      </c>
      <c r="K51" s="22">
        <f>((K6*Constants!$H64*Constants!$H82*(1-Constants!$H100))+(K6*Constants!$H64*Constants!$H116))</f>
        <v>51229390.324504077</v>
      </c>
      <c r="L51" s="22">
        <f>((L6*Constants!$H64*Constants!$H82*(1-Constants!$H100))+(L6*Constants!$H64*Constants!$H116))</f>
        <v>47524401.776480258</v>
      </c>
      <c r="M51" s="22">
        <f>((M6*Constants!$H64*Constants!$H82*(1-Constants!$H100))+(M6*Constants!$H64*Constants!$H116))</f>
        <v>50840311.881112777</v>
      </c>
      <c r="N51" s="22">
        <f>((N6*Constants!$H64*Constants!$H82*(1-Constants!$H100))+(N6*Constants!$H64*Constants!$H116))</f>
        <v>51034851.102808431</v>
      </c>
      <c r="O51" s="22">
        <f>((O6*Constants!$H64*Constants!$H82*(1-Constants!$H100))+(O6*Constants!$H64*Constants!$H116))</f>
        <v>49200936.417385429</v>
      </c>
      <c r="P51" s="22">
        <f>((P6*Constants!$H64*Constants!$H82*(1-Constants!$H100))+(P6*Constants!$H64*Constants!$H116))</f>
        <v>48617318.752298489</v>
      </c>
      <c r="Q51" s="22">
        <f>((Q6*Constants!$H64*Constants!$H82*(1-Constants!$H100))+(Q6*Constants!$H64*Constants!$H116))</f>
        <v>47756100.175353706</v>
      </c>
      <c r="R51" s="22">
        <f>((R6*Constants!$H64*Constants!$H82*(1-Constants!$H100))+(R6*Constants!$H64*Constants!$H116))</f>
        <v>61491880.727437332</v>
      </c>
      <c r="S51" s="22">
        <f>((S6*Constants!$H64*Constants!$H82*(1-Constants!$H100))+(S6*Constants!$H64*Constants!$H116))</f>
        <v>61297341.505741686</v>
      </c>
      <c r="T51" s="22">
        <f>((T6*Constants!$H64*Constants!$H82*(1-Constants!$H100))+(T6*Constants!$H64*Constants!$H116))</f>
        <v>53452383.453318357</v>
      </c>
      <c r="U51" s="22">
        <f>((U6*Constants!$H64*Constants!$H82*(1-Constants!$H100))+(U6*Constants!$H64*Constants!$H116))</f>
        <v>48617318.752298489</v>
      </c>
      <c r="V51" s="22">
        <f>((V6*Constants!$H64*Constants!$H82*(1-Constants!$H100))+(V6*Constants!$H64*Constants!$H116))</f>
        <v>46940784.111393303</v>
      </c>
      <c r="W51" s="22">
        <f>((W6*Constants!$H64*Constants!$H82*(1-Constants!$H100))+(W6*Constants!$H64*Constants!$H116))</f>
        <v>50256694.216025844</v>
      </c>
      <c r="X51" s="22">
        <f>((X6*Constants!$H64*Constants!$H82*(1-Constants!$H100))+(X6*Constants!$H64*Constants!$H116))</f>
        <v>49163777.240207598</v>
      </c>
      <c r="Y51" s="22">
        <f>((Y6*Constants!$H64*Constants!$H82*(1-Constants!$H100))+(Y6*Constants!$H64*Constants!$H116))</f>
        <v>48811857.973994136</v>
      </c>
      <c r="Z51" s="22">
        <f>((Z6*Constants!$H64*Constants!$H82*(1-Constants!$H100))+(Z6*Constants!$H64*Constants!$H116))</f>
        <v>59778186.909354329</v>
      </c>
      <c r="AA51" s="22">
        <f>((AA6*Constants!$H64*Constants!$H82*(1-Constants!$H100))+(AA6*Constants!$H64*Constants!$H116))</f>
        <v>61260182.328563854</v>
      </c>
      <c r="AB51" s="22">
        <f>((AB6*Constants!$H64*Constants!$H82*(1-Constants!$H100))+(AB6*Constants!$H64*Constants!$H116))</f>
        <v>61260182.328563854</v>
      </c>
      <c r="AC51" s="22">
        <f>((AC6*Constants!$H64*Constants!$H82*(1-Constants!$H100))+(AC6*Constants!$H64*Constants!$H116))</f>
        <v>59037189.199749559</v>
      </c>
      <c r="AD51" s="22">
        <f>((AD6*Constants!$H64*Constants!$H82*(1-Constants!$H100))+(AD6*Constants!$H64*Constants!$H116))</f>
        <v>59378821.805191949</v>
      </c>
      <c r="AE51" s="22">
        <f>((AE6*Constants!$H64*Constants!$H82*(1-Constants!$H100))+(AE6*Constants!$H64*Constants!$H116))</f>
        <v>59809296.455960684</v>
      </c>
      <c r="AF51" s="22">
        <f>((AF6*Constants!$H64*Constants!$H82*(1-Constants!$H100))+(AF6*Constants!$H64*Constants!$H116))</f>
        <v>60084838.179176055</v>
      </c>
      <c r="AG51" s="22">
        <f>((AG6*Constants!$H64*Constants!$H82*(1-Constants!$H100))+(AG6*Constants!$H64*Constants!$H116))</f>
        <v>60238545.312757269</v>
      </c>
      <c r="AH51" s="22">
        <f>((AH6*Constants!$H64*Constants!$H82*(1-Constants!$H100))+(AH6*Constants!$H64*Constants!$H116))</f>
        <v>60322568.760733575</v>
      </c>
      <c r="AI51" s="22">
        <f>((AI6*Constants!$H64*Constants!$H82*(1-Constants!$H100))+(AI6*Constants!$H64*Constants!$H116))</f>
        <v>60503500.736669622</v>
      </c>
      <c r="AJ51" s="22">
        <f>((AJ6*Constants!$H64*Constants!$H82*(1-Constants!$H100))+(AJ6*Constants!$H64*Constants!$H116))</f>
        <v>60743416.545353413</v>
      </c>
      <c r="AK51" s="22">
        <f>((AK6*Constants!$H64*Constants!$H82*(1-Constants!$H100))+(AK6*Constants!$H64*Constants!$H116))</f>
        <v>60989573.23917418</v>
      </c>
      <c r="AL51" s="22">
        <f>((AL6*Constants!$H64*Constants!$H82*(1-Constants!$H100))+(AL6*Constants!$H64*Constants!$H116))</f>
        <v>59000856.643345445</v>
      </c>
      <c r="AM51" s="22">
        <f>((AM6*Constants!$H64*Constants!$H82*(1-Constants!$H100))+(AM6*Constants!$H64*Constants!$H116))</f>
        <v>59460681.05444558</v>
      </c>
      <c r="AN51" s="22">
        <f>((AN6*Constants!$H64*Constants!$H82*(1-Constants!$H100))+(AN6*Constants!$H64*Constants!$H116))</f>
        <v>59913723.823518828</v>
      </c>
      <c r="AO51" s="22">
        <f>((AO6*Constants!$H64*Constants!$H82*(1-Constants!$H100))+(AO6*Constants!$H64*Constants!$H116))</f>
        <v>60405289.454410881</v>
      </c>
      <c r="AP51" s="22">
        <f>((AP6*Constants!$H64*Constants!$H82*(1-Constants!$H100))+(AP6*Constants!$H64*Constants!$H116))</f>
        <v>60931453.489939719</v>
      </c>
      <c r="AQ51" s="22">
        <f>((AQ6*Constants!$H64*Constants!$H82*(1-Constants!$H100))+(AQ6*Constants!$H64*Constants!$H116))</f>
        <v>61449964.798238024</v>
      </c>
      <c r="AR51" s="22">
        <f>((AR6*Constants!$H64*Constants!$H82*(1-Constants!$H100))+(AR6*Constants!$H64*Constants!$H116))</f>
        <v>62048663.920676246</v>
      </c>
      <c r="AS51" s="22">
        <f>((AS6*Constants!$H64*Constants!$H82*(1-Constants!$H100))+(AS6*Constants!$H64*Constants!$H116))</f>
        <v>62667710.870083556</v>
      </c>
      <c r="AT51" s="22">
        <f>((AT6*Constants!$H64*Constants!$H82*(1-Constants!$H100))+(AT6*Constants!$H64*Constants!$H116))</f>
        <v>63318544.72000353</v>
      </c>
      <c r="AU51" s="22">
        <f>((AU6*Constants!$H64*Constants!$H82*(1-Constants!$H100))+(AU6*Constants!$H64*Constants!$H116))</f>
        <v>63989307.508940712</v>
      </c>
      <c r="AV51" s="22">
        <f>((AV6*Constants!$H64*Constants!$H82*(1-Constants!$H100))+(AV6*Constants!$H64*Constants!$H116))</f>
        <v>64550590.290720776</v>
      </c>
      <c r="AW51" s="22">
        <f>((AW6*Constants!$H64*Constants!$H82*(1-Constants!$H100))+(AW6*Constants!$H64*Constants!$H116))</f>
        <v>65261395.753964171</v>
      </c>
      <c r="AX51" s="22">
        <f>((AX6*Constants!$H64*Constants!$H82*(1-Constants!$H100))+(AX6*Constants!$H64*Constants!$H116))</f>
        <v>65984596.236706108</v>
      </c>
      <c r="AY51" s="22">
        <f>((AY6*Constants!$H64*Constants!$H82*(1-Constants!$H100))+(AY6*Constants!$H64*Constants!$H116))</f>
        <v>66724639.628739387</v>
      </c>
      <c r="AZ51" s="22">
        <f>((AZ6*Constants!$H64*Constants!$H82*(1-Constants!$H100))+(AZ6*Constants!$H64*Constants!$H116))</f>
        <v>67429921.547173589</v>
      </c>
      <c r="BA51" s="22">
        <f>((BA6*Constants!$H64*Constants!$H82*(1-Constants!$H100))+(BA6*Constants!$H64*Constants!$H116))</f>
        <v>68172919.750553206</v>
      </c>
      <c r="BB51" s="22">
        <f>((BB6*Constants!$H64*Constants!$H82*(1-Constants!$H100))+(BB6*Constants!$H64*Constants!$H116))</f>
        <v>68954278.419805586</v>
      </c>
      <c r="BC51" s="22">
        <f>((BC6*Constants!$H64*Constants!$H82*(1-Constants!$H100))+(BC6*Constants!$H64*Constants!$H116))</f>
        <v>69759688.249573663</v>
      </c>
      <c r="BD51" s="22">
        <f>((BD6*Constants!$H64*Constants!$H82*(1-Constants!$H100))+(BD6*Constants!$H64*Constants!$H116))</f>
        <v>70551361.975581452</v>
      </c>
      <c r="BE51" s="22">
        <f>((BE6*Constants!$H64*Constants!$H82*(1-Constants!$H100))+(BE6*Constants!$H64*Constants!$H116))</f>
        <v>71367435.49520956</v>
      </c>
      <c r="BF51" s="22">
        <f>((BF6*Constants!$H64*Constants!$H82*(1-Constants!$H100))+(BF6*Constants!$H64*Constants!$H116))</f>
        <v>72230493.77628091</v>
      </c>
      <c r="BG51" s="22">
        <f>((BG6*Constants!$H64*Constants!$H82*(1-Constants!$H100))+(BG6*Constants!$H64*Constants!$H116))</f>
        <v>73129719.037941635</v>
      </c>
      <c r="BH51" s="22">
        <f>((BH6*Constants!$H64*Constants!$H82*(1-Constants!$H100))+(BH6*Constants!$H64*Constants!$H116))</f>
        <v>74061579.013905674</v>
      </c>
      <c r="BI51" s="22">
        <f>((BI6*Constants!$H64*Constants!$H82*(1-Constants!$H100))+(BI6*Constants!$H64*Constants!$H116))</f>
        <v>75027442.827360928</v>
      </c>
      <c r="BJ51" s="22">
        <f>((BJ6*Constants!$H64*Constants!$H82*(1-Constants!$H100))+(BJ6*Constants!$H64*Constants!$H116))</f>
        <v>76027440.544816136</v>
      </c>
      <c r="BK51" s="22">
        <f>((BK6*Constants!$H64*Constants!$H82*(1-Constants!$H100))+(BK6*Constants!$H64*Constants!$H116))</f>
        <v>77070558.061368704</v>
      </c>
      <c r="BL51" s="22">
        <f>((BL6*Constants!$H64*Constants!$H82*(1-Constants!$H100))+(BL6*Constants!$H64*Constants!$H116))</f>
        <v>78044824.956946582</v>
      </c>
      <c r="BM51" s="22">
        <f>((BM6*Constants!$H64*Constants!$H82*(1-Constants!$H100))+(BM6*Constants!$H64*Constants!$H116))</f>
        <v>79057420.41692853</v>
      </c>
      <c r="BN51" s="22">
        <f>((BN6*Constants!$H64*Constants!$H82*(1-Constants!$H100))+(BN6*Constants!$H64*Constants!$H116))</f>
        <v>80116710.261484906</v>
      </c>
      <c r="BO51" s="22">
        <f>((BO6*Constants!$H64*Constants!$H82*(1-Constants!$H100))+(BO6*Constants!$H64*Constants!$H116))</f>
        <v>81226972.430485457</v>
      </c>
      <c r="BP51" s="22">
        <f>((BP6*Constants!$H64*Constants!$H82*(1-Constants!$H100))+(BP6*Constants!$H64*Constants!$H116))</f>
        <v>82414558.943591297</v>
      </c>
    </row>
    <row r="52" spans="1:72" x14ac:dyDescent="0.25">
      <c r="A52" t="str">
        <f t="shared" si="20"/>
        <v>3C Aggregated and non-CO2 emissions on land</v>
      </c>
      <c r="B52" t="str">
        <f t="shared" si="21"/>
        <v>3C4 Direct N2O from managed soils (N2O)</v>
      </c>
      <c r="C52" t="s">
        <v>409</v>
      </c>
      <c r="D52" t="str">
        <f>Constants!D117</f>
        <v xml:space="preserve"> - Non-lactating</v>
      </c>
      <c r="E52" t="str">
        <f t="shared" ref="E52:E66" si="23">C52&amp;D52</f>
        <v>MM N available - Non-lactating</v>
      </c>
      <c r="F52" t="str">
        <f t="shared" ref="F52:F66" si="24">F51</f>
        <v>kg N</v>
      </c>
      <c r="H52" s="22">
        <f>((H7*Constants!$H65*Constants!$H83*(1-Constants!$H101))+(H7*Constants!$H65*Constants!$H117))</f>
        <v>3062615.1790069034</v>
      </c>
      <c r="I52" s="22">
        <f>((I7*Constants!$H65*Constants!$H83*(1-Constants!$H101))+(I7*Constants!$H65*Constants!$H117))</f>
        <v>3481151.0311277835</v>
      </c>
      <c r="J52" s="22">
        <f>((J7*Constants!$H65*Constants!$H83*(1-Constants!$H101))+(J7*Constants!$H65*Constants!$H117))</f>
        <v>3011204.707020822</v>
      </c>
      <c r="K52" s="22">
        <f>((K7*Constants!$H65*Constants!$H83*(1-Constants!$H101))+(K7*Constants!$H65*Constants!$H117))</f>
        <v>3151320.9974138029</v>
      </c>
      <c r="L52" s="22">
        <f>((L7*Constants!$H65*Constants!$H83*(1-Constants!$H101))+(L7*Constants!$H65*Constants!$H117))</f>
        <v>2805562.8190765027</v>
      </c>
      <c r="M52" s="22">
        <f>((M7*Constants!$H65*Constants!$H83*(1-Constants!$H101))+(M7*Constants!$H65*Constants!$H117))</f>
        <v>3048500.0534416419</v>
      </c>
      <c r="N52" s="22">
        <f>((N7*Constants!$H65*Constants!$H83*(1-Constants!$H101))+(N7*Constants!$H65*Constants!$H117))</f>
        <v>3099910.5254277219</v>
      </c>
      <c r="O52" s="22">
        <f>((O7*Constants!$H65*Constants!$H83*(1-Constants!$H101))+(O7*Constants!$H65*Constants!$H117))</f>
        <v>2995276.5623975019</v>
      </c>
      <c r="P52" s="22">
        <f>((P7*Constants!$H65*Constants!$H83*(1-Constants!$H101))+(P7*Constants!$H65*Constants!$H117))</f>
        <v>2841045.1464392617</v>
      </c>
      <c r="Q52" s="22">
        <f>((Q7*Constants!$H65*Constants!$H83*(1-Constants!$H101))+(Q7*Constants!$H65*Constants!$H117))</f>
        <v>2993463.5433394425</v>
      </c>
      <c r="R52" s="22">
        <f>((R7*Constants!$H65*Constants!$H83*(1-Constants!$H101))+(R7*Constants!$H65*Constants!$H117))</f>
        <v>3709973.1399276629</v>
      </c>
      <c r="S52" s="22">
        <f>((S7*Constants!$H65*Constants!$H83*(1-Constants!$H101))+(S7*Constants!$H65*Constants!$H117))</f>
        <v>3658562.6679415829</v>
      </c>
      <c r="T52" s="22">
        <f>((T7*Constants!$H65*Constants!$H83*(1-Constants!$H101))+(T7*Constants!$H65*Constants!$H117))</f>
        <v>3358775.904416183</v>
      </c>
      <c r="U52" s="22">
        <f>((U7*Constants!$H65*Constants!$H83*(1-Constants!$H101))+(U7*Constants!$H65*Constants!$H117))</f>
        <v>2841045.1464392617</v>
      </c>
      <c r="V52" s="22">
        <f>((V7*Constants!$H65*Constants!$H83*(1-Constants!$H101))+(V7*Constants!$H65*Constants!$H117))</f>
        <v>2651331.4031182611</v>
      </c>
      <c r="W52" s="22">
        <f>((W7*Constants!$H65*Constants!$H83*(1-Constants!$H101))+(W7*Constants!$H65*Constants!$H117))</f>
        <v>2894268.6374834022</v>
      </c>
      <c r="X52" s="22">
        <f>((X7*Constants!$H65*Constants!$H83*(1-Constants!$H101))+(X7*Constants!$H65*Constants!$H117))</f>
        <v>2858786.3101206413</v>
      </c>
      <c r="Y52" s="22">
        <f>((Y7*Constants!$H65*Constants!$H83*(1-Constants!$H101))+(Y7*Constants!$H65*Constants!$H117))</f>
        <v>2892455.6184253423</v>
      </c>
      <c r="Z52" s="22">
        <f>((Z7*Constants!$H65*Constants!$H83*(1-Constants!$H101))+(Z7*Constants!$H65*Constants!$H117))</f>
        <v>3383769.1443298031</v>
      </c>
      <c r="AA52" s="22">
        <f>((AA7*Constants!$H65*Constants!$H83*(1-Constants!$H101))+(AA7*Constants!$H65*Constants!$H117))</f>
        <v>3522072.4156647222</v>
      </c>
      <c r="AB52" s="22">
        <f>((AB7*Constants!$H65*Constants!$H83*(1-Constants!$H101))+(AB7*Constants!$H65*Constants!$H117))</f>
        <v>3522072.4156647222</v>
      </c>
      <c r="AC52" s="22">
        <f>((AC7*Constants!$H65*Constants!$H83*(1-Constants!$H101))+(AC7*Constants!$H65*Constants!$H117))</f>
        <v>3314617.5086623426</v>
      </c>
      <c r="AD52" s="22">
        <f>((AD7*Constants!$H65*Constants!$H83*(1-Constants!$H101))+(AD7*Constants!$H65*Constants!$H117))</f>
        <v>3176432.1658934723</v>
      </c>
      <c r="AE52" s="22">
        <f>((AE7*Constants!$H65*Constants!$H83*(1-Constants!$H101))+(AE7*Constants!$H65*Constants!$H117))</f>
        <v>3199460.1325275963</v>
      </c>
      <c r="AF52" s="22">
        <f>((AF7*Constants!$H65*Constants!$H83*(1-Constants!$H101))+(AF7*Constants!$H65*Constants!$H117))</f>
        <v>3214200.0611091787</v>
      </c>
      <c r="AG52" s="22">
        <f>((AG7*Constants!$H65*Constants!$H83*(1-Constants!$H101))+(AG7*Constants!$H65*Constants!$H117))</f>
        <v>3222422.5260957093</v>
      </c>
      <c r="AH52" s="22">
        <f>((AH7*Constants!$H65*Constants!$H83*(1-Constants!$H101))+(AH7*Constants!$H65*Constants!$H117))</f>
        <v>3226917.3068058561</v>
      </c>
      <c r="AI52" s="22">
        <f>((AI7*Constants!$H65*Constants!$H83*(1-Constants!$H101))+(AI7*Constants!$H65*Constants!$H117))</f>
        <v>3236596.1473542158</v>
      </c>
      <c r="AJ52" s="22">
        <f>((AJ7*Constants!$H65*Constants!$H83*(1-Constants!$H101))+(AJ7*Constants!$H65*Constants!$H117))</f>
        <v>3249430.2903809967</v>
      </c>
      <c r="AK52" s="22">
        <f>((AK7*Constants!$H65*Constants!$H83*(1-Constants!$H101))+(AK7*Constants!$H65*Constants!$H117))</f>
        <v>3262598.2855740888</v>
      </c>
      <c r="AL52" s="22">
        <f>((AL7*Constants!$H65*Constants!$H83*(1-Constants!$H101))+(AL7*Constants!$H65*Constants!$H117))</f>
        <v>3156213.1608479498</v>
      </c>
      <c r="AM52" s="22">
        <f>((AM7*Constants!$H65*Constants!$H83*(1-Constants!$H101))+(AM7*Constants!$H65*Constants!$H117))</f>
        <v>3180811.1741745416</v>
      </c>
      <c r="AN52" s="22">
        <f>((AN7*Constants!$H65*Constants!$H83*(1-Constants!$H101))+(AN7*Constants!$H65*Constants!$H117))</f>
        <v>3205046.4078902081</v>
      </c>
      <c r="AO52" s="22">
        <f>((AO7*Constants!$H65*Constants!$H83*(1-Constants!$H101))+(AO7*Constants!$H65*Constants!$H117))</f>
        <v>3231342.3975064373</v>
      </c>
      <c r="AP52" s="22">
        <f>((AP7*Constants!$H65*Constants!$H83*(1-Constants!$H101))+(AP7*Constants!$H65*Constants!$H117))</f>
        <v>3259489.2066915929</v>
      </c>
      <c r="AQ52" s="22">
        <f>((AQ7*Constants!$H65*Constants!$H83*(1-Constants!$H101))+(AQ7*Constants!$H65*Constants!$H117))</f>
        <v>3287226.6381189413</v>
      </c>
      <c r="AR52" s="22">
        <f>((AR7*Constants!$H65*Constants!$H83*(1-Constants!$H101))+(AR7*Constants!$H65*Constants!$H117))</f>
        <v>3319253.6654729713</v>
      </c>
      <c r="AS52" s="22">
        <f>((AS7*Constants!$H65*Constants!$H83*(1-Constants!$H101))+(AS7*Constants!$H65*Constants!$H117))</f>
        <v>3352369.186840957</v>
      </c>
      <c r="AT52" s="22">
        <f>((AT7*Constants!$H65*Constants!$H83*(1-Constants!$H101))+(AT7*Constants!$H65*Constants!$H117))</f>
        <v>3387185.1281595724</v>
      </c>
      <c r="AU52" s="22">
        <f>((AU7*Constants!$H65*Constants!$H83*(1-Constants!$H101))+(AU7*Constants!$H65*Constants!$H117))</f>
        <v>3423067.1553485687</v>
      </c>
      <c r="AV52" s="22">
        <f>((AV7*Constants!$H65*Constants!$H83*(1-Constants!$H101))+(AV7*Constants!$H65*Constants!$H117))</f>
        <v>3453092.6194451377</v>
      </c>
      <c r="AW52" s="22">
        <f>((AW7*Constants!$H65*Constants!$H83*(1-Constants!$H101))+(AW7*Constants!$H65*Constants!$H117))</f>
        <v>3491116.7039334849</v>
      </c>
      <c r="AX52" s="22">
        <f>((AX7*Constants!$H65*Constants!$H83*(1-Constants!$H101))+(AX7*Constants!$H65*Constants!$H117))</f>
        <v>3529803.8520771069</v>
      </c>
      <c r="AY52" s="22">
        <f>((AY7*Constants!$H65*Constants!$H83*(1-Constants!$H101))+(AY7*Constants!$H65*Constants!$H117))</f>
        <v>3569392.0009010006</v>
      </c>
      <c r="AZ52" s="22">
        <f>((AZ7*Constants!$H65*Constants!$H83*(1-Constants!$H101))+(AZ7*Constants!$H65*Constants!$H117))</f>
        <v>3607120.6068859315</v>
      </c>
      <c r="BA52" s="22">
        <f>((BA7*Constants!$H65*Constants!$H83*(1-Constants!$H101))+(BA7*Constants!$H65*Constants!$H117))</f>
        <v>3646866.8214564892</v>
      </c>
      <c r="BB52" s="22">
        <f>((BB7*Constants!$H65*Constants!$H83*(1-Constants!$H101))+(BB7*Constants!$H65*Constants!$H117))</f>
        <v>3688665.1046601464</v>
      </c>
      <c r="BC52" s="22">
        <f>((BC7*Constants!$H65*Constants!$H83*(1-Constants!$H101))+(BC7*Constants!$H65*Constants!$H117))</f>
        <v>3731749.9893416823</v>
      </c>
      <c r="BD52" s="22">
        <f>((BD7*Constants!$H65*Constants!$H83*(1-Constants!$H101))+(BD7*Constants!$H65*Constants!$H117))</f>
        <v>3774100.0699214889</v>
      </c>
      <c r="BE52" s="22">
        <f>((BE7*Constants!$H65*Constants!$H83*(1-Constants!$H101))+(BE7*Constants!$H65*Constants!$H117))</f>
        <v>3817755.4018845418</v>
      </c>
      <c r="BF52" s="22">
        <f>((BF7*Constants!$H65*Constants!$H83*(1-Constants!$H101))+(BF7*Constants!$H65*Constants!$H117))</f>
        <v>3863924.1536666127</v>
      </c>
      <c r="BG52" s="22">
        <f>((BG7*Constants!$H65*Constants!$H83*(1-Constants!$H101))+(BG7*Constants!$H65*Constants!$H117))</f>
        <v>3912027.6349868393</v>
      </c>
      <c r="BH52" s="22">
        <f>((BH7*Constants!$H65*Constants!$H83*(1-Constants!$H101))+(BH7*Constants!$H65*Constants!$H117))</f>
        <v>3961876.8895151941</v>
      </c>
      <c r="BI52" s="22">
        <f>((BI7*Constants!$H65*Constants!$H83*(1-Constants!$H101))+(BI7*Constants!$H65*Constants!$H117))</f>
        <v>4013545.1576225888</v>
      </c>
      <c r="BJ52" s="22">
        <f>((BJ7*Constants!$H65*Constants!$H83*(1-Constants!$H101))+(BJ7*Constants!$H65*Constants!$H117))</f>
        <v>4067039.3971338719</v>
      </c>
      <c r="BK52" s="22">
        <f>((BK7*Constants!$H65*Constants!$H83*(1-Constants!$H101))+(BK7*Constants!$H65*Constants!$H117))</f>
        <v>4122840.3027708177</v>
      </c>
      <c r="BL52" s="22">
        <f>((BL7*Constants!$H65*Constants!$H83*(1-Constants!$H101))+(BL7*Constants!$H65*Constants!$H117))</f>
        <v>4174958.0883919559</v>
      </c>
      <c r="BM52" s="22">
        <f>((BM7*Constants!$H65*Constants!$H83*(1-Constants!$H101))+(BM7*Constants!$H65*Constants!$H117))</f>
        <v>4229126.2360974932</v>
      </c>
      <c r="BN52" s="22">
        <f>((BN7*Constants!$H65*Constants!$H83*(1-Constants!$H101))+(BN7*Constants!$H65*Constants!$H117))</f>
        <v>4285792.2700968226</v>
      </c>
      <c r="BO52" s="22">
        <f>((BO7*Constants!$H65*Constants!$H83*(1-Constants!$H101))+(BO7*Constants!$H65*Constants!$H117))</f>
        <v>4345185.0360523034</v>
      </c>
      <c r="BP52" s="22">
        <f>((BP7*Constants!$H65*Constants!$H83*(1-Constants!$H101))+(BP7*Constants!$H65*Constants!$H117))</f>
        <v>4408714.218432962</v>
      </c>
    </row>
    <row r="53" spans="1:72" x14ac:dyDescent="0.25">
      <c r="A53" t="str">
        <f t="shared" si="20"/>
        <v>3C Aggregated and non-CO2 emissions on land</v>
      </c>
      <c r="B53" t="str">
        <f t="shared" si="21"/>
        <v>3C4 Direct N2O from managed soils (N2O)</v>
      </c>
      <c r="C53" t="s">
        <v>409</v>
      </c>
      <c r="D53" t="str">
        <f>Constants!D118</f>
        <v xml:space="preserve"> - Commercial cattle</v>
      </c>
      <c r="E53" t="str">
        <f t="shared" si="23"/>
        <v>MM N available - Commercial cattle</v>
      </c>
      <c r="F53" t="str">
        <f t="shared" si="24"/>
        <v>kg N</v>
      </c>
      <c r="H53" s="22">
        <f>((H8*Constants!$H66*Constants!$H84*(1-Constants!$H102))+(H8*Constants!$H66*Constants!$H118))</f>
        <v>29140148.242835071</v>
      </c>
      <c r="I53" s="22">
        <f>((I8*Constants!$H66*Constants!$H84*(1-Constants!$H102))+(I8*Constants!$H66*Constants!$H118))</f>
        <v>27882399.754625745</v>
      </c>
      <c r="J53" s="22">
        <f>((J8*Constants!$H66*Constants!$H84*(1-Constants!$H102))+(J8*Constants!$H66*Constants!$H118))</f>
        <v>27872269.031688493</v>
      </c>
      <c r="K53" s="22">
        <f>((K8*Constants!$H66*Constants!$H84*(1-Constants!$H102))+(K8*Constants!$H66*Constants!$H118))</f>
        <v>26075497.690151285</v>
      </c>
      <c r="L53" s="22">
        <f>((L8*Constants!$H66*Constants!$H84*(1-Constants!$H102))+(L8*Constants!$H66*Constants!$H118))</f>
        <v>26861590.495282121</v>
      </c>
      <c r="M53" s="22">
        <f>((M8*Constants!$H66*Constants!$H84*(1-Constants!$H102))+(M8*Constants!$H66*Constants!$H118))</f>
        <v>27472340.576832376</v>
      </c>
      <c r="N53" s="22">
        <f>((N8*Constants!$H66*Constants!$H84*(1-Constants!$H102))+(N8*Constants!$H66*Constants!$H118))</f>
        <v>28611982.788773268</v>
      </c>
      <c r="O53" s="22">
        <f>((O8*Constants!$H66*Constants!$H84*(1-Constants!$H102))+(O8*Constants!$H66*Constants!$H118))</f>
        <v>29695841.906059686</v>
      </c>
      <c r="P53" s="22">
        <f>((P8*Constants!$H66*Constants!$H84*(1-Constants!$H102))+(P8*Constants!$H66*Constants!$H118))</f>
        <v>29953042.580799885</v>
      </c>
      <c r="Q53" s="22">
        <f>((Q8*Constants!$H66*Constants!$H84*(1-Constants!$H102))+(Q8*Constants!$H66*Constants!$H118))</f>
        <v>29468349.46946881</v>
      </c>
      <c r="R53" s="22">
        <f>((R8*Constants!$H66*Constants!$H84*(1-Constants!$H102))+(R8*Constants!$H66*Constants!$H118))</f>
        <v>27466527.166201718</v>
      </c>
      <c r="S53" s="22">
        <f>((S8*Constants!$H66*Constants!$H84*(1-Constants!$H102))+(S8*Constants!$H66*Constants!$H118))</f>
        <v>27609254.946317643</v>
      </c>
      <c r="T53" s="22">
        <f>((T8*Constants!$H66*Constants!$H84*(1-Constants!$H102))+(T8*Constants!$H66*Constants!$H118))</f>
        <v>25732079.006278474</v>
      </c>
      <c r="U53" s="22">
        <f>((U8*Constants!$H66*Constants!$H84*(1-Constants!$H102))+(U8*Constants!$H66*Constants!$H118))</f>
        <v>26405152.269442696</v>
      </c>
      <c r="V53" s="22">
        <f>((V8*Constants!$H66*Constants!$H84*(1-Constants!$H102))+(V8*Constants!$H66*Constants!$H118))</f>
        <v>26648588.839601479</v>
      </c>
      <c r="W53" s="22">
        <f>((W8*Constants!$H66*Constants!$H84*(1-Constants!$H102))+(W8*Constants!$H66*Constants!$H118))</f>
        <v>26874627.923534695</v>
      </c>
      <c r="X53" s="22">
        <f>((X8*Constants!$H66*Constants!$H84*(1-Constants!$H102))+(X8*Constants!$H66*Constants!$H118))</f>
        <v>26262424.489326771</v>
      </c>
      <c r="Y53" s="22">
        <f>((Y8*Constants!$H66*Constants!$H84*(1-Constants!$H102))+(Y8*Constants!$H66*Constants!$H118))</f>
        <v>27031846.484560855</v>
      </c>
      <c r="Z53" s="22">
        <f>((Z8*Constants!$H66*Constants!$H84*(1-Constants!$H102))+(Z8*Constants!$H66*Constants!$H118))</f>
        <v>26280686.506655321</v>
      </c>
      <c r="AA53" s="22">
        <f>((AA8*Constants!$H66*Constants!$H84*(1-Constants!$H102))+(AA8*Constants!$H66*Constants!$H118))</f>
        <v>25839415.868110832</v>
      </c>
      <c r="AB53" s="22">
        <f>((AB8*Constants!$H66*Constants!$H84*(1-Constants!$H102))+(AB8*Constants!$H66*Constants!$H118))</f>
        <v>25758186.634461202</v>
      </c>
      <c r="AC53" s="22">
        <f>((AC8*Constants!$H66*Constants!$H84*(1-Constants!$H102))+(AC8*Constants!$H66*Constants!$H118))</f>
        <v>25665694.273928557</v>
      </c>
      <c r="AD53" s="22">
        <f>((AD8*Constants!$H66*Constants!$H84*(1-Constants!$H102))+(AD8*Constants!$H66*Constants!$H118))</f>
        <v>25594228.151246883</v>
      </c>
      <c r="AE53" s="22">
        <f>((AE8*Constants!$H66*Constants!$H84*(1-Constants!$H102))+(AE8*Constants!$H66*Constants!$H118))</f>
        <v>25503568.82501265</v>
      </c>
      <c r="AF53" s="22">
        <f>((AF8*Constants!$H66*Constants!$H84*(1-Constants!$H102))+(AF8*Constants!$H66*Constants!$H118))</f>
        <v>25169967.227150522</v>
      </c>
      <c r="AG53" s="22">
        <f>((AG8*Constants!$H66*Constants!$H84*(1-Constants!$H102))+(AG8*Constants!$H66*Constants!$H118))</f>
        <v>24653972.49152777</v>
      </c>
      <c r="AH53" s="22">
        <f>((AH8*Constants!$H66*Constants!$H84*(1-Constants!$H102))+(AH8*Constants!$H66*Constants!$H118))</f>
        <v>24033464.361784618</v>
      </c>
      <c r="AI53" s="22">
        <f>((AI8*Constants!$H66*Constants!$H84*(1-Constants!$H102))+(AI8*Constants!$H66*Constants!$H118))</f>
        <v>23513216.188590433</v>
      </c>
      <c r="AJ53" s="22">
        <f>((AJ8*Constants!$H66*Constants!$H84*(1-Constants!$H102))+(AJ8*Constants!$H66*Constants!$H118))</f>
        <v>23053336.226631932</v>
      </c>
      <c r="AK53" s="22">
        <f>((AK8*Constants!$H66*Constants!$H84*(1-Constants!$H102))+(AK8*Constants!$H66*Constants!$H118))</f>
        <v>22590117.086759426</v>
      </c>
      <c r="AL53" s="22">
        <f>((AL8*Constants!$H66*Constants!$H84*(1-Constants!$H102))+(AL8*Constants!$H66*Constants!$H118))</f>
        <v>19692605.805317432</v>
      </c>
      <c r="AM53" s="22">
        <f>((AM8*Constants!$H66*Constants!$H84*(1-Constants!$H102))+(AM8*Constants!$H66*Constants!$H118))</f>
        <v>19805174.534841929</v>
      </c>
      <c r="AN53" s="22">
        <f>((AN8*Constants!$H66*Constants!$H84*(1-Constants!$H102))+(AN8*Constants!$H66*Constants!$H118))</f>
        <v>19917695.312404618</v>
      </c>
      <c r="AO53" s="22">
        <f>((AO8*Constants!$H66*Constants!$H84*(1-Constants!$H102))+(AO8*Constants!$H66*Constants!$H118))</f>
        <v>20078003.072959766</v>
      </c>
      <c r="AP53" s="22">
        <f>((AP8*Constants!$H66*Constants!$H84*(1-Constants!$H102))+(AP8*Constants!$H66*Constants!$H118))</f>
        <v>20265715.405787971</v>
      </c>
      <c r="AQ53" s="22">
        <f>((AQ8*Constants!$H66*Constants!$H84*(1-Constants!$H102))+(AQ8*Constants!$H66*Constants!$H118))</f>
        <v>20437426.586846277</v>
      </c>
      <c r="AR53" s="22">
        <f>((AR8*Constants!$H66*Constants!$H84*(1-Constants!$H102))+(AR8*Constants!$H66*Constants!$H118))</f>
        <v>20681316.603609364</v>
      </c>
      <c r="AS53" s="22">
        <f>((AS8*Constants!$H66*Constants!$H84*(1-Constants!$H102))+(AS8*Constants!$H66*Constants!$H118))</f>
        <v>20935950.783508342</v>
      </c>
      <c r="AT53" s="22">
        <f>((AT8*Constants!$H66*Constants!$H84*(1-Constants!$H102))+(AT8*Constants!$H66*Constants!$H118))</f>
        <v>21212055.421712194</v>
      </c>
      <c r="AU53" s="22">
        <f>((AU8*Constants!$H66*Constants!$H84*(1-Constants!$H102))+(AU8*Constants!$H66*Constants!$H118))</f>
        <v>21495847.611325562</v>
      </c>
      <c r="AV53" s="22">
        <f>((AV8*Constants!$H66*Constants!$H84*(1-Constants!$H102))+(AV8*Constants!$H66*Constants!$H118))</f>
        <v>21665838.766314138</v>
      </c>
      <c r="AW53" s="22">
        <f>((AW8*Constants!$H66*Constants!$H84*(1-Constants!$H102))+(AW8*Constants!$H66*Constants!$H118))</f>
        <v>21781434.580848198</v>
      </c>
      <c r="AX53" s="22">
        <f>((AX8*Constants!$H66*Constants!$H84*(1-Constants!$H102))+(AX8*Constants!$H66*Constants!$H118))</f>
        <v>21888676.940936711</v>
      </c>
      <c r="AY53" s="22">
        <f>((AY8*Constants!$H66*Constants!$H84*(1-Constants!$H102))+(AY8*Constants!$H66*Constants!$H118))</f>
        <v>21991189.09762359</v>
      </c>
      <c r="AZ53" s="22">
        <f>((AZ8*Constants!$H66*Constants!$H84*(1-Constants!$H102))+(AZ8*Constants!$H66*Constants!$H118))</f>
        <v>22043926.696164779</v>
      </c>
      <c r="BA53" s="22">
        <f>((BA8*Constants!$H66*Constants!$H84*(1-Constants!$H102))+(BA8*Constants!$H66*Constants!$H118))</f>
        <v>22109845.719508156</v>
      </c>
      <c r="BB53" s="22">
        <f>((BB8*Constants!$H66*Constants!$H84*(1-Constants!$H102))+(BB8*Constants!$H66*Constants!$H118))</f>
        <v>22187619.028054502</v>
      </c>
      <c r="BC53" s="22">
        <f>((BC8*Constants!$H66*Constants!$H84*(1-Constants!$H102))+(BC8*Constants!$H66*Constants!$H118))</f>
        <v>22264015.108866435</v>
      </c>
      <c r="BD53" s="22">
        <f>((BD8*Constants!$H66*Constants!$H84*(1-Constants!$H102))+(BD8*Constants!$H66*Constants!$H118))</f>
        <v>22308737.969302334</v>
      </c>
      <c r="BE53" s="22">
        <f>((BE8*Constants!$H66*Constants!$H84*(1-Constants!$H102))+(BE8*Constants!$H66*Constants!$H118))</f>
        <v>22351343.656162921</v>
      </c>
      <c r="BF53" s="22">
        <f>((BF8*Constants!$H66*Constants!$H84*(1-Constants!$H102))+(BF8*Constants!$H66*Constants!$H118))</f>
        <v>22407441.919962954</v>
      </c>
      <c r="BG53" s="22">
        <f>((BG8*Constants!$H66*Constants!$H84*(1-Constants!$H102))+(BG8*Constants!$H66*Constants!$H118))</f>
        <v>22581600.433643728</v>
      </c>
      <c r="BH53" s="22">
        <f>((BH8*Constants!$H66*Constants!$H84*(1-Constants!$H102))+(BH8*Constants!$H66*Constants!$H118))</f>
        <v>22760451.135646034</v>
      </c>
      <c r="BI53" s="22">
        <f>((BI8*Constants!$H66*Constants!$H84*(1-Constants!$H102))+(BI8*Constants!$H66*Constants!$H118))</f>
        <v>22943808.021550968</v>
      </c>
      <c r="BJ53" s="22">
        <f>((BJ8*Constants!$H66*Constants!$H84*(1-Constants!$H102))+(BJ8*Constants!$H66*Constants!$H118))</f>
        <v>23130562.849888273</v>
      </c>
      <c r="BK53" s="22">
        <f>((BK8*Constants!$H66*Constants!$H84*(1-Constants!$H102))+(BK8*Constants!$H66*Constants!$H118))</f>
        <v>23325509.004181657</v>
      </c>
      <c r="BL53" s="22">
        <f>((BL8*Constants!$H66*Constants!$H84*(1-Constants!$H102))+(BL8*Constants!$H66*Constants!$H118))</f>
        <v>23454344.476224225</v>
      </c>
      <c r="BM53" s="22">
        <f>((BM8*Constants!$H66*Constants!$H84*(1-Constants!$H102))+(BM8*Constants!$H66*Constants!$H118))</f>
        <v>23588390.51624899</v>
      </c>
      <c r="BN53" s="22">
        <f>((BN8*Constants!$H66*Constants!$H84*(1-Constants!$H102))+(BN8*Constants!$H66*Constants!$H118))</f>
        <v>23731503.260689467</v>
      </c>
      <c r="BO53" s="22">
        <f>((BO8*Constants!$H66*Constants!$H84*(1-Constants!$H102))+(BO8*Constants!$H66*Constants!$H118))</f>
        <v>23884658.069401536</v>
      </c>
      <c r="BP53" s="22">
        <f>((BP8*Constants!$H66*Constants!$H84*(1-Constants!$H102))+(BP8*Constants!$H66*Constants!$H118))</f>
        <v>24061711.173185762</v>
      </c>
    </row>
    <row r="54" spans="1:72" x14ac:dyDescent="0.25">
      <c r="A54" t="str">
        <f t="shared" si="20"/>
        <v>3C Aggregated and non-CO2 emissions on land</v>
      </c>
      <c r="B54" t="str">
        <f t="shared" si="21"/>
        <v>3C4 Direct N2O from managed soils (N2O)</v>
      </c>
      <c r="C54" t="s">
        <v>409</v>
      </c>
      <c r="D54" t="str">
        <f>Constants!D119</f>
        <v xml:space="preserve"> - Subsistence cattle</v>
      </c>
      <c r="E54" t="str">
        <f t="shared" si="23"/>
        <v>MM N available - Subsistence cattle</v>
      </c>
      <c r="F54" t="str">
        <f t="shared" si="24"/>
        <v>kg N</v>
      </c>
      <c r="H54" s="22">
        <f>((H9*Constants!$H67*Constants!$H85*(1-Constants!$H103))+(H9*Constants!$H67*Constants!$H119))</f>
        <v>147147691.68218684</v>
      </c>
      <c r="I54" s="22">
        <f>((I9*Constants!$H67*Constants!$H85*(1-Constants!$H103))+(I9*Constants!$H67*Constants!$H119))</f>
        <v>156124021.4580065</v>
      </c>
      <c r="J54" s="22">
        <f>((J9*Constants!$H67*Constants!$H85*(1-Constants!$H103))+(J9*Constants!$H67*Constants!$H119))</f>
        <v>163497435.2024298</v>
      </c>
      <c r="K54" s="22">
        <f>((K9*Constants!$H67*Constants!$H85*(1-Constants!$H103))+(K9*Constants!$H67*Constants!$H119))</f>
        <v>161573935.96475413</v>
      </c>
      <c r="L54" s="22">
        <f>((L9*Constants!$H67*Constants!$H85*(1-Constants!$H103))+(L9*Constants!$H67*Constants!$H119))</f>
        <v>140736027.55660135</v>
      </c>
      <c r="M54" s="22">
        <f>((M9*Constants!$H67*Constants!$H85*(1-Constants!$H103))+(M9*Constants!$H67*Constants!$H119))</f>
        <v>135927279.46241224</v>
      </c>
      <c r="N54" s="22">
        <f>((N9*Constants!$H67*Constants!$H85*(1-Constants!$H103))+(N9*Constants!$H67*Constants!$H119))</f>
        <v>139774277.93776351</v>
      </c>
      <c r="O54" s="22">
        <f>((O9*Constants!$H67*Constants!$H85*(1-Constants!$H103))+(O9*Constants!$H67*Constants!$H119))</f>
        <v>146185942.06334898</v>
      </c>
      <c r="P54" s="22">
        <f>((P9*Constants!$H67*Constants!$H85*(1-Constants!$H103))+(P9*Constants!$H67*Constants!$H119))</f>
        <v>155162271.8391687</v>
      </c>
      <c r="Q54" s="22">
        <f>((Q9*Constants!$H67*Constants!$H85*(1-Constants!$H103))+(Q9*Constants!$H67*Constants!$H119))</f>
        <v>161573935.96475413</v>
      </c>
      <c r="R54" s="22">
        <f>((R9*Constants!$H67*Constants!$H85*(1-Constants!$H103))+(R9*Constants!$H67*Constants!$H119))</f>
        <v>157726937.48940286</v>
      </c>
      <c r="S54" s="22">
        <f>((S9*Constants!$H67*Constants!$H85*(1-Constants!$H103))+(S9*Constants!$H67*Constants!$H119))</f>
        <v>153879939.01405159</v>
      </c>
      <c r="T54" s="22">
        <f>((T9*Constants!$H67*Constants!$H85*(1-Constants!$H103))+(T9*Constants!$H67*Constants!$H119))</f>
        <v>174397264.2159251</v>
      </c>
      <c r="U54" s="22">
        <f>((U9*Constants!$H67*Constants!$H85*(1-Constants!$H103))+(U9*Constants!$H67*Constants!$H119))</f>
        <v>178564845.89755568</v>
      </c>
      <c r="V54" s="22">
        <f>((V9*Constants!$H67*Constants!$H85*(1-Constants!$H103))+(V9*Constants!$H67*Constants!$H119))</f>
        <v>175679597.04104221</v>
      </c>
      <c r="W54" s="22">
        <f>((W9*Constants!$H67*Constants!$H85*(1-Constants!$H103))+(W9*Constants!$H67*Constants!$H119))</f>
        <v>170550265.74057382</v>
      </c>
      <c r="X54" s="22">
        <f>((X9*Constants!$H67*Constants!$H85*(1-Constants!$H103))+(X9*Constants!$H67*Constants!$H119))</f>
        <v>176000180.24732149</v>
      </c>
      <c r="Y54" s="22">
        <f>((Y9*Constants!$H67*Constants!$H85*(1-Constants!$H103))+(Y9*Constants!$H67*Constants!$H119))</f>
        <v>183053010.78546554</v>
      </c>
      <c r="Z54" s="22">
        <f>((Z9*Constants!$H67*Constants!$H85*(1-Constants!$H103))+(Z9*Constants!$H67*Constants!$H119))</f>
        <v>180167761.92895204</v>
      </c>
      <c r="AA54" s="22">
        <f>((AA9*Constants!$H67*Constants!$H85*(1-Constants!$H103))+(AA9*Constants!$H67*Constants!$H119))</f>
        <v>178244262.6912764</v>
      </c>
      <c r="AB54" s="22">
        <f>((AB9*Constants!$H67*Constants!$H85*(1-Constants!$H103))+(AB9*Constants!$H67*Constants!$H119))</f>
        <v>175679597.04104221</v>
      </c>
      <c r="AC54" s="22">
        <f>((AC9*Constants!$H67*Constants!$H85*(1-Constants!$H103))+(AC9*Constants!$H67*Constants!$H119))</f>
        <v>176961929.86615929</v>
      </c>
      <c r="AD54" s="22">
        <f>((AD9*Constants!$H67*Constants!$H85*(1-Constants!$H103))+(AD9*Constants!$H67*Constants!$H119))</f>
        <v>170220829.04940793</v>
      </c>
      <c r="AE54" s="22">
        <f>((AE9*Constants!$H67*Constants!$H85*(1-Constants!$H103))+(AE9*Constants!$H67*Constants!$H119))</f>
        <v>169617876.47816974</v>
      </c>
      <c r="AF54" s="22">
        <f>((AF9*Constants!$H67*Constants!$H85*(1-Constants!$H103))+(AF9*Constants!$H67*Constants!$H119))</f>
        <v>167399175.44039172</v>
      </c>
      <c r="AG54" s="22">
        <f>((AG9*Constants!$H67*Constants!$H85*(1-Constants!$H103))+(AG9*Constants!$H67*Constants!$H119))</f>
        <v>163967423.12640145</v>
      </c>
      <c r="AH54" s="22">
        <f>((AH9*Constants!$H67*Constants!$H85*(1-Constants!$H103))+(AH9*Constants!$H67*Constants!$H119))</f>
        <v>159840578.29042503</v>
      </c>
      <c r="AI54" s="22">
        <f>((AI9*Constants!$H67*Constants!$H85*(1-Constants!$H103))+(AI9*Constants!$H67*Constants!$H119))</f>
        <v>156380537.42381895</v>
      </c>
      <c r="AJ54" s="22">
        <f>((AJ9*Constants!$H67*Constants!$H85*(1-Constants!$H103))+(AJ9*Constants!$H67*Constants!$H119))</f>
        <v>153321990.47623408</v>
      </c>
      <c r="AK54" s="22">
        <f>((AK9*Constants!$H67*Constants!$H85*(1-Constants!$H103))+(AK9*Constants!$H67*Constants!$H119))</f>
        <v>150241235.48902777</v>
      </c>
      <c r="AL54" s="22">
        <f>((AL9*Constants!$H67*Constants!$H85*(1-Constants!$H103))+(AL9*Constants!$H67*Constants!$H119))</f>
        <v>130970610.50309546</v>
      </c>
      <c r="AM54" s="22">
        <f>((AM9*Constants!$H67*Constants!$H85*(1-Constants!$H103))+(AM9*Constants!$H67*Constants!$H119))</f>
        <v>131719277.05211054</v>
      </c>
      <c r="AN54" s="22">
        <f>((AN9*Constants!$H67*Constants!$H85*(1-Constants!$H103))+(AN9*Constants!$H67*Constants!$H119))</f>
        <v>132467624.68458533</v>
      </c>
      <c r="AO54" s="22">
        <f>((AO9*Constants!$H67*Constants!$H85*(1-Constants!$H103))+(AO9*Constants!$H67*Constants!$H119))</f>
        <v>133533791.62439287</v>
      </c>
      <c r="AP54" s="22">
        <f>((AP9*Constants!$H67*Constants!$H85*(1-Constants!$H103))+(AP9*Constants!$H67*Constants!$H119))</f>
        <v>134782219.54056185</v>
      </c>
      <c r="AQ54" s="22">
        <f>((AQ9*Constants!$H67*Constants!$H85*(1-Constants!$H103))+(AQ9*Constants!$H67*Constants!$H119))</f>
        <v>135924227.78648642</v>
      </c>
      <c r="AR54" s="22">
        <f>((AR9*Constants!$H67*Constants!$H85*(1-Constants!$H103))+(AR9*Constants!$H67*Constants!$H119))</f>
        <v>137546279.46958295</v>
      </c>
      <c r="AS54" s="22">
        <f>((AS9*Constants!$H67*Constants!$H85*(1-Constants!$H103))+(AS9*Constants!$H67*Constants!$H119))</f>
        <v>139239787.90244457</v>
      </c>
      <c r="AT54" s="22">
        <f>((AT9*Constants!$H67*Constants!$H85*(1-Constants!$H103))+(AT9*Constants!$H67*Constants!$H119))</f>
        <v>141076090.99944404</v>
      </c>
      <c r="AU54" s="22">
        <f>((AU9*Constants!$H67*Constants!$H85*(1-Constants!$H103))+(AU9*Constants!$H67*Constants!$H119))</f>
        <v>142963522.08383802</v>
      </c>
      <c r="AV54" s="22">
        <f>((AV9*Constants!$H67*Constants!$H85*(1-Constants!$H103))+(AV9*Constants!$H67*Constants!$H119))</f>
        <v>144094090.86529243</v>
      </c>
      <c r="AW54" s="22">
        <f>((AW9*Constants!$H67*Constants!$H85*(1-Constants!$H103))+(AW9*Constants!$H67*Constants!$H119))</f>
        <v>144862889.80184758</v>
      </c>
      <c r="AX54" s="22">
        <f>((AX9*Constants!$H67*Constants!$H85*(1-Constants!$H103))+(AX9*Constants!$H67*Constants!$H119))</f>
        <v>145576131.99597067</v>
      </c>
      <c r="AY54" s="22">
        <f>((AY9*Constants!$H67*Constants!$H85*(1-Constants!$H103))+(AY9*Constants!$H67*Constants!$H119))</f>
        <v>146257914.78683144</v>
      </c>
      <c r="AZ54" s="22">
        <f>((AZ9*Constants!$H67*Constants!$H85*(1-Constants!$H103))+(AZ9*Constants!$H67*Constants!$H119))</f>
        <v>146608659.40365312</v>
      </c>
      <c r="BA54" s="22">
        <f>((BA9*Constants!$H67*Constants!$H85*(1-Constants!$H103))+(BA9*Constants!$H67*Constants!$H119))</f>
        <v>147047070.38980708</v>
      </c>
      <c r="BB54" s="22">
        <f>((BB9*Constants!$H67*Constants!$H85*(1-Constants!$H103))+(BB9*Constants!$H67*Constants!$H119))</f>
        <v>147564321.27076513</v>
      </c>
      <c r="BC54" s="22">
        <f>((BC9*Constants!$H67*Constants!$H85*(1-Constants!$H103))+(BC9*Constants!$H67*Constants!$H119))</f>
        <v>148072412.5534983</v>
      </c>
      <c r="BD54" s="22">
        <f>((BD9*Constants!$H67*Constants!$H85*(1-Constants!$H103))+(BD9*Constants!$H67*Constants!$H119))</f>
        <v>148369853.1458019</v>
      </c>
      <c r="BE54" s="22">
        <f>((BE9*Constants!$H67*Constants!$H85*(1-Constants!$H103))+(BE9*Constants!$H67*Constants!$H119))</f>
        <v>148653212.9446117</v>
      </c>
      <c r="BF54" s="22">
        <f>((BF9*Constants!$H67*Constants!$H85*(1-Constants!$H103))+(BF9*Constants!$H67*Constants!$H119))</f>
        <v>149026308.50802711</v>
      </c>
      <c r="BG54" s="22">
        <f>((BG9*Constants!$H67*Constants!$H85*(1-Constants!$H103))+(BG9*Constants!$H67*Constants!$H119))</f>
        <v>150184593.35293698</v>
      </c>
      <c r="BH54" s="22">
        <f>((BH9*Constants!$H67*Constants!$H85*(1-Constants!$H103))+(BH9*Constants!$H67*Constants!$H119))</f>
        <v>151374084.77229118</v>
      </c>
      <c r="BI54" s="22">
        <f>((BI9*Constants!$H67*Constants!$H85*(1-Constants!$H103))+(BI9*Constants!$H67*Constants!$H119))</f>
        <v>152593545.69708309</v>
      </c>
      <c r="BJ54" s="22">
        <f>((BJ9*Constants!$H67*Constants!$H85*(1-Constants!$H103))+(BJ9*Constants!$H67*Constants!$H119))</f>
        <v>153835605.48965418</v>
      </c>
      <c r="BK54" s="22">
        <f>((BK9*Constants!$H67*Constants!$H85*(1-Constants!$H103))+(BK9*Constants!$H67*Constants!$H119))</f>
        <v>155132143.74850371</v>
      </c>
      <c r="BL54" s="22">
        <f>((BL9*Constants!$H67*Constants!$H85*(1-Constants!$H103))+(BL9*Constants!$H67*Constants!$H119))</f>
        <v>155988996.3455995</v>
      </c>
      <c r="BM54" s="22">
        <f>((BM9*Constants!$H67*Constants!$H85*(1-Constants!$H103))+(BM9*Constants!$H67*Constants!$H119))</f>
        <v>156880503.13099527</v>
      </c>
      <c r="BN54" s="22">
        <f>((BN9*Constants!$H67*Constants!$H85*(1-Constants!$H103))+(BN9*Constants!$H67*Constants!$H119))</f>
        <v>157832310.30651301</v>
      </c>
      <c r="BO54" s="22">
        <f>((BO9*Constants!$H67*Constants!$H85*(1-Constants!$H103))+(BO9*Constants!$H67*Constants!$H119))</f>
        <v>158850904.74733037</v>
      </c>
      <c r="BP54" s="22">
        <f>((BP9*Constants!$H67*Constants!$H85*(1-Constants!$H103))+(BP9*Constants!$H67*Constants!$H119))</f>
        <v>160028440.78919977</v>
      </c>
    </row>
    <row r="55" spans="1:72" x14ac:dyDescent="0.25">
      <c r="A55" t="str">
        <f t="shared" si="20"/>
        <v>3C Aggregated and non-CO2 emissions on land</v>
      </c>
      <c r="B55" t="str">
        <f t="shared" si="21"/>
        <v>3C4 Direct N2O from managed soils (N2O)</v>
      </c>
      <c r="C55" t="s">
        <v>409</v>
      </c>
      <c r="D55" t="str">
        <f>Constants!D120</f>
        <v xml:space="preserve"> - Feedlot</v>
      </c>
      <c r="E55" t="str">
        <f t="shared" si="23"/>
        <v>MM N available - Feedlot</v>
      </c>
      <c r="F55" t="str">
        <f t="shared" si="24"/>
        <v>kg N</v>
      </c>
      <c r="H55" s="22">
        <f>((H10*Constants!$H68*Constants!$H86*(1-Constants!$H104))+(H10*Constants!$H68*Constants!$H120))</f>
        <v>16959658.715999998</v>
      </c>
      <c r="I55" s="22">
        <f>((I10*Constants!$H68*Constants!$H86*(1-Constants!$H104))+(I10*Constants!$H68*Constants!$H120))</f>
        <v>16959658.715999998</v>
      </c>
      <c r="J55" s="22">
        <f>((J10*Constants!$H68*Constants!$H86*(1-Constants!$H104))+(J10*Constants!$H68*Constants!$H120))</f>
        <v>16959658.715999998</v>
      </c>
      <c r="K55" s="22">
        <f>((K10*Constants!$H68*Constants!$H86*(1-Constants!$H104))+(K10*Constants!$H68*Constants!$H120))</f>
        <v>16959658.715999998</v>
      </c>
      <c r="L55" s="22">
        <f>((L10*Constants!$H68*Constants!$H86*(1-Constants!$H104))+(L10*Constants!$H68*Constants!$H120))</f>
        <v>16959658.715999998</v>
      </c>
      <c r="M55" s="22">
        <f>((M10*Constants!$H68*Constants!$H86*(1-Constants!$H104))+(M10*Constants!$H68*Constants!$H120))</f>
        <v>16959658.715999998</v>
      </c>
      <c r="N55" s="22">
        <f>((N10*Constants!$H68*Constants!$H86*(1-Constants!$H104))+(N10*Constants!$H68*Constants!$H120))</f>
        <v>16959658.715999998</v>
      </c>
      <c r="O55" s="22">
        <f>((O10*Constants!$H68*Constants!$H86*(1-Constants!$H104))+(O10*Constants!$H68*Constants!$H120))</f>
        <v>16959658.715999998</v>
      </c>
      <c r="P55" s="22">
        <f>((P10*Constants!$H68*Constants!$H86*(1-Constants!$H104))+(P10*Constants!$H68*Constants!$H120))</f>
        <v>16959658.715999998</v>
      </c>
      <c r="Q55" s="22">
        <f>((Q10*Constants!$H68*Constants!$H86*(1-Constants!$H104))+(Q10*Constants!$H68*Constants!$H120))</f>
        <v>16959658.715999998</v>
      </c>
      <c r="R55" s="22">
        <f>((R10*Constants!$H68*Constants!$H86*(1-Constants!$H104))+(R10*Constants!$H68*Constants!$H120))</f>
        <v>16959658.715999998</v>
      </c>
      <c r="S55" s="22">
        <f>((S10*Constants!$H68*Constants!$H86*(1-Constants!$H104))+(S10*Constants!$H68*Constants!$H120))</f>
        <v>16959658.715999998</v>
      </c>
      <c r="T55" s="22">
        <f>((T10*Constants!$H68*Constants!$H86*(1-Constants!$H104))+(T10*Constants!$H68*Constants!$H120))</f>
        <v>16959658.715999998</v>
      </c>
      <c r="U55" s="22">
        <f>((U10*Constants!$H68*Constants!$H86*(1-Constants!$H104))+(U10*Constants!$H68*Constants!$H120))</f>
        <v>16959658.715999998</v>
      </c>
      <c r="V55" s="22">
        <f>((V10*Constants!$H68*Constants!$H86*(1-Constants!$H104))+(V10*Constants!$H68*Constants!$H120))</f>
        <v>16959658.715999998</v>
      </c>
      <c r="W55" s="22">
        <f>((W10*Constants!$H68*Constants!$H86*(1-Constants!$H104))+(W10*Constants!$H68*Constants!$H120))</f>
        <v>16959658.715999998</v>
      </c>
      <c r="X55" s="22">
        <f>((X10*Constants!$H68*Constants!$H86*(1-Constants!$H104))+(X10*Constants!$H68*Constants!$H120))</f>
        <v>16959658.715999998</v>
      </c>
      <c r="Y55" s="22">
        <f>((Y10*Constants!$H68*Constants!$H86*(1-Constants!$H104))+(Y10*Constants!$H68*Constants!$H120))</f>
        <v>16959658.715999998</v>
      </c>
      <c r="Z55" s="22">
        <f>((Z10*Constants!$H68*Constants!$H86*(1-Constants!$H104))+(Z10*Constants!$H68*Constants!$H120))</f>
        <v>15794600.827455448</v>
      </c>
      <c r="AA55" s="22">
        <f>((AA10*Constants!$H68*Constants!$H86*(1-Constants!$H104))+(AA10*Constants!$H68*Constants!$H120))</f>
        <v>16185144.079554448</v>
      </c>
      <c r="AB55" s="22">
        <f>((AB10*Constants!$H68*Constants!$H86*(1-Constants!$H104))+(AB10*Constants!$H68*Constants!$H120))</f>
        <v>16144881.715162199</v>
      </c>
      <c r="AC55" s="22">
        <f>((AC10*Constants!$H68*Constants!$H86*(1-Constants!$H104))+(AC10*Constants!$H68*Constants!$H120))</f>
        <v>18647555.2896633</v>
      </c>
      <c r="AD55" s="22">
        <f>((AD10*Constants!$H68*Constants!$H86*(1-Constants!$H104))+(AD10*Constants!$H68*Constants!$H120))</f>
        <v>21936674.524569381</v>
      </c>
      <c r="AE55" s="22">
        <f>((AE10*Constants!$H68*Constants!$H86*(1-Constants!$H104))+(AE10*Constants!$H68*Constants!$H120))</f>
        <v>22790265.399785545</v>
      </c>
      <c r="AF55" s="22">
        <f>((AF10*Constants!$H68*Constants!$H86*(1-Constants!$H104))+(AF10*Constants!$H68*Constants!$H120))</f>
        <v>23437561.289020516</v>
      </c>
      <c r="AG55" s="22">
        <f>((AG10*Constants!$H68*Constants!$H86*(1-Constants!$H104))+(AG10*Constants!$H68*Constants!$H120))</f>
        <v>23911136.498987421</v>
      </c>
      <c r="AH55" s="22">
        <f>((AH10*Constants!$H68*Constants!$H86*(1-Constants!$H104))+(AH10*Constants!$H68*Constants!$H120))</f>
        <v>24268931.1145746</v>
      </c>
      <c r="AI55" s="22">
        <f>((AI10*Constants!$H68*Constants!$H86*(1-Constants!$H104))+(AI10*Constants!$H68*Constants!$H120))</f>
        <v>24713583.410355307</v>
      </c>
      <c r="AJ55" s="22">
        <f>((AJ10*Constants!$H68*Constants!$H86*(1-Constants!$H104))+(AJ10*Constants!$H68*Constants!$H120))</f>
        <v>25214074.709526382</v>
      </c>
      <c r="AK55" s="22">
        <f>((AK10*Constants!$H68*Constants!$H86*(1-Constants!$H104))+(AK10*Constants!$H68*Constants!$H120))</f>
        <v>25705998.574874807</v>
      </c>
      <c r="AL55" s="22">
        <f>((AL10*Constants!$H68*Constants!$H86*(1-Constants!$H104))+(AL10*Constants!$H68*Constants!$H120))</f>
        <v>23311487.897513896</v>
      </c>
      <c r="AM55" s="22">
        <f>((AM10*Constants!$H68*Constants!$H86*(1-Constants!$H104))+(AM10*Constants!$H68*Constants!$H120))</f>
        <v>24006542.88929547</v>
      </c>
      <c r="AN55" s="22">
        <f>((AN10*Constants!$H68*Constants!$H86*(1-Constants!$H104))+(AN10*Constants!$H68*Constants!$H120))</f>
        <v>24713525.014789049</v>
      </c>
      <c r="AO55" s="22">
        <f>((AO10*Constants!$H68*Constants!$H86*(1-Constants!$H104))+(AO10*Constants!$H68*Constants!$H120))</f>
        <v>25493733.098282006</v>
      </c>
      <c r="AP55" s="22">
        <f>((AP10*Constants!$H68*Constants!$H86*(1-Constants!$H104))+(AP10*Constants!$H68*Constants!$H120))</f>
        <v>26325443.484553494</v>
      </c>
      <c r="AQ55" s="22">
        <f>((AQ10*Constants!$H68*Constants!$H86*(1-Constants!$H104))+(AQ10*Constants!$H68*Constants!$H120))</f>
        <v>27154021.323265079</v>
      </c>
      <c r="AR55" s="22">
        <f>((AR10*Constants!$H68*Constants!$H86*(1-Constants!$H104))+(AR10*Constants!$H68*Constants!$H120))</f>
        <v>28098462.977087468</v>
      </c>
      <c r="AS55" s="22">
        <f>((AS10*Constants!$H68*Constants!$H86*(1-Constants!$H104))+(AS10*Constants!$H68*Constants!$H120))</f>
        <v>29080632.838555619</v>
      </c>
      <c r="AT55" s="22">
        <f>((AT10*Constants!$H68*Constants!$H86*(1-Constants!$H104))+(AT10*Constants!$H68*Constants!$H120))</f>
        <v>30117467.546881158</v>
      </c>
      <c r="AU55" s="22">
        <f>((AU10*Constants!$H68*Constants!$H86*(1-Constants!$H104))+(AU10*Constants!$H68*Constants!$H120))</f>
        <v>31191721.75094397</v>
      </c>
      <c r="AV55" s="22">
        <f>((AV10*Constants!$H68*Constants!$H86*(1-Constants!$H104))+(AV10*Constants!$H68*Constants!$H120))</f>
        <v>32124779.384584792</v>
      </c>
      <c r="AW55" s="22">
        <f>((AW10*Constants!$H68*Constants!$H86*(1-Constants!$H104))+(AW10*Constants!$H68*Constants!$H120))</f>
        <v>33363447.667482499</v>
      </c>
      <c r="AX55" s="22">
        <f>((AX10*Constants!$H68*Constants!$H86*(1-Constants!$H104))+(AX10*Constants!$H68*Constants!$H120))</f>
        <v>34637847.165929735</v>
      </c>
      <c r="AY55" s="22">
        <f>((AY10*Constants!$H68*Constants!$H86*(1-Constants!$H104))+(AY10*Constants!$H68*Constants!$H120))</f>
        <v>35955314.420660086</v>
      </c>
      <c r="AZ55" s="22">
        <f>((AZ10*Constants!$H68*Constants!$H86*(1-Constants!$H104))+(AZ10*Constants!$H68*Constants!$H120))</f>
        <v>37241845.770015404</v>
      </c>
      <c r="BA55" s="22">
        <f>((BA10*Constants!$H68*Constants!$H86*(1-Constants!$H104))+(BA10*Constants!$H68*Constants!$H120))</f>
        <v>38601965.193724856</v>
      </c>
      <c r="BB55" s="22">
        <f>((BB10*Constants!$H68*Constants!$H86*(1-Constants!$H104))+(BB10*Constants!$H68*Constants!$H120))</f>
        <v>40038536.38256862</v>
      </c>
      <c r="BC55" s="22">
        <f>((BC10*Constants!$H68*Constants!$H86*(1-Constants!$H104))+(BC10*Constants!$H68*Constants!$H120))</f>
        <v>41532287.797964931</v>
      </c>
      <c r="BD55" s="22">
        <f>((BD10*Constants!$H68*Constants!$H86*(1-Constants!$H104))+(BD10*Constants!$H68*Constants!$H120))</f>
        <v>43028099.061661914</v>
      </c>
      <c r="BE55" s="22">
        <f>((BE10*Constants!$H68*Constants!$H86*(1-Constants!$H104))+(BE10*Constants!$H68*Constants!$H120))</f>
        <v>44582504.002001338</v>
      </c>
      <c r="BF55" s="22">
        <f>((BF10*Constants!$H68*Constants!$H86*(1-Constants!$H104))+(BF10*Constants!$H68*Constants!$H120))</f>
        <v>46231156.889215976</v>
      </c>
      <c r="BG55" s="22">
        <f>((BG10*Constants!$H68*Constants!$H86*(1-Constants!$H104))+(BG10*Constants!$H68*Constants!$H120))</f>
        <v>47900002.484908305</v>
      </c>
      <c r="BH55" s="22">
        <f>((BH10*Constants!$H68*Constants!$H86*(1-Constants!$H104))+(BH10*Constants!$H68*Constants!$H120))</f>
        <v>49641105.373319142</v>
      </c>
      <c r="BI55" s="22">
        <f>((BI10*Constants!$H68*Constants!$H86*(1-Constants!$H104))+(BI10*Constants!$H68*Constants!$H120))</f>
        <v>51457967.196807146</v>
      </c>
      <c r="BJ55" s="22">
        <f>((BJ10*Constants!$H68*Constants!$H86*(1-Constants!$H104))+(BJ10*Constants!$H68*Constants!$H120))</f>
        <v>53352164.42257268</v>
      </c>
      <c r="BK55" s="22">
        <f>((BK10*Constants!$H68*Constants!$H86*(1-Constants!$H104))+(BK10*Constants!$H68*Constants!$H120))</f>
        <v>55339250.585375413</v>
      </c>
      <c r="BL55" s="22">
        <f>((BL10*Constants!$H68*Constants!$H86*(1-Constants!$H104))+(BL10*Constants!$H68*Constants!$H120))</f>
        <v>57243318.875902183</v>
      </c>
      <c r="BM55" s="22">
        <f>((BM10*Constants!$H68*Constants!$H86*(1-Constants!$H104))+(BM10*Constants!$H68*Constants!$H120))</f>
        <v>59233553.763766006</v>
      </c>
      <c r="BN55" s="22">
        <f>((BN10*Constants!$H68*Constants!$H86*(1-Constants!$H104))+(BN10*Constants!$H68*Constants!$H120))</f>
        <v>61324916.273903564</v>
      </c>
      <c r="BO55" s="22">
        <f>((BO10*Constants!$H68*Constants!$H86*(1-Constants!$H104))+(BO10*Constants!$H68*Constants!$H120))</f>
        <v>63526218.494345374</v>
      </c>
      <c r="BP55" s="22">
        <f>((BP10*Constants!$H68*Constants!$H86*(1-Constants!$H104))+(BP10*Constants!$H68*Constants!$H120))</f>
        <v>65882288.511730462</v>
      </c>
    </row>
    <row r="56" spans="1:72" x14ac:dyDescent="0.25">
      <c r="A56" t="str">
        <f t="shared" si="20"/>
        <v>3C Aggregated and non-CO2 emissions on land</v>
      </c>
      <c r="B56" t="str">
        <f t="shared" si="21"/>
        <v>3C4 Direct N2O from managed soils (N2O)</v>
      </c>
      <c r="C56" t="s">
        <v>409</v>
      </c>
      <c r="D56" t="str">
        <f>Constants!D121</f>
        <v xml:space="preserve"> - Commercial sheep</v>
      </c>
      <c r="E56" t="str">
        <f t="shared" si="23"/>
        <v>MM N available - Commercial sheep</v>
      </c>
      <c r="F56" t="str">
        <f t="shared" si="24"/>
        <v>kg N</v>
      </c>
      <c r="H56" s="22">
        <f>((H11*Constants!$H69*Constants!$H87*(1-Constants!$H105))+(H11*Constants!$H69*Constants!$H121))</f>
        <v>5854027.4791245274</v>
      </c>
      <c r="I56" s="22">
        <f>((I11*Constants!$H69*Constants!$H87*(1-Constants!$H105))+(I11*Constants!$H69*Constants!$H121))</f>
        <v>5590802.2534045279</v>
      </c>
      <c r="J56" s="22">
        <f>((J11*Constants!$H69*Constants!$H87*(1-Constants!$H105))+(J11*Constants!$H69*Constants!$H121))</f>
        <v>5359796.7326131631</v>
      </c>
      <c r="K56" s="22">
        <f>((K11*Constants!$H69*Constants!$H87*(1-Constants!$H105))+(K11*Constants!$H69*Constants!$H121))</f>
        <v>5012605.003139752</v>
      </c>
      <c r="L56" s="22">
        <f>((L11*Constants!$H69*Constants!$H87*(1-Constants!$H105))+(L11*Constants!$H69*Constants!$H121))</f>
        <v>5047949.0430917693</v>
      </c>
      <c r="M56" s="22">
        <f>((M11*Constants!$H69*Constants!$H87*(1-Constants!$H105))+(M11*Constants!$H69*Constants!$H121))</f>
        <v>4975698.7956760423</v>
      </c>
      <c r="N56" s="22">
        <f>((N11*Constants!$H69*Constants!$H87*(1-Constants!$H105))+(N11*Constants!$H69*Constants!$H121))</f>
        <v>4992296.8254877636</v>
      </c>
      <c r="O56" s="22">
        <f>((O11*Constants!$H69*Constants!$H87*(1-Constants!$H105))+(O11*Constants!$H69*Constants!$H121))</f>
        <v>4883726.1834252123</v>
      </c>
      <c r="P56" s="22">
        <f>((P11*Constants!$H69*Constants!$H87*(1-Constants!$H105))+(P11*Constants!$H69*Constants!$H121))</f>
        <v>4897199.8782135509</v>
      </c>
      <c r="Q56" s="22">
        <f>((Q11*Constants!$H69*Constants!$H87*(1-Constants!$H105))+(Q11*Constants!$H69*Constants!$H121))</f>
        <v>4776912.9798133131</v>
      </c>
      <c r="R56" s="22">
        <f>((R11*Constants!$H69*Constants!$H87*(1-Constants!$H105))+(R11*Constants!$H69*Constants!$H121))</f>
        <v>4605660.3663441446</v>
      </c>
      <c r="S56" s="22">
        <f>((S11*Constants!$H69*Constants!$H87*(1-Constants!$H105))+(S11*Constants!$H69*Constants!$H121))</f>
        <v>4490841.0542348269</v>
      </c>
      <c r="T56" s="22">
        <f>((T11*Constants!$H69*Constants!$H87*(1-Constants!$H105))+(T11*Constants!$H69*Constants!$H121))</f>
        <v>4415857.0136736408</v>
      </c>
      <c r="U56" s="22">
        <f>((U11*Constants!$H69*Constants!$H87*(1-Constants!$H105))+(U11*Constants!$H69*Constants!$H121))</f>
        <v>4431283.4178515924</v>
      </c>
      <c r="V56" s="22">
        <f>((V11*Constants!$H69*Constants!$H87*(1-Constants!$H105))+(V11*Constants!$H69*Constants!$H121))</f>
        <v>4352393.9585111775</v>
      </c>
      <c r="W56" s="22">
        <f>((W11*Constants!$H69*Constants!$H87*(1-Constants!$H105))+(W11*Constants!$H69*Constants!$H121))</f>
        <v>4342044.5987462224</v>
      </c>
      <c r="X56" s="22">
        <f>((X11*Constants!$H69*Constants!$H87*(1-Constants!$H105))+(X11*Constants!$H69*Constants!$H121))</f>
        <v>4285220.7555084471</v>
      </c>
      <c r="Y56" s="22">
        <f>((Y11*Constants!$H69*Constants!$H87*(1-Constants!$H105))+(Y11*Constants!$H69*Constants!$H121))</f>
        <v>4281120.0657902574</v>
      </c>
      <c r="Z56" s="22">
        <f>((Z11*Constants!$H69*Constants!$H87*(1-Constants!$H105))+(Z11*Constants!$H69*Constants!$H121))</f>
        <v>4294984.3024565196</v>
      </c>
      <c r="AA56" s="22">
        <f>((AA11*Constants!$H69*Constants!$H87*(1-Constants!$H105))+(AA11*Constants!$H69*Constants!$H121))</f>
        <v>4279753.1692175278</v>
      </c>
      <c r="AB56" s="22">
        <f>((AB11*Constants!$H69*Constants!$H87*(1-Constants!$H105))+(AB11*Constants!$H69*Constants!$H121))</f>
        <v>4196958.2910978841</v>
      </c>
      <c r="AC56" s="22">
        <f>((AC11*Constants!$H69*Constants!$H87*(1-Constants!$H105))+(AC11*Constants!$H69*Constants!$H121))</f>
        <v>4164152.7733523645</v>
      </c>
      <c r="AD56" s="22">
        <f>((AD11*Constants!$H69*Constants!$H87*(1-Constants!$H105))+(AD11*Constants!$H69*Constants!$H121))</f>
        <v>3713650.5489632222</v>
      </c>
      <c r="AE56" s="22">
        <f>((AE11*Constants!$H69*Constants!$H87*(1-Constants!$H105))+(AE11*Constants!$H69*Constants!$H121))</f>
        <v>3715738.5999122295</v>
      </c>
      <c r="AF56" s="22">
        <f>((AF11*Constants!$H69*Constants!$H87*(1-Constants!$H105))+(AF11*Constants!$H69*Constants!$H121))</f>
        <v>3720301.0543291587</v>
      </c>
      <c r="AG56" s="22">
        <f>((AG11*Constants!$H69*Constants!$H87*(1-Constants!$H105))+(AG11*Constants!$H69*Constants!$H121))</f>
        <v>3727215.9969024141</v>
      </c>
      <c r="AH56" s="22">
        <f>((AH11*Constants!$H69*Constants!$H87*(1-Constants!$H105))+(AH11*Constants!$H69*Constants!$H121))</f>
        <v>3736414.7095410288</v>
      </c>
      <c r="AI56" s="22">
        <f>((AI11*Constants!$H69*Constants!$H87*(1-Constants!$H105))+(AI11*Constants!$H69*Constants!$H121))</f>
        <v>3747974.7015423793</v>
      </c>
      <c r="AJ56" s="22">
        <f>((AJ11*Constants!$H69*Constants!$H87*(1-Constants!$H105))+(AJ11*Constants!$H69*Constants!$H121))</f>
        <v>3760870.6416056748</v>
      </c>
      <c r="AK56" s="22">
        <f>((AK11*Constants!$H69*Constants!$H87*(1-Constants!$H105))+(AK11*Constants!$H69*Constants!$H121))</f>
        <v>3775067.0515393037</v>
      </c>
      <c r="AL56" s="22">
        <f>((AL11*Constants!$H69*Constants!$H87*(1-Constants!$H105))+(AL11*Constants!$H69*Constants!$H121))</f>
        <v>3788154.9033764075</v>
      </c>
      <c r="AM56" s="22">
        <f>((AM11*Constants!$H69*Constants!$H87*(1-Constants!$H105))+(AM11*Constants!$H69*Constants!$H121))</f>
        <v>3797985.4752845014</v>
      </c>
      <c r="AN56" s="22">
        <f>((AN11*Constants!$H69*Constants!$H87*(1-Constants!$H105))+(AN11*Constants!$H69*Constants!$H121))</f>
        <v>3806509.3180784849</v>
      </c>
      <c r="AO56" s="22">
        <f>((AO11*Constants!$H69*Constants!$H87*(1-Constants!$H105))+(AO11*Constants!$H69*Constants!$H121))</f>
        <v>3813673.951868488</v>
      </c>
      <c r="AP56" s="22">
        <f>((AP11*Constants!$H69*Constants!$H87*(1-Constants!$H105))+(AP11*Constants!$H69*Constants!$H121))</f>
        <v>3820867.7616894236</v>
      </c>
      <c r="AQ56" s="22">
        <f>((AQ11*Constants!$H69*Constants!$H87*(1-Constants!$H105))+(AQ11*Constants!$H69*Constants!$H121))</f>
        <v>3827988.8777702958</v>
      </c>
      <c r="AR56" s="22">
        <f>((AR11*Constants!$H69*Constants!$H87*(1-Constants!$H105))+(AR11*Constants!$H69*Constants!$H121))</f>
        <v>3835075.6290624742</v>
      </c>
      <c r="AS56" s="22">
        <f>((AS11*Constants!$H69*Constants!$H87*(1-Constants!$H105))+(AS11*Constants!$H69*Constants!$H121))</f>
        <v>3842016.8614028045</v>
      </c>
      <c r="AT56" s="22">
        <f>((AT11*Constants!$H69*Constants!$H87*(1-Constants!$H105))+(AT11*Constants!$H69*Constants!$H121))</f>
        <v>3848779.3317087456</v>
      </c>
      <c r="AU56" s="22">
        <f>((AU11*Constants!$H69*Constants!$H87*(1-Constants!$H105))+(AU11*Constants!$H69*Constants!$H121))</f>
        <v>3855489.8983199671</v>
      </c>
      <c r="AV56" s="22">
        <f>((AV11*Constants!$H69*Constants!$H87*(1-Constants!$H105))+(AV11*Constants!$H69*Constants!$H121))</f>
        <v>3861977.7330418616</v>
      </c>
      <c r="AW56" s="22">
        <f>((AW11*Constants!$H69*Constants!$H87*(1-Constants!$H105))+(AW11*Constants!$H69*Constants!$H121))</f>
        <v>3868478.3013679367</v>
      </c>
      <c r="AX56" s="22">
        <f>((AX11*Constants!$H69*Constants!$H87*(1-Constants!$H105))+(AX11*Constants!$H69*Constants!$H121))</f>
        <v>3874817.5191192273</v>
      </c>
      <c r="AY56" s="22">
        <f>((AY11*Constants!$H69*Constants!$H87*(1-Constants!$H105))+(AY11*Constants!$H69*Constants!$H121))</f>
        <v>3880970.5432704338</v>
      </c>
      <c r="AZ56" s="22">
        <f>((AZ11*Constants!$H69*Constants!$H87*(1-Constants!$H105))+(AZ11*Constants!$H69*Constants!$H121))</f>
        <v>3886907.7510500099</v>
      </c>
      <c r="BA56" s="22">
        <f>((BA11*Constants!$H69*Constants!$H87*(1-Constants!$H105))+(BA11*Constants!$H69*Constants!$H121))</f>
        <v>3892679.1470246394</v>
      </c>
      <c r="BB56" s="22">
        <f>((BB11*Constants!$H69*Constants!$H87*(1-Constants!$H105))+(BB11*Constants!$H69*Constants!$H121))</f>
        <v>3898261.6221572398</v>
      </c>
      <c r="BC56" s="22">
        <f>((BC11*Constants!$H69*Constants!$H87*(1-Constants!$H105))+(BC11*Constants!$H69*Constants!$H121))</f>
        <v>3903617.9477141248</v>
      </c>
      <c r="BD56" s="22">
        <f>((BD11*Constants!$H69*Constants!$H87*(1-Constants!$H105))+(BD11*Constants!$H69*Constants!$H121))</f>
        <v>3908687.8384278966</v>
      </c>
      <c r="BE56" s="22">
        <f>((BE11*Constants!$H69*Constants!$H87*(1-Constants!$H105))+(BE11*Constants!$H69*Constants!$H121))</f>
        <v>3913545.5965352389</v>
      </c>
      <c r="BF56" s="22">
        <f>((BF11*Constants!$H69*Constants!$H87*(1-Constants!$H105))+(BF11*Constants!$H69*Constants!$H121))</f>
        <v>3918196.4352696771</v>
      </c>
      <c r="BG56" s="22">
        <f>((BG11*Constants!$H69*Constants!$H87*(1-Constants!$H105))+(BG11*Constants!$H69*Constants!$H121))</f>
        <v>3922611.9142231229</v>
      </c>
      <c r="BH56" s="22">
        <f>((BH11*Constants!$H69*Constants!$H87*(1-Constants!$H105))+(BH11*Constants!$H69*Constants!$H121))</f>
        <v>3926772.1032336904</v>
      </c>
      <c r="BI56" s="22">
        <f>((BI11*Constants!$H69*Constants!$H87*(1-Constants!$H105))+(BI11*Constants!$H69*Constants!$H121))</f>
        <v>3930663.0483899205</v>
      </c>
      <c r="BJ56" s="22">
        <f>((BJ11*Constants!$H69*Constants!$H87*(1-Constants!$H105))+(BJ11*Constants!$H69*Constants!$H121))</f>
        <v>3934272.5806948706</v>
      </c>
      <c r="BK56" s="22">
        <f>((BK11*Constants!$H69*Constants!$H87*(1-Constants!$H105))+(BK11*Constants!$H69*Constants!$H121))</f>
        <v>3937596.2995153321</v>
      </c>
      <c r="BL56" s="22">
        <f>((BL11*Constants!$H69*Constants!$H87*(1-Constants!$H105))+(BL11*Constants!$H69*Constants!$H121))</f>
        <v>3940505.207336687</v>
      </c>
      <c r="BM56" s="22">
        <f>((BM11*Constants!$H69*Constants!$H87*(1-Constants!$H105))+(BM11*Constants!$H69*Constants!$H121))</f>
        <v>3943098.1852200013</v>
      </c>
      <c r="BN56" s="22">
        <f>((BN11*Constants!$H69*Constants!$H87*(1-Constants!$H105))+(BN11*Constants!$H69*Constants!$H121))</f>
        <v>3945372.3678625706</v>
      </c>
      <c r="BO56" s="22">
        <f>((BO11*Constants!$H69*Constants!$H87*(1-Constants!$H105))+(BO11*Constants!$H69*Constants!$H121))</f>
        <v>3947313.9734854898</v>
      </c>
      <c r="BP56" s="22">
        <f>((BP11*Constants!$H69*Constants!$H87*(1-Constants!$H105))+(BP11*Constants!$H69*Constants!$H121))</f>
        <v>3948940.0390478461</v>
      </c>
    </row>
    <row r="57" spans="1:72" x14ac:dyDescent="0.25">
      <c r="A57" t="str">
        <f t="shared" si="20"/>
        <v>3C Aggregated and non-CO2 emissions on land</v>
      </c>
      <c r="B57" t="str">
        <f t="shared" si="21"/>
        <v>3C4 Direct N2O from managed soils (N2O)</v>
      </c>
      <c r="C57" t="s">
        <v>409</v>
      </c>
      <c r="D57" t="str">
        <f>Constants!D122</f>
        <v xml:space="preserve"> - Subsistence sheep</v>
      </c>
      <c r="E57" t="str">
        <f t="shared" si="23"/>
        <v>MM N available - Subsistence sheep</v>
      </c>
      <c r="F57" t="str">
        <f t="shared" si="24"/>
        <v>kg N</v>
      </c>
      <c r="H57" s="22">
        <f>((H12*Constants!$H70*Constants!$H88*(1-Constants!$H106))+(H12*Constants!$H70*Constants!$H122))</f>
        <v>4449823.866729687</v>
      </c>
      <c r="I57" s="22">
        <f>((I12*Constants!$H70*Constants!$H88*(1-Constants!$H106))+(I12*Constants!$H70*Constants!$H122))</f>
        <v>4249738.3878160603</v>
      </c>
      <c r="J57" s="22">
        <f>((J12*Constants!$H70*Constants!$H88*(1-Constants!$H106))+(J12*Constants!$H70*Constants!$H122))</f>
        <v>4074144.0839920086</v>
      </c>
      <c r="K57" s="22">
        <f>((K12*Constants!$H70*Constants!$H88*(1-Constants!$H106))+(K12*Constants!$H70*Constants!$H122))</f>
        <v>3810233.1184813054</v>
      </c>
      <c r="L57" s="22">
        <f>((L12*Constants!$H70*Constants!$H88*(1-Constants!$H106))+(L12*Constants!$H70*Constants!$H122))</f>
        <v>3837099.1953977491</v>
      </c>
      <c r="M57" s="22">
        <f>((M12*Constants!$H70*Constants!$H88*(1-Constants!$H106))+(M12*Constants!$H70*Constants!$H122))</f>
        <v>3782179.5906514279</v>
      </c>
      <c r="N57" s="22">
        <f>((N12*Constants!$H70*Constants!$H88*(1-Constants!$H106))+(N12*Constants!$H70*Constants!$H122))</f>
        <v>3794796.2566066636</v>
      </c>
      <c r="O57" s="22">
        <f>((O12*Constants!$H70*Constants!$H88*(1-Constants!$H106))+(O12*Constants!$H70*Constants!$H122))</f>
        <v>3712268.4181230017</v>
      </c>
      <c r="P57" s="22">
        <f>((P12*Constants!$H70*Constants!$H88*(1-Constants!$H106))+(P12*Constants!$H70*Constants!$H122))</f>
        <v>3722510.1822513817</v>
      </c>
      <c r="Q57" s="22">
        <f>((Q12*Constants!$H70*Constants!$H88*(1-Constants!$H106))+(Q12*Constants!$H70*Constants!$H122))</f>
        <v>3631076.4619169645</v>
      </c>
      <c r="R57" s="22">
        <f>((R12*Constants!$H70*Constants!$H88*(1-Constants!$H106))+(R12*Constants!$H70*Constants!$H122))</f>
        <v>3500902.1555317631</v>
      </c>
      <c r="S57" s="22">
        <f>((S12*Constants!$H70*Constants!$H88*(1-Constants!$H106))+(S12*Constants!$H70*Constants!$H122))</f>
        <v>3413624.5133943642</v>
      </c>
      <c r="T57" s="22">
        <f>((T12*Constants!$H70*Constants!$H88*(1-Constants!$H106))+(T12*Constants!$H70*Constants!$H122))</f>
        <v>3356626.8695495329</v>
      </c>
      <c r="U57" s="22">
        <f>((U12*Constants!$H70*Constants!$H88*(1-Constants!$H106))+(U12*Constants!$H70*Constants!$H122))</f>
        <v>3368352.9473196943</v>
      </c>
      <c r="V57" s="22">
        <f>((V12*Constants!$H70*Constants!$H88*(1-Constants!$H106))+(V12*Constants!$H70*Constants!$H122))</f>
        <v>3308386.6761912769</v>
      </c>
      <c r="W57" s="22">
        <f>((W12*Constants!$H70*Constants!$H88*(1-Constants!$H106))+(W12*Constants!$H70*Constants!$H122))</f>
        <v>3300519.8138897773</v>
      </c>
      <c r="X57" s="22">
        <f>((X12*Constants!$H70*Constants!$H88*(1-Constants!$H106))+(X12*Constants!$H70*Constants!$H122))</f>
        <v>3257326.2869136157</v>
      </c>
      <c r="Y57" s="22">
        <f>((Y12*Constants!$H70*Constants!$H88*(1-Constants!$H106))+(Y12*Constants!$H70*Constants!$H122))</f>
        <v>3254209.2282658513</v>
      </c>
      <c r="Z57" s="22">
        <f>((Z12*Constants!$H70*Constants!$H88*(1-Constants!$H106))+(Z12*Constants!$H70*Constants!$H122))</f>
        <v>3264747.8551225783</v>
      </c>
      <c r="AA57" s="22">
        <f>((AA12*Constants!$H70*Constants!$H88*(1-Constants!$H106))+(AA12*Constants!$H70*Constants!$H122))</f>
        <v>3253170.2087165965</v>
      </c>
      <c r="AB57" s="22">
        <f>((AB12*Constants!$H70*Constants!$H88*(1-Constants!$H106))+(AB12*Constants!$H70*Constants!$H122))</f>
        <v>3190235.3103045956</v>
      </c>
      <c r="AC57" s="22">
        <f>((AC12*Constants!$H70*Constants!$H88*(1-Constants!$H106))+(AC12*Constants!$H70*Constants!$H122))</f>
        <v>3165298.8411224815</v>
      </c>
      <c r="AD57" s="22">
        <f>((AD12*Constants!$H70*Constants!$H88*(1-Constants!$H106))+(AD12*Constants!$H70*Constants!$H122))</f>
        <v>3022406.7459618142</v>
      </c>
      <c r="AE57" s="22">
        <f>((AE12*Constants!$H70*Constants!$H88*(1-Constants!$H106))+(AE12*Constants!$H70*Constants!$H122))</f>
        <v>3024106.135603081</v>
      </c>
      <c r="AF57" s="22">
        <f>((AF12*Constants!$H70*Constants!$H88*(1-Constants!$H106))+(AF12*Constants!$H70*Constants!$H122))</f>
        <v>3027819.3533186573</v>
      </c>
      <c r="AG57" s="22">
        <f>((AG12*Constants!$H70*Constants!$H88*(1-Constants!$H106))+(AG12*Constants!$H70*Constants!$H122))</f>
        <v>3033447.176616997</v>
      </c>
      <c r="AH57" s="22">
        <f>((AH12*Constants!$H70*Constants!$H88*(1-Constants!$H106))+(AH12*Constants!$H70*Constants!$H122))</f>
        <v>3040933.6783129834</v>
      </c>
      <c r="AI57" s="22">
        <f>((AI12*Constants!$H70*Constants!$H88*(1-Constants!$H106))+(AI12*Constants!$H70*Constants!$H122))</f>
        <v>3050341.9404387502</v>
      </c>
      <c r="AJ57" s="22">
        <f>((AJ12*Constants!$H70*Constants!$H88*(1-Constants!$H106))+(AJ12*Constants!$H70*Constants!$H122))</f>
        <v>3060837.482689946</v>
      </c>
      <c r="AK57" s="22">
        <f>((AK12*Constants!$H70*Constants!$H88*(1-Constants!$H106))+(AK12*Constants!$H70*Constants!$H122))</f>
        <v>3072391.4306411939</v>
      </c>
      <c r="AL57" s="22">
        <f>((AL12*Constants!$H70*Constants!$H88*(1-Constants!$H106))+(AL12*Constants!$H70*Constants!$H122))</f>
        <v>3083043.1629894762</v>
      </c>
      <c r="AM57" s="22">
        <f>((AM12*Constants!$H70*Constants!$H88*(1-Constants!$H106))+(AM12*Constants!$H70*Constants!$H122))</f>
        <v>3091043.912241444</v>
      </c>
      <c r="AN57" s="22">
        <f>((AN12*Constants!$H70*Constants!$H88*(1-Constants!$H106))+(AN12*Constants!$H70*Constants!$H122))</f>
        <v>3097981.161619754</v>
      </c>
      <c r="AO57" s="22">
        <f>((AO12*Constants!$H70*Constants!$H88*(1-Constants!$H106))+(AO12*Constants!$H70*Constants!$H122))</f>
        <v>3103812.199627704</v>
      </c>
      <c r="AP57" s="22">
        <f>((AP12*Constants!$H70*Constants!$H88*(1-Constants!$H106))+(AP12*Constants!$H70*Constants!$H122))</f>
        <v>3109666.9829589021</v>
      </c>
      <c r="AQ57" s="22">
        <f>((AQ12*Constants!$H70*Constants!$H88*(1-Constants!$H106))+(AQ12*Constants!$H70*Constants!$H122))</f>
        <v>3115462.6034670332</v>
      </c>
      <c r="AR57" s="22">
        <f>((AR12*Constants!$H70*Constants!$H88*(1-Constants!$H106))+(AR12*Constants!$H70*Constants!$H122))</f>
        <v>3121230.2557084137</v>
      </c>
      <c r="AS57" s="22">
        <f>((AS12*Constants!$H70*Constants!$H88*(1-Constants!$H106))+(AS12*Constants!$H70*Constants!$H122))</f>
        <v>3126879.475303554</v>
      </c>
      <c r="AT57" s="22">
        <f>((AT12*Constants!$H70*Constants!$H88*(1-Constants!$H106))+(AT12*Constants!$H70*Constants!$H122))</f>
        <v>3132383.2069020341</v>
      </c>
      <c r="AU57" s="22">
        <f>((AU12*Constants!$H70*Constants!$H88*(1-Constants!$H106))+(AU12*Constants!$H70*Constants!$H122))</f>
        <v>3137844.6959483423</v>
      </c>
      <c r="AV57" s="22">
        <f>((AV12*Constants!$H70*Constants!$H88*(1-Constants!$H106))+(AV12*Constants!$H70*Constants!$H122))</f>
        <v>3143124.9115129486</v>
      </c>
      <c r="AW57" s="22">
        <f>((AW12*Constants!$H70*Constants!$H88*(1-Constants!$H106))+(AW12*Constants!$H70*Constants!$H122))</f>
        <v>3148415.4905004618</v>
      </c>
      <c r="AX57" s="22">
        <f>((AX12*Constants!$H70*Constants!$H88*(1-Constants!$H106))+(AX12*Constants!$H70*Constants!$H122))</f>
        <v>3153574.7520526755</v>
      </c>
      <c r="AY57" s="22">
        <f>((AY12*Constants!$H70*Constants!$H88*(1-Constants!$H106))+(AY12*Constants!$H70*Constants!$H122))</f>
        <v>3158582.4773239349</v>
      </c>
      <c r="AZ57" s="22">
        <f>((AZ12*Constants!$H70*Constants!$H88*(1-Constants!$H106))+(AZ12*Constants!$H70*Constants!$H122))</f>
        <v>3163414.5574048618</v>
      </c>
      <c r="BA57" s="22">
        <f>((BA12*Constants!$H70*Constants!$H88*(1-Constants!$H106))+(BA12*Constants!$H70*Constants!$H122))</f>
        <v>3168111.6892155567</v>
      </c>
      <c r="BB57" s="22">
        <f>((BB12*Constants!$H70*Constants!$H88*(1-Constants!$H106))+(BB12*Constants!$H70*Constants!$H122))</f>
        <v>3172655.065141072</v>
      </c>
      <c r="BC57" s="22">
        <f>((BC12*Constants!$H70*Constants!$H88*(1-Constants!$H106))+(BC12*Constants!$H70*Constants!$H122))</f>
        <v>3177014.3860527328</v>
      </c>
      <c r="BD57" s="22">
        <f>((BD12*Constants!$H70*Constants!$H88*(1-Constants!$H106))+(BD12*Constants!$H70*Constants!$H122))</f>
        <v>3181140.587937525</v>
      </c>
      <c r="BE57" s="22">
        <f>((BE12*Constants!$H70*Constants!$H88*(1-Constants!$H106))+(BE12*Constants!$H70*Constants!$H122))</f>
        <v>3185094.1427161191</v>
      </c>
      <c r="BF57" s="22">
        <f>((BF12*Constants!$H70*Constants!$H88*(1-Constants!$H106))+(BF12*Constants!$H70*Constants!$H122))</f>
        <v>3188879.2932519633</v>
      </c>
      <c r="BG57" s="22">
        <f>((BG12*Constants!$H70*Constants!$H88*(1-Constants!$H106))+(BG12*Constants!$H70*Constants!$H122))</f>
        <v>3192472.8929188126</v>
      </c>
      <c r="BH57" s="22">
        <f>((BH12*Constants!$H70*Constants!$H88*(1-Constants!$H106))+(BH12*Constants!$H70*Constants!$H122))</f>
        <v>3195858.7212740202</v>
      </c>
      <c r="BI57" s="22">
        <f>((BI12*Constants!$H70*Constants!$H88*(1-Constants!$H106))+(BI12*Constants!$H70*Constants!$H122))</f>
        <v>3199025.4217304327</v>
      </c>
      <c r="BJ57" s="22">
        <f>((BJ12*Constants!$H70*Constants!$H88*(1-Constants!$H106))+(BJ12*Constants!$H70*Constants!$H122))</f>
        <v>3201963.0903786835</v>
      </c>
      <c r="BK57" s="22">
        <f>((BK12*Constants!$H70*Constants!$H88*(1-Constants!$H106))+(BK12*Constants!$H70*Constants!$H122))</f>
        <v>3204668.1457015243</v>
      </c>
      <c r="BL57" s="22">
        <f>((BL12*Constants!$H70*Constants!$H88*(1-Constants!$H106))+(BL12*Constants!$H70*Constants!$H122))</f>
        <v>3207035.6012568399</v>
      </c>
      <c r="BM57" s="22">
        <f>((BM12*Constants!$H70*Constants!$H88*(1-Constants!$H106))+(BM12*Constants!$H70*Constants!$H122))</f>
        <v>3209145.9327873196</v>
      </c>
      <c r="BN57" s="22">
        <f>((BN12*Constants!$H70*Constants!$H88*(1-Constants!$H106))+(BN12*Constants!$H70*Constants!$H122))</f>
        <v>3210996.8083260446</v>
      </c>
      <c r="BO57" s="22">
        <f>((BO12*Constants!$H70*Constants!$H88*(1-Constants!$H106))+(BO12*Constants!$H70*Constants!$H122))</f>
        <v>3212577.0113783618</v>
      </c>
      <c r="BP57" s="22">
        <f>((BP12*Constants!$H70*Constants!$H88*(1-Constants!$H106))+(BP12*Constants!$H70*Constants!$H122))</f>
        <v>3213900.4077131115</v>
      </c>
    </row>
    <row r="58" spans="1:72" x14ac:dyDescent="0.25">
      <c r="A58" t="str">
        <f t="shared" si="20"/>
        <v>3C Aggregated and non-CO2 emissions on land</v>
      </c>
      <c r="B58" t="str">
        <f t="shared" si="21"/>
        <v>3C4 Direct N2O from managed soils (N2O)</v>
      </c>
      <c r="C58" t="s">
        <v>409</v>
      </c>
      <c r="D58" t="str">
        <f>Constants!D123</f>
        <v xml:space="preserve"> - Commercial goats</v>
      </c>
      <c r="E58" t="str">
        <f t="shared" si="23"/>
        <v>MM N available - Commercial goats</v>
      </c>
      <c r="F58" t="str">
        <f t="shared" si="24"/>
        <v>kg N</v>
      </c>
      <c r="H58" s="22">
        <f>((H13*Constants!$H71*Constants!$H89*(1-Constants!$H107))+(H13*Constants!$H71*Constants!$H123))</f>
        <v>615778.18513243599</v>
      </c>
      <c r="I58" s="22">
        <f>((I13*Constants!$H71*Constants!$H89*(1-Constants!$H107))+(I13*Constants!$H71*Constants!$H123))</f>
        <v>544521.949578178</v>
      </c>
      <c r="J58" s="22">
        <f>((J13*Constants!$H71*Constants!$H89*(1-Constants!$H107))+(J13*Constants!$H71*Constants!$H123))</f>
        <v>507228.96648436046</v>
      </c>
      <c r="K58" s="22">
        <f>((K13*Constants!$H71*Constants!$H89*(1-Constants!$H107))+(K13*Constants!$H71*Constants!$H123))</f>
        <v>479259.2291639974</v>
      </c>
      <c r="L58" s="22">
        <f>((L13*Constants!$H71*Constants!$H89*(1-Constants!$H107))+(L13*Constants!$H71*Constants!$H123))</f>
        <v>518772.03268006572</v>
      </c>
      <c r="M58" s="22">
        <f>((M13*Constants!$H71*Constants!$H89*(1-Constants!$H107))+(M13*Constants!$H71*Constants!$H123))</f>
        <v>525875.45803126914</v>
      </c>
      <c r="N58" s="22">
        <f>((N13*Constants!$H71*Constants!$H89*(1-Constants!$H107))+(N13*Constants!$H71*Constants!$H123))</f>
        <v>534088.79359359795</v>
      </c>
      <c r="O58" s="22">
        <f>((O13*Constants!$H71*Constants!$H89*(1-Constants!$H107))+(O13*Constants!$H71*Constants!$H123))</f>
        <v>531425.00908689678</v>
      </c>
      <c r="P58" s="22">
        <f>((P13*Constants!$H71*Constants!$H89*(1-Constants!$H107))+(P13*Constants!$H71*Constants!$H123))</f>
        <v>523877.61965124327</v>
      </c>
      <c r="Q58" s="22">
        <f>((Q13*Constants!$H71*Constants!$H89*(1-Constants!$H107))+(Q13*Constants!$H71*Constants!$H123))</f>
        <v>516108.24817336473</v>
      </c>
      <c r="R58" s="22">
        <f>((R13*Constants!$H71*Constants!$H89*(1-Constants!$H107))+(R13*Constants!$H71*Constants!$H123))</f>
        <v>522767.7094401177</v>
      </c>
      <c r="S58" s="22">
        <f>((S13*Constants!$H71*Constants!$H89*(1-Constants!$H107))+(S13*Constants!$H71*Constants!$H123))</f>
        <v>538750.41648032528</v>
      </c>
      <c r="T58" s="22">
        <f>((T13*Constants!$H71*Constants!$H89*(1-Constants!$H107))+(T13*Constants!$H71*Constants!$H123))</f>
        <v>491912.20557082852</v>
      </c>
      <c r="U58" s="22">
        <f>((U13*Constants!$H71*Constants!$H89*(1-Constants!$H107))+(U13*Constants!$H71*Constants!$H123))</f>
        <v>479481.21120622259</v>
      </c>
      <c r="V58" s="22">
        <f>((V13*Constants!$H71*Constants!$H89*(1-Constants!$H107))+(V13*Constants!$H71*Constants!$H123))</f>
        <v>480369.13937512314</v>
      </c>
      <c r="W58" s="22">
        <f>((W13*Constants!$H71*Constants!$H89*(1-Constants!$H107))+(W13*Constants!$H71*Constants!$H123))</f>
        <v>474153.64219282009</v>
      </c>
      <c r="X58" s="22">
        <f>((X13*Constants!$H71*Constants!$H89*(1-Constants!$H107))+(X13*Constants!$H71*Constants!$H123))</f>
        <v>484142.83409294975</v>
      </c>
      <c r="Y58" s="22">
        <f>((Y13*Constants!$H71*Constants!$H89*(1-Constants!$H107))+(Y13*Constants!$H71*Constants!$H123))</f>
        <v>469714.00134831812</v>
      </c>
      <c r="Z58" s="22">
        <f>((Z13*Constants!$H71*Constants!$H89*(1-Constants!$H107))+(Z13*Constants!$H71*Constants!$H123))</f>
        <v>469270.03726386797</v>
      </c>
      <c r="AA58" s="22">
        <f>((AA13*Constants!$H71*Constants!$H89*(1-Constants!$H107))+(AA13*Constants!$H71*Constants!$H123))</f>
        <v>461056.7017015391</v>
      </c>
      <c r="AB58" s="22">
        <f>((AB13*Constants!$H71*Constants!$H89*(1-Constants!$H107))+(AB13*Constants!$H71*Constants!$H123))</f>
        <v>455507.15064591152</v>
      </c>
      <c r="AC58" s="22">
        <f>((AC13*Constants!$H71*Constants!$H89*(1-Constants!$H107))+(AC13*Constants!$H71*Constants!$H123))</f>
        <v>451289.49184363458</v>
      </c>
      <c r="AD58" s="22">
        <f>((AD13*Constants!$H71*Constants!$H89*(1-Constants!$H107))+(AD13*Constants!$H71*Constants!$H123))</f>
        <v>459048.43593936937</v>
      </c>
      <c r="AE58" s="22">
        <f>((AE13*Constants!$H71*Constants!$H89*(1-Constants!$H107))+(AE13*Constants!$H71*Constants!$H123))</f>
        <v>460257.57425029523</v>
      </c>
      <c r="AF58" s="22">
        <f>((AF13*Constants!$H71*Constants!$H89*(1-Constants!$H107))+(AF13*Constants!$H71*Constants!$H123))</f>
        <v>461857.30676971981</v>
      </c>
      <c r="AG58" s="22">
        <f>((AG13*Constants!$H71*Constants!$H89*(1-Constants!$H107))+(AG13*Constants!$H71*Constants!$H123))</f>
        <v>463831.08606304729</v>
      </c>
      <c r="AH58" s="22">
        <f>((AH13*Constants!$H71*Constants!$H89*(1-Constants!$H107))+(AH13*Constants!$H71*Constants!$H123))</f>
        <v>466171.30428594479</v>
      </c>
      <c r="AI58" s="22">
        <f>((AI13*Constants!$H71*Constants!$H89*(1-Constants!$H107))+(AI13*Constants!$H71*Constants!$H123))</f>
        <v>468897.46538803051</v>
      </c>
      <c r="AJ58" s="22">
        <f>((AJ13*Constants!$H71*Constants!$H89*(1-Constants!$H107))+(AJ13*Constants!$H71*Constants!$H123))</f>
        <v>471815.3933929393</v>
      </c>
      <c r="AK58" s="22">
        <f>((AK13*Constants!$H71*Constants!$H89*(1-Constants!$H107))+(AK13*Constants!$H71*Constants!$H123))</f>
        <v>474922.47200626123</v>
      </c>
      <c r="AL58" s="22">
        <f>((AL13*Constants!$H71*Constants!$H89*(1-Constants!$H107))+(AL13*Constants!$H71*Constants!$H123))</f>
        <v>477760.57545957668</v>
      </c>
      <c r="AM58" s="22">
        <f>((AM13*Constants!$H71*Constants!$H89*(1-Constants!$H107))+(AM13*Constants!$H71*Constants!$H123))</f>
        <v>479925.51232815726</v>
      </c>
      <c r="AN58" s="22">
        <f>((AN13*Constants!$H71*Constants!$H89*(1-Constants!$H107))+(AN13*Constants!$H71*Constants!$H123))</f>
        <v>481798.04125267768</v>
      </c>
      <c r="AO58" s="22">
        <f>((AO13*Constants!$H71*Constants!$H89*(1-Constants!$H107))+(AO13*Constants!$H71*Constants!$H123))</f>
        <v>483373.55244458822</v>
      </c>
      <c r="AP58" s="22">
        <f>((AP13*Constants!$H71*Constants!$H89*(1-Constants!$H107))+(AP13*Constants!$H71*Constants!$H123))</f>
        <v>484920.37343153433</v>
      </c>
      <c r="AQ58" s="22">
        <f>((AQ13*Constants!$H71*Constants!$H89*(1-Constants!$H107))+(AQ13*Constants!$H71*Constants!$H123))</f>
        <v>486421.84344232775</v>
      </c>
      <c r="AR58" s="22">
        <f>((AR13*Constants!$H71*Constants!$H89*(1-Constants!$H107))+(AR13*Constants!$H71*Constants!$H123))</f>
        <v>487887.65844371699</v>
      </c>
      <c r="AS58" s="22">
        <f>((AS13*Constants!$H71*Constants!$H89*(1-Constants!$H107))+(AS13*Constants!$H71*Constants!$H123))</f>
        <v>489299.02452674508</v>
      </c>
      <c r="AT58" s="22">
        <f>((AT13*Constants!$H71*Constants!$H89*(1-Constants!$H107))+(AT13*Constants!$H71*Constants!$H123))</f>
        <v>490651.75710759894</v>
      </c>
      <c r="AU58" s="22">
        <f>((AU13*Constants!$H71*Constants!$H89*(1-Constants!$H107))+(AU13*Constants!$H71*Constants!$H123))</f>
        <v>491971.56100544077</v>
      </c>
      <c r="AV58" s="22">
        <f>((AV13*Constants!$H71*Constants!$H89*(1-Constants!$H107))+(AV13*Constants!$H71*Constants!$H123))</f>
        <v>493228.03731436946</v>
      </c>
      <c r="AW58" s="22">
        <f>((AW13*Constants!$H71*Constants!$H89*(1-Constants!$H107))+(AW13*Constants!$H71*Constants!$H123))</f>
        <v>494466.80552611937</v>
      </c>
      <c r="AX58" s="22">
        <f>((AX13*Constants!$H71*Constants!$H89*(1-Constants!$H107))+(AX13*Constants!$H71*Constants!$H123))</f>
        <v>495656.63572965842</v>
      </c>
      <c r="AY58" s="22">
        <f>((AY13*Constants!$H71*Constants!$H89*(1-Constants!$H107))+(AY13*Constants!$H71*Constants!$H123))</f>
        <v>496794.21391744859</v>
      </c>
      <c r="AZ58" s="22">
        <f>((AZ13*Constants!$H71*Constants!$H89*(1-Constants!$H107))+(AZ13*Constants!$H71*Constants!$H123))</f>
        <v>497875.2688136166</v>
      </c>
      <c r="BA58" s="22">
        <f>((BA13*Constants!$H71*Constants!$H89*(1-Constants!$H107))+(BA13*Constants!$H71*Constants!$H123))</f>
        <v>498910.23405000794</v>
      </c>
      <c r="BB58" s="22">
        <f>((BB13*Constants!$H71*Constants!$H89*(1-Constants!$H107))+(BB13*Constants!$H71*Constants!$H123))</f>
        <v>499895.86157582462</v>
      </c>
      <c r="BC58" s="22">
        <f>((BC13*Constants!$H71*Constants!$H89*(1-Constants!$H107))+(BC13*Constants!$H71*Constants!$H123))</f>
        <v>500826.2527030377</v>
      </c>
      <c r="BD58" s="22">
        <f>((BD13*Constants!$H71*Constants!$H89*(1-Constants!$H107))+(BD13*Constants!$H71*Constants!$H123))</f>
        <v>501691.24141307035</v>
      </c>
      <c r="BE58" s="22">
        <f>((BE13*Constants!$H71*Constants!$H89*(1-Constants!$H107))+(BE13*Constants!$H71*Constants!$H123))</f>
        <v>502505.43811345368</v>
      </c>
      <c r="BF58" s="22">
        <f>((BF13*Constants!$H71*Constants!$H89*(1-Constants!$H107))+(BF13*Constants!$H71*Constants!$H123))</f>
        <v>503270.60916106455</v>
      </c>
      <c r="BG58" s="22">
        <f>((BG13*Constants!$H71*Constants!$H89*(1-Constants!$H107))+(BG13*Constants!$H71*Constants!$H123))</f>
        <v>503982.29376336443</v>
      </c>
      <c r="BH58" s="22">
        <f>((BH13*Constants!$H71*Constants!$H89*(1-Constants!$H107))+(BH13*Constants!$H71*Constants!$H123))</f>
        <v>504637.5781722375</v>
      </c>
      <c r="BI58" s="22">
        <f>((BI13*Constants!$H71*Constants!$H89*(1-Constants!$H107))+(BI13*Constants!$H71*Constants!$H123))</f>
        <v>505234.62220117066</v>
      </c>
      <c r="BJ58" s="22">
        <f>((BJ13*Constants!$H71*Constants!$H89*(1-Constants!$H107))+(BJ13*Constants!$H71*Constants!$H123))</f>
        <v>505771.88844669744</v>
      </c>
      <c r="BK58" s="22">
        <f>((BK13*Constants!$H71*Constants!$H89*(1-Constants!$H107))+(BK13*Constants!$H71*Constants!$H123))</f>
        <v>506249.23166790878</v>
      </c>
      <c r="BL58" s="22">
        <f>((BL13*Constants!$H71*Constants!$H89*(1-Constants!$H107))+(BL13*Constants!$H71*Constants!$H123))</f>
        <v>506643.83115301444</v>
      </c>
      <c r="BM58" s="22">
        <f>((BM13*Constants!$H71*Constants!$H89*(1-Constants!$H107))+(BM13*Constants!$H71*Constants!$H123))</f>
        <v>506974.33893833769</v>
      </c>
      <c r="BN58" s="22">
        <f>((BN13*Constants!$H71*Constants!$H89*(1-Constants!$H107))+(BN13*Constants!$H71*Constants!$H123))</f>
        <v>507240.82574028929</v>
      </c>
      <c r="BO58" s="22">
        <f>((BO13*Constants!$H71*Constants!$H89*(1-Constants!$H107))+(BO13*Constants!$H71*Constants!$H123))</f>
        <v>507441.36350819445</v>
      </c>
      <c r="BP58" s="22">
        <f>((BP13*Constants!$H71*Constants!$H89*(1-Constants!$H107))+(BP13*Constants!$H71*Constants!$H123))</f>
        <v>507579.58006362931</v>
      </c>
    </row>
    <row r="59" spans="1:72" x14ac:dyDescent="0.25">
      <c r="A59" t="str">
        <f t="shared" si="20"/>
        <v>3C Aggregated and non-CO2 emissions on land</v>
      </c>
      <c r="B59" t="str">
        <f t="shared" si="21"/>
        <v>3C4 Direct N2O from managed soils (N2O)</v>
      </c>
      <c r="C59" t="s">
        <v>409</v>
      </c>
      <c r="D59" t="str">
        <f>Constants!D124</f>
        <v xml:space="preserve"> - Subsistence goats</v>
      </c>
      <c r="E59" t="str">
        <f t="shared" si="23"/>
        <v>MM N available - Subsistence goats</v>
      </c>
      <c r="F59" t="str">
        <f t="shared" si="24"/>
        <v>kg N</v>
      </c>
      <c r="H59" s="22">
        <f>((H14*Constants!$H72*Constants!$H90*(1-Constants!$H108))+(H14*Constants!$H72*Constants!$H124))</f>
        <v>7560354.6157626472</v>
      </c>
      <c r="I59" s="22">
        <f>((I14*Constants!$H72*Constants!$H90*(1-Constants!$H108))+(I14*Constants!$H72*Constants!$H124))</f>
        <v>6685490.2207879517</v>
      </c>
      <c r="J59" s="22">
        <f>((J14*Constants!$H72*Constants!$H90*(1-Constants!$H108))+(J14*Constants!$H72*Constants!$H124))</f>
        <v>6227617.2664086716</v>
      </c>
      <c r="K59" s="22">
        <f>((K14*Constants!$H72*Constants!$H90*(1-Constants!$H108))+(K14*Constants!$H72*Constants!$H124))</f>
        <v>5884212.5506242104</v>
      </c>
      <c r="L59" s="22">
        <f>((L14*Constants!$H72*Constants!$H90*(1-Constants!$H108))+(L14*Constants!$H72*Constants!$H124))</f>
        <v>6369339.8475260669</v>
      </c>
      <c r="M59" s="22">
        <f>((M14*Constants!$H72*Constants!$H90*(1-Constants!$H108))+(M14*Constants!$H72*Constants!$H124))</f>
        <v>6456553.7435983112</v>
      </c>
      <c r="N59" s="22">
        <f>((N14*Constants!$H72*Constants!$H90*(1-Constants!$H108))+(N14*Constants!$H72*Constants!$H124))</f>
        <v>6557394.8109318437</v>
      </c>
      <c r="O59" s="22">
        <f>((O14*Constants!$H72*Constants!$H90*(1-Constants!$H108))+(O14*Constants!$H72*Constants!$H124))</f>
        <v>6524689.5999047523</v>
      </c>
      <c r="P59" s="22">
        <f>((P14*Constants!$H72*Constants!$H90*(1-Constants!$H108))+(P14*Constants!$H72*Constants!$H124))</f>
        <v>6432024.8353279931</v>
      </c>
      <c r="Q59" s="22">
        <f>((Q14*Constants!$H72*Constants!$H90*(1-Constants!$H108))+(Q14*Constants!$H72*Constants!$H124))</f>
        <v>6336634.6364989765</v>
      </c>
      <c r="R59" s="22">
        <f>((R14*Constants!$H72*Constants!$H90*(1-Constants!$H108))+(R14*Constants!$H72*Constants!$H124))</f>
        <v>6418397.6640667049</v>
      </c>
      <c r="S59" s="22">
        <f>((S14*Constants!$H72*Constants!$H90*(1-Constants!$H108))+(S14*Constants!$H72*Constants!$H124))</f>
        <v>6614628.9302292531</v>
      </c>
      <c r="T59" s="22">
        <f>((T14*Constants!$H72*Constants!$H90*(1-Constants!$H108))+(T14*Constants!$H72*Constants!$H124))</f>
        <v>6039562.3030028949</v>
      </c>
      <c r="U59" s="22">
        <f>((U14*Constants!$H72*Constants!$H90*(1-Constants!$H108))+(U14*Constants!$H72*Constants!$H124))</f>
        <v>5886937.9848764678</v>
      </c>
      <c r="V59" s="22">
        <f>((V14*Constants!$H72*Constants!$H90*(1-Constants!$H108))+(V14*Constants!$H72*Constants!$H124))</f>
        <v>5897839.7218854986</v>
      </c>
      <c r="W59" s="22">
        <f>((W14*Constants!$H72*Constants!$H90*(1-Constants!$H108))+(W14*Constants!$H72*Constants!$H124))</f>
        <v>5821527.5628222851</v>
      </c>
      <c r="X59" s="22">
        <f>((X14*Constants!$H72*Constants!$H90*(1-Constants!$H108))+(X14*Constants!$H72*Constants!$H124))</f>
        <v>5944172.1041738791</v>
      </c>
      <c r="Y59" s="22">
        <f>((Y14*Constants!$H72*Constants!$H90*(1-Constants!$H108))+(Y14*Constants!$H72*Constants!$H124))</f>
        <v>5767018.8777771331</v>
      </c>
      <c r="Z59" s="22">
        <f>((Z14*Constants!$H72*Constants!$H90*(1-Constants!$H108))+(Z14*Constants!$H72*Constants!$H124))</f>
        <v>5761568.0092726164</v>
      </c>
      <c r="AA59" s="22">
        <f>((AA14*Constants!$H72*Constants!$H90*(1-Constants!$H108))+(AA14*Constants!$H72*Constants!$H124))</f>
        <v>5660726.9419390857</v>
      </c>
      <c r="AB59" s="22">
        <f>((AB14*Constants!$H72*Constants!$H90*(1-Constants!$H108))+(AB14*Constants!$H72*Constants!$H124))</f>
        <v>5592591.0856326455</v>
      </c>
      <c r="AC59" s="22">
        <f>((AC14*Constants!$H72*Constants!$H90*(1-Constants!$H108))+(AC14*Constants!$H72*Constants!$H124))</f>
        <v>5540807.8348397501</v>
      </c>
      <c r="AD59" s="22">
        <f>((AD14*Constants!$H72*Constants!$H90*(1-Constants!$H108))+(AD14*Constants!$H72*Constants!$H124))</f>
        <v>5538905.6940504201</v>
      </c>
      <c r="AE59" s="22">
        <f>((AE14*Constants!$H72*Constants!$H90*(1-Constants!$H108))+(AE14*Constants!$H72*Constants!$H124))</f>
        <v>5553495.2287289929</v>
      </c>
      <c r="AF59" s="22">
        <f>((AF14*Constants!$H72*Constants!$H90*(1-Constants!$H108))+(AF14*Constants!$H72*Constants!$H124))</f>
        <v>5572797.6963273557</v>
      </c>
      <c r="AG59" s="22">
        <f>((AG14*Constants!$H72*Constants!$H90*(1-Constants!$H108))+(AG14*Constants!$H72*Constants!$H124))</f>
        <v>5596613.4345168099</v>
      </c>
      <c r="AH59" s="22">
        <f>((AH14*Constants!$H72*Constants!$H90*(1-Constants!$H108))+(AH14*Constants!$H72*Constants!$H124))</f>
        <v>5624850.6465957528</v>
      </c>
      <c r="AI59" s="22">
        <f>((AI14*Constants!$H72*Constants!$H90*(1-Constants!$H108))+(AI14*Constants!$H72*Constants!$H124))</f>
        <v>5657744.6683787527</v>
      </c>
      <c r="AJ59" s="22">
        <f>((AJ14*Constants!$H72*Constants!$H90*(1-Constants!$H108))+(AJ14*Constants!$H72*Constants!$H124))</f>
        <v>5692952.5610015532</v>
      </c>
      <c r="AK59" s="22">
        <f>((AK14*Constants!$H72*Constants!$H90*(1-Constants!$H108))+(AK14*Constants!$H72*Constants!$H124))</f>
        <v>5730442.7561004087</v>
      </c>
      <c r="AL59" s="22">
        <f>((AL14*Constants!$H72*Constants!$H90*(1-Constants!$H108))+(AL14*Constants!$H72*Constants!$H124))</f>
        <v>5764687.4809423639</v>
      </c>
      <c r="AM59" s="22">
        <f>((AM14*Constants!$H72*Constants!$H90*(1-Constants!$H108))+(AM14*Constants!$H72*Constants!$H124))</f>
        <v>5790809.7377889678</v>
      </c>
      <c r="AN59" s="22">
        <f>((AN14*Constants!$H72*Constants!$H90*(1-Constants!$H108))+(AN14*Constants!$H72*Constants!$H124))</f>
        <v>5813403.7830144493</v>
      </c>
      <c r="AO59" s="22">
        <f>((AO14*Constants!$H72*Constants!$H90*(1-Constants!$H108))+(AO14*Constants!$H72*Constants!$H124))</f>
        <v>5832413.9946363568</v>
      </c>
      <c r="AP59" s="22">
        <f>((AP14*Constants!$H72*Constants!$H90*(1-Constants!$H108))+(AP14*Constants!$H72*Constants!$H124))</f>
        <v>5851078.0285410602</v>
      </c>
      <c r="AQ59" s="22">
        <f>((AQ14*Constants!$H72*Constants!$H90*(1-Constants!$H108))+(AQ14*Constants!$H72*Constants!$H124))</f>
        <v>5869194.8548737988</v>
      </c>
      <c r="AR59" s="22">
        <f>((AR14*Constants!$H72*Constants!$H90*(1-Constants!$H108))+(AR14*Constants!$H72*Constants!$H124))</f>
        <v>5886881.4657452758</v>
      </c>
      <c r="AS59" s="22">
        <f>((AS14*Constants!$H72*Constants!$H90*(1-Constants!$H108))+(AS14*Constants!$H72*Constants!$H124))</f>
        <v>5903911.0927337147</v>
      </c>
      <c r="AT59" s="22">
        <f>((AT14*Constants!$H72*Constants!$H90*(1-Constants!$H108))+(AT14*Constants!$H72*Constants!$H124))</f>
        <v>5920233.2444022773</v>
      </c>
      <c r="AU59" s="22">
        <f>((AU14*Constants!$H72*Constants!$H90*(1-Constants!$H108))+(AU14*Constants!$H72*Constants!$H124))</f>
        <v>5936158.0766257588</v>
      </c>
      <c r="AV59" s="22">
        <f>((AV14*Constants!$H72*Constants!$H90*(1-Constants!$H108))+(AV14*Constants!$H72*Constants!$H124))</f>
        <v>5951318.79439996</v>
      </c>
      <c r="AW59" s="22">
        <f>((AW14*Constants!$H72*Constants!$H90*(1-Constants!$H108))+(AW14*Constants!$H72*Constants!$H124))</f>
        <v>5966265.8452217951</v>
      </c>
      <c r="AX59" s="22">
        <f>((AX14*Constants!$H72*Constants!$H90*(1-Constants!$H108))+(AX14*Constants!$H72*Constants!$H124))</f>
        <v>5980622.407129799</v>
      </c>
      <c r="AY59" s="22">
        <f>((AY14*Constants!$H72*Constants!$H90*(1-Constants!$H108))+(AY14*Constants!$H72*Constants!$H124))</f>
        <v>5994348.4931121748</v>
      </c>
      <c r="AZ59" s="22">
        <f>((AZ14*Constants!$H72*Constants!$H90*(1-Constants!$H108))+(AZ14*Constants!$H72*Constants!$H124))</f>
        <v>6007392.5657005319</v>
      </c>
      <c r="BA59" s="22">
        <f>((BA14*Constants!$H72*Constants!$H90*(1-Constants!$H108))+(BA14*Constants!$H72*Constants!$H124))</f>
        <v>6019880.5177164497</v>
      </c>
      <c r="BB59" s="22">
        <f>((BB14*Constants!$H72*Constants!$H90*(1-Constants!$H108))+(BB14*Constants!$H72*Constants!$H124))</f>
        <v>6031773.15798607</v>
      </c>
      <c r="BC59" s="22">
        <f>((BC14*Constants!$H72*Constants!$H90*(1-Constants!$H108))+(BC14*Constants!$H72*Constants!$H124))</f>
        <v>6042999.3125892738</v>
      </c>
      <c r="BD59" s="22">
        <f>((BD14*Constants!$H72*Constants!$H90*(1-Constants!$H108))+(BD14*Constants!$H72*Constants!$H124))</f>
        <v>6053436.3177420851</v>
      </c>
      <c r="BE59" s="22">
        <f>((BE14*Constants!$H72*Constants!$H90*(1-Constants!$H108))+(BE14*Constants!$H72*Constants!$H124))</f>
        <v>6063260.4634895856</v>
      </c>
      <c r="BF59" s="22">
        <f>((BF14*Constants!$H72*Constants!$H90*(1-Constants!$H108))+(BF14*Constants!$H72*Constants!$H124))</f>
        <v>6072493.0627987664</v>
      </c>
      <c r="BG59" s="22">
        <f>((BG14*Constants!$H72*Constants!$H90*(1-Constants!$H108))+(BG14*Constants!$H72*Constants!$H124))</f>
        <v>6081080.291481901</v>
      </c>
      <c r="BH59" s="22">
        <f>((BH14*Constants!$H72*Constants!$H90*(1-Constants!$H108))+(BH14*Constants!$H72*Constants!$H124))</f>
        <v>6088986.992081156</v>
      </c>
      <c r="BI59" s="22">
        <f>((BI14*Constants!$H72*Constants!$H90*(1-Constants!$H108))+(BI14*Constants!$H72*Constants!$H124))</f>
        <v>6096190.9607967678</v>
      </c>
      <c r="BJ59" s="22">
        <f>((BJ14*Constants!$H72*Constants!$H90*(1-Constants!$H108))+(BJ14*Constants!$H72*Constants!$H124))</f>
        <v>6102673.6472271876</v>
      </c>
      <c r="BK59" s="22">
        <f>((BK14*Constants!$H72*Constants!$H90*(1-Constants!$H108))+(BK14*Constants!$H72*Constants!$H124))</f>
        <v>6108433.2988869809</v>
      </c>
      <c r="BL59" s="22">
        <f>((BL14*Constants!$H72*Constants!$H90*(1-Constants!$H108))+(BL14*Constants!$H72*Constants!$H124))</f>
        <v>6113194.5597122088</v>
      </c>
      <c r="BM59" s="22">
        <f>((BM14*Constants!$H72*Constants!$H90*(1-Constants!$H108))+(BM14*Constants!$H72*Constants!$H124))</f>
        <v>6117182.4862810224</v>
      </c>
      <c r="BN59" s="22">
        <f>((BN14*Constants!$H72*Constants!$H90*(1-Constants!$H108))+(BN14*Constants!$H72*Constants!$H124))</f>
        <v>6120397.9318618337</v>
      </c>
      <c r="BO59" s="22">
        <f>((BO14*Constants!$H72*Constants!$H90*(1-Constants!$H108))+(BO14*Constants!$H72*Constants!$H124))</f>
        <v>6122817.6324806781</v>
      </c>
      <c r="BP59" s="22">
        <f>((BP14*Constants!$H72*Constants!$H90*(1-Constants!$H108))+(BP14*Constants!$H72*Constants!$H124))</f>
        <v>6124485.3616481759</v>
      </c>
    </row>
    <row r="60" spans="1:72" x14ac:dyDescent="0.25">
      <c r="A60" t="str">
        <f t="shared" si="20"/>
        <v>3C Aggregated and non-CO2 emissions on land</v>
      </c>
      <c r="B60" t="str">
        <f t="shared" si="21"/>
        <v>3C4 Direct N2O from managed soils (N2O)</v>
      </c>
      <c r="C60" t="s">
        <v>409</v>
      </c>
      <c r="D60" t="str">
        <f>Constants!D125</f>
        <v xml:space="preserve"> - Horses</v>
      </c>
      <c r="E60" t="str">
        <f t="shared" si="23"/>
        <v>MM N available - Horses</v>
      </c>
      <c r="F60" t="str">
        <f t="shared" si="24"/>
        <v>kg N</v>
      </c>
      <c r="H60" s="22">
        <f>((H15*Constants!$H73*Constants!$H91*(1-Constants!$H109))+(H15*Constants!$H73*Constants!$H125))</f>
        <v>0</v>
      </c>
      <c r="I60" s="22">
        <f>((I15*Constants!$H73*Constants!$H91*(1-Constants!$H109))+(I15*Constants!$H73*Constants!$H125))</f>
        <v>0</v>
      </c>
      <c r="J60" s="22">
        <f>((J15*Constants!$H73*Constants!$H91*(1-Constants!$H109))+(J15*Constants!$H73*Constants!$H125))</f>
        <v>0</v>
      </c>
      <c r="K60" s="22">
        <f>((K15*Constants!$H73*Constants!$H91*(1-Constants!$H109))+(K15*Constants!$H73*Constants!$H125))</f>
        <v>0</v>
      </c>
      <c r="L60" s="22">
        <f>((L15*Constants!$H73*Constants!$H91*(1-Constants!$H109))+(L15*Constants!$H73*Constants!$H125))</f>
        <v>0</v>
      </c>
      <c r="M60" s="22">
        <f>((M15*Constants!$H73*Constants!$H91*(1-Constants!$H109))+(M15*Constants!$H73*Constants!$H125))</f>
        <v>0</v>
      </c>
      <c r="N60" s="22">
        <f>((N15*Constants!$H73*Constants!$H91*(1-Constants!$H109))+(N15*Constants!$H73*Constants!$H125))</f>
        <v>0</v>
      </c>
      <c r="O60" s="22">
        <f>((O15*Constants!$H73*Constants!$H91*(1-Constants!$H109))+(O15*Constants!$H73*Constants!$H125))</f>
        <v>0</v>
      </c>
      <c r="P60" s="22">
        <f>((P15*Constants!$H73*Constants!$H91*(1-Constants!$H109))+(P15*Constants!$H73*Constants!$H125))</f>
        <v>0</v>
      </c>
      <c r="Q60" s="22">
        <f>((Q15*Constants!$H73*Constants!$H91*(1-Constants!$H109))+(Q15*Constants!$H73*Constants!$H125))</f>
        <v>0</v>
      </c>
      <c r="R60" s="22">
        <f>((R15*Constants!$H73*Constants!$H91*(1-Constants!$H109))+(R15*Constants!$H73*Constants!$H125))</f>
        <v>0</v>
      </c>
      <c r="S60" s="22">
        <f>((S15*Constants!$H73*Constants!$H91*(1-Constants!$H109))+(S15*Constants!$H73*Constants!$H125))</f>
        <v>0</v>
      </c>
      <c r="T60" s="22">
        <f>((T15*Constants!$H73*Constants!$H91*(1-Constants!$H109))+(T15*Constants!$H73*Constants!$H125))</f>
        <v>0</v>
      </c>
      <c r="U60" s="22">
        <f>((U15*Constants!$H73*Constants!$H91*(1-Constants!$H109))+(U15*Constants!$H73*Constants!$H125))</f>
        <v>0</v>
      </c>
      <c r="V60" s="22">
        <f>((V15*Constants!$H73*Constants!$H91*(1-Constants!$H109))+(V15*Constants!$H73*Constants!$H125))</f>
        <v>0</v>
      </c>
      <c r="W60" s="22">
        <f>((W15*Constants!$H73*Constants!$H91*(1-Constants!$H109))+(W15*Constants!$H73*Constants!$H125))</f>
        <v>0</v>
      </c>
      <c r="X60" s="22">
        <f>((X15*Constants!$H73*Constants!$H91*(1-Constants!$H109))+(X15*Constants!$H73*Constants!$H125))</f>
        <v>0</v>
      </c>
      <c r="Y60" s="22">
        <f>((Y15*Constants!$H73*Constants!$H91*(1-Constants!$H109))+(Y15*Constants!$H73*Constants!$H125))</f>
        <v>0</v>
      </c>
      <c r="Z60" s="22">
        <f>((Z15*Constants!$H73*Constants!$H91*(1-Constants!$H109))+(Z15*Constants!$H73*Constants!$H125))</f>
        <v>0</v>
      </c>
      <c r="AA60" s="22">
        <f>((AA15*Constants!$H73*Constants!$H91*(1-Constants!$H109))+(AA15*Constants!$H73*Constants!$H125))</f>
        <v>0</v>
      </c>
      <c r="AB60" s="22">
        <f>((AB15*Constants!$H73*Constants!$H91*(1-Constants!$H109))+(AB15*Constants!$H73*Constants!$H125))</f>
        <v>0</v>
      </c>
      <c r="AC60" s="22">
        <f>((AC15*Constants!$H73*Constants!$H91*(1-Constants!$H109))+(AC15*Constants!$H73*Constants!$H125))</f>
        <v>0</v>
      </c>
      <c r="AD60" s="22">
        <f>((AD15*Constants!$H73*Constants!$H91*(1-Constants!$H109))+(AD15*Constants!$H73*Constants!$H125))</f>
        <v>0</v>
      </c>
      <c r="AE60" s="22">
        <f>((AE15*Constants!$H73*Constants!$H91*(1-Constants!$H109))+(AE15*Constants!$H73*Constants!$H125))</f>
        <v>0</v>
      </c>
      <c r="AF60" s="22">
        <f>((AF15*Constants!$H73*Constants!$H91*(1-Constants!$H109))+(AF15*Constants!$H73*Constants!$H125))</f>
        <v>0</v>
      </c>
      <c r="AG60" s="22">
        <f>((AG15*Constants!$H73*Constants!$H91*(1-Constants!$H109))+(AG15*Constants!$H73*Constants!$H125))</f>
        <v>0</v>
      </c>
      <c r="AH60" s="22">
        <f>((AH15*Constants!$H73*Constants!$H91*(1-Constants!$H109))+(AH15*Constants!$H73*Constants!$H125))</f>
        <v>0</v>
      </c>
      <c r="AI60" s="22">
        <f>((AI15*Constants!$H73*Constants!$H91*(1-Constants!$H109))+(AI15*Constants!$H73*Constants!$H125))</f>
        <v>0</v>
      </c>
      <c r="AJ60" s="22">
        <f>((AJ15*Constants!$H73*Constants!$H91*(1-Constants!$H109))+(AJ15*Constants!$H73*Constants!$H125))</f>
        <v>0</v>
      </c>
      <c r="AK60" s="22">
        <f>((AK15*Constants!$H73*Constants!$H91*(1-Constants!$H109))+(AK15*Constants!$H73*Constants!$H125))</f>
        <v>0</v>
      </c>
      <c r="AL60" s="22">
        <f>((AL15*Constants!$H73*Constants!$H91*(1-Constants!$H109))+(AL15*Constants!$H73*Constants!$H125))</f>
        <v>0</v>
      </c>
      <c r="AM60" s="22">
        <f>((AM15*Constants!$H73*Constants!$H91*(1-Constants!$H109))+(AM15*Constants!$H73*Constants!$H125))</f>
        <v>0</v>
      </c>
      <c r="AN60" s="22">
        <f>((AN15*Constants!$H73*Constants!$H91*(1-Constants!$H109))+(AN15*Constants!$H73*Constants!$H125))</f>
        <v>0</v>
      </c>
      <c r="AO60" s="22">
        <f>((AO15*Constants!$H73*Constants!$H91*(1-Constants!$H109))+(AO15*Constants!$H73*Constants!$H125))</f>
        <v>0</v>
      </c>
      <c r="AP60" s="22">
        <f>((AP15*Constants!$H73*Constants!$H91*(1-Constants!$H109))+(AP15*Constants!$H73*Constants!$H125))</f>
        <v>0</v>
      </c>
      <c r="AQ60" s="22">
        <f>((AQ15*Constants!$H73*Constants!$H91*(1-Constants!$H109))+(AQ15*Constants!$H73*Constants!$H125))</f>
        <v>0</v>
      </c>
      <c r="AR60" s="22">
        <f>((AR15*Constants!$H73*Constants!$H91*(1-Constants!$H109))+(AR15*Constants!$H73*Constants!$H125))</f>
        <v>0</v>
      </c>
      <c r="AS60" s="22">
        <f>((AS15*Constants!$H73*Constants!$H91*(1-Constants!$H109))+(AS15*Constants!$H73*Constants!$H125))</f>
        <v>0</v>
      </c>
      <c r="AT60" s="22">
        <f>((AT15*Constants!$H73*Constants!$H91*(1-Constants!$H109))+(AT15*Constants!$H73*Constants!$H125))</f>
        <v>0</v>
      </c>
      <c r="AU60" s="22">
        <f>((AU15*Constants!$H73*Constants!$H91*(1-Constants!$H109))+(AU15*Constants!$H73*Constants!$H125))</f>
        <v>0</v>
      </c>
      <c r="AV60" s="22">
        <f>((AV15*Constants!$H73*Constants!$H91*(1-Constants!$H109))+(AV15*Constants!$H73*Constants!$H125))</f>
        <v>0</v>
      </c>
      <c r="AW60" s="22">
        <f>((AW15*Constants!$H73*Constants!$H91*(1-Constants!$H109))+(AW15*Constants!$H73*Constants!$H125))</f>
        <v>0</v>
      </c>
      <c r="AX60" s="22">
        <f>((AX15*Constants!$H73*Constants!$H91*(1-Constants!$H109))+(AX15*Constants!$H73*Constants!$H125))</f>
        <v>0</v>
      </c>
      <c r="AY60" s="22">
        <f>((AY15*Constants!$H73*Constants!$H91*(1-Constants!$H109))+(AY15*Constants!$H73*Constants!$H125))</f>
        <v>0</v>
      </c>
      <c r="AZ60" s="22">
        <f>((AZ15*Constants!$H73*Constants!$H91*(1-Constants!$H109))+(AZ15*Constants!$H73*Constants!$H125))</f>
        <v>0</v>
      </c>
      <c r="BA60" s="22">
        <f>((BA15*Constants!$H73*Constants!$H91*(1-Constants!$H109))+(BA15*Constants!$H73*Constants!$H125))</f>
        <v>0</v>
      </c>
      <c r="BB60" s="22">
        <f>((BB15*Constants!$H73*Constants!$H91*(1-Constants!$H109))+(BB15*Constants!$H73*Constants!$H125))</f>
        <v>0</v>
      </c>
      <c r="BC60" s="22">
        <f>((BC15*Constants!$H73*Constants!$H91*(1-Constants!$H109))+(BC15*Constants!$H73*Constants!$H125))</f>
        <v>0</v>
      </c>
      <c r="BD60" s="22">
        <f>((BD15*Constants!$H73*Constants!$H91*(1-Constants!$H109))+(BD15*Constants!$H73*Constants!$H125))</f>
        <v>0</v>
      </c>
      <c r="BE60" s="22">
        <f>((BE15*Constants!$H73*Constants!$H91*(1-Constants!$H109))+(BE15*Constants!$H73*Constants!$H125))</f>
        <v>0</v>
      </c>
      <c r="BF60" s="22">
        <f>((BF15*Constants!$H73*Constants!$H91*(1-Constants!$H109))+(BF15*Constants!$H73*Constants!$H125))</f>
        <v>0</v>
      </c>
      <c r="BG60" s="22">
        <f>((BG15*Constants!$H73*Constants!$H91*(1-Constants!$H109))+(BG15*Constants!$H73*Constants!$H125))</f>
        <v>0</v>
      </c>
      <c r="BH60" s="22">
        <f>((BH15*Constants!$H73*Constants!$H91*(1-Constants!$H109))+(BH15*Constants!$H73*Constants!$H125))</f>
        <v>0</v>
      </c>
      <c r="BI60" s="22">
        <f>((BI15*Constants!$H73*Constants!$H91*(1-Constants!$H109))+(BI15*Constants!$H73*Constants!$H125))</f>
        <v>0</v>
      </c>
      <c r="BJ60" s="22">
        <f>((BJ15*Constants!$H73*Constants!$H91*(1-Constants!$H109))+(BJ15*Constants!$H73*Constants!$H125))</f>
        <v>0</v>
      </c>
      <c r="BK60" s="22">
        <f>((BK15*Constants!$H73*Constants!$H91*(1-Constants!$H109))+(BK15*Constants!$H73*Constants!$H125))</f>
        <v>0</v>
      </c>
      <c r="BL60" s="22">
        <f>((BL15*Constants!$H73*Constants!$H91*(1-Constants!$H109))+(BL15*Constants!$H73*Constants!$H125))</f>
        <v>0</v>
      </c>
      <c r="BM60" s="22">
        <f>((BM15*Constants!$H73*Constants!$H91*(1-Constants!$H109))+(BM15*Constants!$H73*Constants!$H125))</f>
        <v>0</v>
      </c>
      <c r="BN60" s="22">
        <f>((BN15*Constants!$H73*Constants!$H91*(1-Constants!$H109))+(BN15*Constants!$H73*Constants!$H125))</f>
        <v>0</v>
      </c>
      <c r="BO60" s="22">
        <f>((BO15*Constants!$H73*Constants!$H91*(1-Constants!$H109))+(BO15*Constants!$H73*Constants!$H125))</f>
        <v>0</v>
      </c>
      <c r="BP60" s="22">
        <f>((BP15*Constants!$H73*Constants!$H91*(1-Constants!$H109))+(BP15*Constants!$H73*Constants!$H125))</f>
        <v>0</v>
      </c>
    </row>
    <row r="61" spans="1:72" x14ac:dyDescent="0.25">
      <c r="A61" t="str">
        <f t="shared" si="20"/>
        <v>3C Aggregated and non-CO2 emissions on land</v>
      </c>
      <c r="B61" t="str">
        <f t="shared" si="21"/>
        <v>3C4 Direct N2O from managed soils (N2O)</v>
      </c>
      <c r="C61" t="s">
        <v>409</v>
      </c>
      <c r="D61" t="str">
        <f>Constants!D126</f>
        <v xml:space="preserve"> - Mules &amp; Asses</v>
      </c>
      <c r="E61" t="str">
        <f t="shared" si="23"/>
        <v>MM N available - Mules &amp; Asses</v>
      </c>
      <c r="F61" t="str">
        <f t="shared" si="24"/>
        <v>kg N</v>
      </c>
      <c r="H61" s="22">
        <f>((H16*Constants!$H74*Constants!$H92*(1-Constants!$H110))+(H16*Constants!$H74*Constants!$H126))</f>
        <v>0</v>
      </c>
      <c r="I61" s="22">
        <f>((I16*Constants!$H74*Constants!$H92*(1-Constants!$H110))+(I16*Constants!$H74*Constants!$H126))</f>
        <v>0</v>
      </c>
      <c r="J61" s="22">
        <f>((J16*Constants!$H74*Constants!$H92*(1-Constants!$H110))+(J16*Constants!$H74*Constants!$H126))</f>
        <v>0</v>
      </c>
      <c r="K61" s="22">
        <f>((K16*Constants!$H74*Constants!$H92*(1-Constants!$H110))+(K16*Constants!$H74*Constants!$H126))</f>
        <v>0</v>
      </c>
      <c r="L61" s="22">
        <f>((L16*Constants!$H74*Constants!$H92*(1-Constants!$H110))+(L16*Constants!$H74*Constants!$H126))</f>
        <v>0</v>
      </c>
      <c r="M61" s="22">
        <f>((M16*Constants!$H74*Constants!$H92*(1-Constants!$H110))+(M16*Constants!$H74*Constants!$H126))</f>
        <v>0</v>
      </c>
      <c r="N61" s="22">
        <f>((N16*Constants!$H74*Constants!$H92*(1-Constants!$H110))+(N16*Constants!$H74*Constants!$H126))</f>
        <v>0</v>
      </c>
      <c r="O61" s="22">
        <f>((O16*Constants!$H74*Constants!$H92*(1-Constants!$H110))+(O16*Constants!$H74*Constants!$H126))</f>
        <v>0</v>
      </c>
      <c r="P61" s="22">
        <f>((P16*Constants!$H74*Constants!$H92*(1-Constants!$H110))+(P16*Constants!$H74*Constants!$H126))</f>
        <v>0</v>
      </c>
      <c r="Q61" s="22">
        <f>((Q16*Constants!$H74*Constants!$H92*(1-Constants!$H110))+(Q16*Constants!$H74*Constants!$H126))</f>
        <v>0</v>
      </c>
      <c r="R61" s="22">
        <f>((R16*Constants!$H74*Constants!$H92*(1-Constants!$H110))+(R16*Constants!$H74*Constants!$H126))</f>
        <v>0</v>
      </c>
      <c r="S61" s="22">
        <f>((S16*Constants!$H74*Constants!$H92*(1-Constants!$H110))+(S16*Constants!$H74*Constants!$H126))</f>
        <v>0</v>
      </c>
      <c r="T61" s="22">
        <f>((T16*Constants!$H74*Constants!$H92*(1-Constants!$H110))+(T16*Constants!$H74*Constants!$H126))</f>
        <v>0</v>
      </c>
      <c r="U61" s="22">
        <f>((U16*Constants!$H74*Constants!$H92*(1-Constants!$H110))+(U16*Constants!$H74*Constants!$H126))</f>
        <v>0</v>
      </c>
      <c r="V61" s="22">
        <f>((V16*Constants!$H74*Constants!$H92*(1-Constants!$H110))+(V16*Constants!$H74*Constants!$H126))</f>
        <v>0</v>
      </c>
      <c r="W61" s="22">
        <f>((W16*Constants!$H74*Constants!$H92*(1-Constants!$H110))+(W16*Constants!$H74*Constants!$H126))</f>
        <v>0</v>
      </c>
      <c r="X61" s="22">
        <f>((X16*Constants!$H74*Constants!$H92*(1-Constants!$H110))+(X16*Constants!$H74*Constants!$H126))</f>
        <v>0</v>
      </c>
      <c r="Y61" s="22">
        <f>((Y16*Constants!$H74*Constants!$H92*(1-Constants!$H110))+(Y16*Constants!$H74*Constants!$H126))</f>
        <v>0</v>
      </c>
      <c r="Z61" s="22">
        <f>((Z16*Constants!$H74*Constants!$H92*(1-Constants!$H110))+(Z16*Constants!$H74*Constants!$H126))</f>
        <v>0</v>
      </c>
      <c r="AA61" s="22">
        <f>((AA16*Constants!$H74*Constants!$H92*(1-Constants!$H110))+(AA16*Constants!$H74*Constants!$H126))</f>
        <v>0</v>
      </c>
      <c r="AB61" s="22">
        <f>((AB16*Constants!$H74*Constants!$H92*(1-Constants!$H110))+(AB16*Constants!$H74*Constants!$H126))</f>
        <v>0</v>
      </c>
      <c r="AC61" s="22">
        <f>((AC16*Constants!$H74*Constants!$H92*(1-Constants!$H110))+(AC16*Constants!$H74*Constants!$H126))</f>
        <v>0</v>
      </c>
      <c r="AD61" s="22">
        <f>((AD16*Constants!$H74*Constants!$H92*(1-Constants!$H110))+(AD16*Constants!$H74*Constants!$H126))</f>
        <v>0</v>
      </c>
      <c r="AE61" s="22">
        <f>((AE16*Constants!$H74*Constants!$H92*(1-Constants!$H110))+(AE16*Constants!$H74*Constants!$H126))</f>
        <v>0</v>
      </c>
      <c r="AF61" s="22">
        <f>((AF16*Constants!$H74*Constants!$H92*(1-Constants!$H110))+(AF16*Constants!$H74*Constants!$H126))</f>
        <v>0</v>
      </c>
      <c r="AG61" s="22">
        <f>((AG16*Constants!$H74*Constants!$H92*(1-Constants!$H110))+(AG16*Constants!$H74*Constants!$H126))</f>
        <v>0</v>
      </c>
      <c r="AH61" s="22">
        <f>((AH16*Constants!$H74*Constants!$H92*(1-Constants!$H110))+(AH16*Constants!$H74*Constants!$H126))</f>
        <v>0</v>
      </c>
      <c r="AI61" s="22">
        <f>((AI16*Constants!$H74*Constants!$H92*(1-Constants!$H110))+(AI16*Constants!$H74*Constants!$H126))</f>
        <v>0</v>
      </c>
      <c r="AJ61" s="22">
        <f>((AJ16*Constants!$H74*Constants!$H92*(1-Constants!$H110))+(AJ16*Constants!$H74*Constants!$H126))</f>
        <v>0</v>
      </c>
      <c r="AK61" s="22">
        <f>((AK16*Constants!$H74*Constants!$H92*(1-Constants!$H110))+(AK16*Constants!$H74*Constants!$H126))</f>
        <v>0</v>
      </c>
      <c r="AL61" s="22">
        <f>((AL16*Constants!$H74*Constants!$H92*(1-Constants!$H110))+(AL16*Constants!$H74*Constants!$H126))</f>
        <v>0</v>
      </c>
      <c r="AM61" s="22">
        <f>((AM16*Constants!$H74*Constants!$H92*(1-Constants!$H110))+(AM16*Constants!$H74*Constants!$H126))</f>
        <v>0</v>
      </c>
      <c r="AN61" s="22">
        <f>((AN16*Constants!$H74*Constants!$H92*(1-Constants!$H110))+(AN16*Constants!$H74*Constants!$H126))</f>
        <v>0</v>
      </c>
      <c r="AO61" s="22">
        <f>((AO16*Constants!$H74*Constants!$H92*(1-Constants!$H110))+(AO16*Constants!$H74*Constants!$H126))</f>
        <v>0</v>
      </c>
      <c r="AP61" s="22">
        <f>((AP16*Constants!$H74*Constants!$H92*(1-Constants!$H110))+(AP16*Constants!$H74*Constants!$H126))</f>
        <v>0</v>
      </c>
      <c r="AQ61" s="22">
        <f>((AQ16*Constants!$H74*Constants!$H92*(1-Constants!$H110))+(AQ16*Constants!$H74*Constants!$H126))</f>
        <v>0</v>
      </c>
      <c r="AR61" s="22">
        <f>((AR16*Constants!$H74*Constants!$H92*(1-Constants!$H110))+(AR16*Constants!$H74*Constants!$H126))</f>
        <v>0</v>
      </c>
      <c r="AS61" s="22">
        <f>((AS16*Constants!$H74*Constants!$H92*(1-Constants!$H110))+(AS16*Constants!$H74*Constants!$H126))</f>
        <v>0</v>
      </c>
      <c r="AT61" s="22">
        <f>((AT16*Constants!$H74*Constants!$H92*(1-Constants!$H110))+(AT16*Constants!$H74*Constants!$H126))</f>
        <v>0</v>
      </c>
      <c r="AU61" s="22">
        <f>((AU16*Constants!$H74*Constants!$H92*(1-Constants!$H110))+(AU16*Constants!$H74*Constants!$H126))</f>
        <v>0</v>
      </c>
      <c r="AV61" s="22">
        <f>((AV16*Constants!$H74*Constants!$H92*(1-Constants!$H110))+(AV16*Constants!$H74*Constants!$H126))</f>
        <v>0</v>
      </c>
      <c r="AW61" s="22">
        <f>((AW16*Constants!$H74*Constants!$H92*(1-Constants!$H110))+(AW16*Constants!$H74*Constants!$H126))</f>
        <v>0</v>
      </c>
      <c r="AX61" s="22">
        <f>((AX16*Constants!$H74*Constants!$H92*(1-Constants!$H110))+(AX16*Constants!$H74*Constants!$H126))</f>
        <v>0</v>
      </c>
      <c r="AY61" s="22">
        <f>((AY16*Constants!$H74*Constants!$H92*(1-Constants!$H110))+(AY16*Constants!$H74*Constants!$H126))</f>
        <v>0</v>
      </c>
      <c r="AZ61" s="22">
        <f>((AZ16*Constants!$H74*Constants!$H92*(1-Constants!$H110))+(AZ16*Constants!$H74*Constants!$H126))</f>
        <v>0</v>
      </c>
      <c r="BA61" s="22">
        <f>((BA16*Constants!$H74*Constants!$H92*(1-Constants!$H110))+(BA16*Constants!$H74*Constants!$H126))</f>
        <v>0</v>
      </c>
      <c r="BB61" s="22">
        <f>((BB16*Constants!$H74*Constants!$H92*(1-Constants!$H110))+(BB16*Constants!$H74*Constants!$H126))</f>
        <v>0</v>
      </c>
      <c r="BC61" s="22">
        <f>((BC16*Constants!$H74*Constants!$H92*(1-Constants!$H110))+(BC16*Constants!$H74*Constants!$H126))</f>
        <v>0</v>
      </c>
      <c r="BD61" s="22">
        <f>((BD16*Constants!$H74*Constants!$H92*(1-Constants!$H110))+(BD16*Constants!$H74*Constants!$H126))</f>
        <v>0</v>
      </c>
      <c r="BE61" s="22">
        <f>((BE16*Constants!$H74*Constants!$H92*(1-Constants!$H110))+(BE16*Constants!$H74*Constants!$H126))</f>
        <v>0</v>
      </c>
      <c r="BF61" s="22">
        <f>((BF16*Constants!$H74*Constants!$H92*(1-Constants!$H110))+(BF16*Constants!$H74*Constants!$H126))</f>
        <v>0</v>
      </c>
      <c r="BG61" s="22">
        <f>((BG16*Constants!$H74*Constants!$H92*(1-Constants!$H110))+(BG16*Constants!$H74*Constants!$H126))</f>
        <v>0</v>
      </c>
      <c r="BH61" s="22">
        <f>((BH16*Constants!$H74*Constants!$H92*(1-Constants!$H110))+(BH16*Constants!$H74*Constants!$H126))</f>
        <v>0</v>
      </c>
      <c r="BI61" s="22">
        <f>((BI16*Constants!$H74*Constants!$H92*(1-Constants!$H110))+(BI16*Constants!$H74*Constants!$H126))</f>
        <v>0</v>
      </c>
      <c r="BJ61" s="22">
        <f>((BJ16*Constants!$H74*Constants!$H92*(1-Constants!$H110))+(BJ16*Constants!$H74*Constants!$H126))</f>
        <v>0</v>
      </c>
      <c r="BK61" s="22">
        <f>((BK16*Constants!$H74*Constants!$H92*(1-Constants!$H110))+(BK16*Constants!$H74*Constants!$H126))</f>
        <v>0</v>
      </c>
      <c r="BL61" s="22">
        <f>((BL16*Constants!$H74*Constants!$H92*(1-Constants!$H110))+(BL16*Constants!$H74*Constants!$H126))</f>
        <v>0</v>
      </c>
      <c r="BM61" s="22">
        <f>((BM16*Constants!$H74*Constants!$H92*(1-Constants!$H110))+(BM16*Constants!$H74*Constants!$H126))</f>
        <v>0</v>
      </c>
      <c r="BN61" s="22">
        <f>((BN16*Constants!$H74*Constants!$H92*(1-Constants!$H110))+(BN16*Constants!$H74*Constants!$H126))</f>
        <v>0</v>
      </c>
      <c r="BO61" s="22">
        <f>((BO16*Constants!$H74*Constants!$H92*(1-Constants!$H110))+(BO16*Constants!$H74*Constants!$H126))</f>
        <v>0</v>
      </c>
      <c r="BP61" s="22">
        <f>((BP16*Constants!$H74*Constants!$H92*(1-Constants!$H110))+(BP16*Constants!$H74*Constants!$H126))</f>
        <v>0</v>
      </c>
    </row>
    <row r="62" spans="1:72" x14ac:dyDescent="0.25">
      <c r="A62" t="str">
        <f t="shared" si="20"/>
        <v>3C Aggregated and non-CO2 emissions on land</v>
      </c>
      <c r="B62" t="str">
        <f t="shared" si="21"/>
        <v>3C4 Direct N2O from managed soils (N2O)</v>
      </c>
      <c r="C62" t="s">
        <v>409</v>
      </c>
      <c r="D62" t="str">
        <f>Constants!D127</f>
        <v xml:space="preserve"> - Commercial swine</v>
      </c>
      <c r="E62" t="str">
        <f t="shared" si="23"/>
        <v>MM N available - Commercial swine</v>
      </c>
      <c r="F62" t="str">
        <f t="shared" si="24"/>
        <v>kg N</v>
      </c>
      <c r="H62" s="22">
        <f>((H17*Constants!$H75*Constants!$H93*(1-Constants!$H111))+(H17*Constants!$H75*Constants!$H127))</f>
        <v>7298537.9251200007</v>
      </c>
      <c r="I62" s="22">
        <f>((I17*Constants!$H75*Constants!$H93*(1-Constants!$H111))+(I17*Constants!$H75*Constants!$H127))</f>
        <v>7973796.3552000001</v>
      </c>
      <c r="J62" s="22">
        <f>((J17*Constants!$H75*Constants!$H93*(1-Constants!$H111))+(J17*Constants!$H75*Constants!$H127))</f>
        <v>7921116.6195200011</v>
      </c>
      <c r="K62" s="22">
        <f>((K17*Constants!$H75*Constants!$H93*(1-Constants!$H111))+(K17*Constants!$H75*Constants!$H127))</f>
        <v>7916327.5526400004</v>
      </c>
      <c r="L62" s="22">
        <f>((L17*Constants!$H75*Constants!$H93*(1-Constants!$H111))+(L17*Constants!$H75*Constants!$H127))</f>
        <v>7518835.0016000001</v>
      </c>
      <c r="M62" s="22">
        <f>((M17*Constants!$H75*Constants!$H93*(1-Constants!$H111))+(M17*Constants!$H75*Constants!$H127))</f>
        <v>7590671.0048000002</v>
      </c>
      <c r="N62" s="22">
        <f>((N17*Constants!$H75*Constants!$H93*(1-Constants!$H111))+(N17*Constants!$H75*Constants!$H127))</f>
        <v>8174937.1641600002</v>
      </c>
      <c r="O62" s="22">
        <f>((O17*Constants!$H75*Constants!$H93*(1-Constants!$H111))+(O17*Constants!$H75*Constants!$H127))</f>
        <v>8136624.6291200006</v>
      </c>
      <c r="P62" s="22">
        <f>((P17*Constants!$H75*Constants!$H93*(1-Constants!$H111))+(P17*Constants!$H75*Constants!$H127))</f>
        <v>8313820.1036800006</v>
      </c>
      <c r="Q62" s="22">
        <f>((Q17*Constants!$H75*Constants!$H93*(1-Constants!$H111))+(Q17*Constants!$H75*Constants!$H127))</f>
        <v>8524539.0463999994</v>
      </c>
      <c r="R62" s="22">
        <f>((R17*Constants!$H75*Constants!$H93*(1-Constants!$H111))+(R17*Constants!$H75*Constants!$H127))</f>
        <v>7887593.1513599996</v>
      </c>
      <c r="S62" s="22">
        <f>((S17*Constants!$H75*Constants!$H93*(1-Constants!$H111))+(S17*Constants!$H75*Constants!$H127))</f>
        <v>8036054.2246400006</v>
      </c>
      <c r="T62" s="22">
        <f>((T17*Constants!$H75*Constants!$H93*(1-Constants!$H111))+(T17*Constants!$H75*Constants!$H127))</f>
        <v>8189304.3647999996</v>
      </c>
      <c r="U62" s="22">
        <f>((U17*Constants!$H75*Constants!$H93*(1-Constants!$H111))+(U17*Constants!$H75*Constants!$H127))</f>
        <v>7964218.2214400005</v>
      </c>
      <c r="V62" s="22">
        <f>((V17*Constants!$H75*Constants!$H93*(1-Constants!$H111))+(V17*Constants!$H75*Constants!$H127))</f>
        <v>7964218.2214400005</v>
      </c>
      <c r="W62" s="22">
        <f>((W17*Constants!$H75*Constants!$H93*(1-Constants!$H111))+(W17*Constants!$H75*Constants!$H127))</f>
        <v>7906749.4188800007</v>
      </c>
      <c r="X62" s="22">
        <f>((X17*Constants!$H75*Constants!$H93*(1-Constants!$H111))+(X17*Constants!$H75*Constants!$H127))</f>
        <v>7767866.4793599993</v>
      </c>
      <c r="Y62" s="22">
        <f>((Y17*Constants!$H75*Constants!$H93*(1-Constants!$H111))+(Y17*Constants!$H75*Constants!$H127))</f>
        <v>7906749.4188800007</v>
      </c>
      <c r="Z62" s="22">
        <f>((Z17*Constants!$H75*Constants!$H93*(1-Constants!$H111))+(Z17*Constants!$H75*Constants!$H127))</f>
        <v>7734343.0111999996</v>
      </c>
      <c r="AA62" s="22">
        <f>((AA17*Constants!$H75*Constants!$H93*(1-Constants!$H111))+(AA17*Constants!$H75*Constants!$H127))</f>
        <v>7724764.87744</v>
      </c>
      <c r="AB62" s="22">
        <f>((AB17*Constants!$H75*Constants!$H93*(1-Constants!$H111))+(AB17*Constants!$H75*Constants!$H127))</f>
        <v>7633772.6067200005</v>
      </c>
      <c r="AC62" s="22">
        <f>((AC17*Constants!$H75*Constants!$H93*(1-Constants!$H111))+(AC17*Constants!$H75*Constants!$H127))</f>
        <v>7585881.9379200004</v>
      </c>
      <c r="AD62" s="22">
        <f>((AD17*Constants!$H75*Constants!$H93*(1-Constants!$H111))+(AD17*Constants!$H75*Constants!$H127))</f>
        <v>7968850.0859723184</v>
      </c>
      <c r="AE62" s="22">
        <f>((AE17*Constants!$H75*Constants!$H93*(1-Constants!$H111))+(AE17*Constants!$H75*Constants!$H127))</f>
        <v>7968543.9530858798</v>
      </c>
      <c r="AF62" s="22">
        <f>((AF17*Constants!$H75*Constants!$H93*(1-Constants!$H111))+(AF17*Constants!$H75*Constants!$H127))</f>
        <v>7893609.1483433247</v>
      </c>
      <c r="AG62" s="22">
        <f>((AG17*Constants!$H75*Constants!$H93*(1-Constants!$H111))+(AG17*Constants!$H75*Constants!$H127))</f>
        <v>7761978.9424292976</v>
      </c>
      <c r="AH62" s="22">
        <f>((AH17*Constants!$H75*Constants!$H93*(1-Constants!$H111))+(AH17*Constants!$H75*Constants!$H127))</f>
        <v>7597668.9675281718</v>
      </c>
      <c r="AI62" s="22">
        <f>((AI17*Constants!$H75*Constants!$H93*(1-Constants!$H111))+(AI17*Constants!$H75*Constants!$H127))</f>
        <v>7467328.2491068989</v>
      </c>
      <c r="AJ62" s="22">
        <f>((AJ17*Constants!$H75*Constants!$H93*(1-Constants!$H111))+(AJ17*Constants!$H75*Constants!$H127))</f>
        <v>7358860.5692958757</v>
      </c>
      <c r="AK62" s="22">
        <f>((AK17*Constants!$H75*Constants!$H93*(1-Constants!$H111))+(AK17*Constants!$H75*Constants!$H127))</f>
        <v>7251063.244897888</v>
      </c>
      <c r="AL62" s="22">
        <f>((AL17*Constants!$H75*Constants!$H93*(1-Constants!$H111))+(AL17*Constants!$H75*Constants!$H127))</f>
        <v>6318334.4963457035</v>
      </c>
      <c r="AM62" s="22">
        <f>((AM17*Constants!$H75*Constants!$H93*(1-Constants!$H111))+(AM17*Constants!$H75*Constants!$H127))</f>
        <v>6328822.6675652675</v>
      </c>
      <c r="AN62" s="22">
        <f>((AN17*Constants!$H75*Constants!$H93*(1-Constants!$H111))+(AN17*Constants!$H75*Constants!$H127))</f>
        <v>6341857.0697061531</v>
      </c>
      <c r="AO62" s="22">
        <f>((AO17*Constants!$H75*Constants!$H93*(1-Constants!$H111))+(AO17*Constants!$H75*Constants!$H127))</f>
        <v>6373478.8245934611</v>
      </c>
      <c r="AP62" s="22">
        <f>((AP17*Constants!$H75*Constants!$H93*(1-Constants!$H111))+(AP17*Constants!$H75*Constants!$H127))</f>
        <v>6415665.6116849398</v>
      </c>
      <c r="AQ62" s="22">
        <f>((AQ17*Constants!$H75*Constants!$H93*(1-Constants!$H111))+(AQ17*Constants!$H75*Constants!$H127))</f>
        <v>6453711.7642053617</v>
      </c>
      <c r="AR62" s="22">
        <f>((AR17*Constants!$H75*Constants!$H93*(1-Constants!$H111))+(AR17*Constants!$H75*Constants!$H127))</f>
        <v>6517211.2790412614</v>
      </c>
      <c r="AS62" s="22">
        <f>((AS17*Constants!$H75*Constants!$H93*(1-Constants!$H111))+(AS17*Constants!$H75*Constants!$H127))</f>
        <v>6585404.2335391594</v>
      </c>
      <c r="AT62" s="22">
        <f>((AT17*Constants!$H75*Constants!$H93*(1-Constants!$H111))+(AT17*Constants!$H75*Constants!$H127))</f>
        <v>6661829.8548217602</v>
      </c>
      <c r="AU62" s="22">
        <f>((AU17*Constants!$H75*Constants!$H93*(1-Constants!$H111))+(AU17*Constants!$H75*Constants!$H127))</f>
        <v>6741705.0151764536</v>
      </c>
      <c r="AV62" s="22">
        <f>((AV17*Constants!$H75*Constants!$H93*(1-Constants!$H111))+(AV17*Constants!$H75*Constants!$H127))</f>
        <v>6784405.9632388288</v>
      </c>
      <c r="AW62" s="22">
        <f>((AW17*Constants!$H75*Constants!$H93*(1-Constants!$H111))+(AW17*Constants!$H75*Constants!$H127))</f>
        <v>6871458.4188644793</v>
      </c>
      <c r="AX62" s="22">
        <f>((AX17*Constants!$H75*Constants!$H93*(1-Constants!$H111))+(AX17*Constants!$H75*Constants!$H127))</f>
        <v>6959244.4465487683</v>
      </c>
      <c r="AY62" s="22">
        <f>((AY17*Constants!$H75*Constants!$H93*(1-Constants!$H111))+(AY17*Constants!$H75*Constants!$H127))</f>
        <v>7049051.5280859489</v>
      </c>
      <c r="AZ62" s="22">
        <f>((AZ17*Constants!$H75*Constants!$H93*(1-Constants!$H111))+(AZ17*Constants!$H75*Constants!$H127))</f>
        <v>7125418.3914533323</v>
      </c>
      <c r="BA62" s="22">
        <f>((BA17*Constants!$H75*Constants!$H93*(1-Constants!$H111))+(BA17*Constants!$H75*Constants!$H127))</f>
        <v>7209918.5678184377</v>
      </c>
      <c r="BB62" s="22">
        <f>((BB17*Constants!$H75*Constants!$H93*(1-Constants!$H111))+(BB17*Constants!$H75*Constants!$H127))</f>
        <v>7302337.206979448</v>
      </c>
      <c r="BC62" s="22">
        <f>((BC17*Constants!$H75*Constants!$H93*(1-Constants!$H111))+(BC17*Constants!$H75*Constants!$H127))</f>
        <v>7398256.7217332134</v>
      </c>
      <c r="BD62" s="22">
        <f>((BD17*Constants!$H75*Constants!$H93*(1-Constants!$H111))+(BD17*Constants!$H75*Constants!$H127))</f>
        <v>7487017.0432235068</v>
      </c>
      <c r="BE62" s="22">
        <f>((BE17*Constants!$H75*Constants!$H93*(1-Constants!$H111))+(BE17*Constants!$H75*Constants!$H127))</f>
        <v>7579095.500128164</v>
      </c>
      <c r="BF62" s="22">
        <f>((BF17*Constants!$H75*Constants!$H93*(1-Constants!$H111))+(BF17*Constants!$H75*Constants!$H127))</f>
        <v>7680337.9830778372</v>
      </c>
      <c r="BG62" s="22">
        <f>((BG17*Constants!$H75*Constants!$H93*(1-Constants!$H111))+(BG17*Constants!$H75*Constants!$H127))</f>
        <v>7787400.4890366197</v>
      </c>
      <c r="BH62" s="22">
        <f>((BH17*Constants!$H75*Constants!$H93*(1-Constants!$H111))+(BH17*Constants!$H75*Constants!$H127))</f>
        <v>7899017.5677235983</v>
      </c>
      <c r="BI62" s="22">
        <f>((BI17*Constants!$H75*Constants!$H93*(1-Constants!$H111))+(BI17*Constants!$H75*Constants!$H127))</f>
        <v>8015241.2630801816</v>
      </c>
      <c r="BJ62" s="22">
        <f>((BJ17*Constants!$H75*Constants!$H93*(1-Constants!$H111))+(BJ17*Constants!$H75*Constants!$H127))</f>
        <v>8135787.1814959133</v>
      </c>
      <c r="BK62" s="22">
        <f>((BK17*Constants!$H75*Constants!$H93*(1-Constants!$H111))+(BK17*Constants!$H75*Constants!$H127))</f>
        <v>8262582.5643621935</v>
      </c>
      <c r="BL62" s="22">
        <f>((BL17*Constants!$H75*Constants!$H93*(1-Constants!$H111))+(BL17*Constants!$H75*Constants!$H127))</f>
        <v>8367798.8991967244</v>
      </c>
      <c r="BM62" s="22">
        <f>((BM17*Constants!$H75*Constants!$H93*(1-Constants!$H111))+(BM17*Constants!$H75*Constants!$H127))</f>
        <v>8478135.6253253315</v>
      </c>
      <c r="BN62" s="22">
        <f>((BN17*Constants!$H75*Constants!$H93*(1-Constants!$H111))+(BN17*Constants!$H75*Constants!$H127))</f>
        <v>8595225.2764841504</v>
      </c>
      <c r="BO62" s="22">
        <f>((BO17*Constants!$H75*Constants!$H93*(1-Constants!$H111))+(BO17*Constants!$H75*Constants!$H127))</f>
        <v>8719649.5805761814</v>
      </c>
      <c r="BP62" s="22">
        <f>((BP17*Constants!$H75*Constants!$H93*(1-Constants!$H111))+(BP17*Constants!$H75*Constants!$H127))</f>
        <v>8857002.8085643761</v>
      </c>
    </row>
    <row r="63" spans="1:72" x14ac:dyDescent="0.25">
      <c r="A63" t="str">
        <f t="shared" si="20"/>
        <v>3C Aggregated and non-CO2 emissions on land</v>
      </c>
      <c r="B63" t="str">
        <f t="shared" si="21"/>
        <v>3C4 Direct N2O from managed soils (N2O)</v>
      </c>
      <c r="C63" t="s">
        <v>409</v>
      </c>
      <c r="D63" t="str">
        <f>Constants!D128</f>
        <v xml:space="preserve"> - Subsistence swine</v>
      </c>
      <c r="E63" t="str">
        <f t="shared" si="23"/>
        <v>MM N available - Subsistence swine</v>
      </c>
      <c r="F63" t="str">
        <f t="shared" si="24"/>
        <v>kg N</v>
      </c>
      <c r="H63" s="22">
        <f>((H18*Constants!$H76*Constants!$H94*(1-Constants!$H112))+(H18*Constants!$H76*Constants!$H128))</f>
        <v>1773185.6742955854</v>
      </c>
      <c r="I63" s="22">
        <f>((I18*Constants!$H76*Constants!$H94*(1-Constants!$H112))+(I18*Constants!$H76*Constants!$H128))</f>
        <v>1937240.2543977362</v>
      </c>
      <c r="J63" s="22">
        <f>((J18*Constants!$H76*Constants!$H94*(1-Constants!$H112))+(J18*Constants!$H76*Constants!$H128))</f>
        <v>1924441.6701344475</v>
      </c>
      <c r="K63" s="22">
        <f>((K18*Constants!$H76*Constants!$H94*(1-Constants!$H112))+(K18*Constants!$H76*Constants!$H128))</f>
        <v>1923278.1624741489</v>
      </c>
      <c r="L63" s="22">
        <f>((L18*Constants!$H76*Constants!$H94*(1-Constants!$H112))+(L18*Constants!$H76*Constants!$H128))</f>
        <v>1826707.0266693365</v>
      </c>
      <c r="M63" s="22">
        <f>((M18*Constants!$H76*Constants!$H94*(1-Constants!$H112))+(M18*Constants!$H76*Constants!$H128))</f>
        <v>1844159.6415738207</v>
      </c>
      <c r="N63" s="22">
        <f>((N18*Constants!$H76*Constants!$H94*(1-Constants!$H112))+(N18*Constants!$H76*Constants!$H128))</f>
        <v>1986107.5761302917</v>
      </c>
      <c r="O63" s="22">
        <f>((O18*Constants!$H76*Constants!$H94*(1-Constants!$H112))+(O18*Constants!$H76*Constants!$H128))</f>
        <v>1976799.5148479</v>
      </c>
      <c r="P63" s="22">
        <f>((P18*Constants!$H76*Constants!$H94*(1-Constants!$H112))+(P18*Constants!$H76*Constants!$H128))</f>
        <v>2019849.2982789606</v>
      </c>
      <c r="Q63" s="22">
        <f>((Q18*Constants!$H76*Constants!$H94*(1-Constants!$H112))+(Q18*Constants!$H76*Constants!$H128))</f>
        <v>2071043.6353321141</v>
      </c>
      <c r="R63" s="22">
        <f>((R18*Constants!$H76*Constants!$H94*(1-Constants!$H112))+(R18*Constants!$H76*Constants!$H128))</f>
        <v>1916297.1165123552</v>
      </c>
      <c r="S63" s="22">
        <f>((S18*Constants!$H76*Constants!$H94*(1-Constants!$H112))+(S18*Constants!$H76*Constants!$H128))</f>
        <v>1952365.8539816223</v>
      </c>
      <c r="T63" s="22">
        <f>((T18*Constants!$H76*Constants!$H94*(1-Constants!$H112))+(T18*Constants!$H76*Constants!$H128))</f>
        <v>1989598.0991111884</v>
      </c>
      <c r="U63" s="22">
        <f>((U18*Constants!$H76*Constants!$H94*(1-Constants!$H112))+(U18*Constants!$H76*Constants!$H128))</f>
        <v>1934913.2390771382</v>
      </c>
      <c r="V63" s="22">
        <f>((V18*Constants!$H76*Constants!$H94*(1-Constants!$H112))+(V18*Constants!$H76*Constants!$H128))</f>
        <v>1934913.2390771382</v>
      </c>
      <c r="W63" s="22">
        <f>((W18*Constants!$H76*Constants!$H94*(1-Constants!$H112))+(W18*Constants!$H76*Constants!$H128))</f>
        <v>1920951.1471535508</v>
      </c>
      <c r="X63" s="22">
        <f>((X18*Constants!$H76*Constants!$H94*(1-Constants!$H112))+(X18*Constants!$H76*Constants!$H128))</f>
        <v>1887209.4250048813</v>
      </c>
      <c r="Y63" s="22">
        <f>((Y18*Constants!$H76*Constants!$H94*(1-Constants!$H112))+(Y18*Constants!$H76*Constants!$H128))</f>
        <v>1920951.1471535508</v>
      </c>
      <c r="Z63" s="22">
        <f>((Z18*Constants!$H76*Constants!$H94*(1-Constants!$H112))+(Z18*Constants!$H76*Constants!$H128))</f>
        <v>1879064.8713827892</v>
      </c>
      <c r="AA63" s="22">
        <f>((AA18*Constants!$H76*Constants!$H94*(1-Constants!$H112))+(AA18*Constants!$H76*Constants!$H128))</f>
        <v>1876737.8560621911</v>
      </c>
      <c r="AB63" s="22">
        <f>((AB18*Constants!$H76*Constants!$H94*(1-Constants!$H112))+(AB18*Constants!$H76*Constants!$H128))</f>
        <v>1854631.2105165115</v>
      </c>
      <c r="AC63" s="22">
        <f>((AC18*Constants!$H76*Constants!$H94*(1-Constants!$H112))+(AC18*Constants!$H76*Constants!$H128))</f>
        <v>1842996.1339135219</v>
      </c>
      <c r="AD63" s="22">
        <f>((AD18*Constants!$H76*Constants!$H94*(1-Constants!$H112))+(AD18*Constants!$H76*Constants!$H128))</f>
        <v>2021727.6977429881</v>
      </c>
      <c r="AE63" s="22">
        <f>((AE18*Constants!$H76*Constants!$H94*(1-Constants!$H112))+(AE18*Constants!$H76*Constants!$H128))</f>
        <v>2021650.0306606581</v>
      </c>
      <c r="AF63" s="22">
        <f>((AF18*Constants!$H76*Constants!$H94*(1-Constants!$H112))+(AF18*Constants!$H76*Constants!$H128))</f>
        <v>2002638.7845412628</v>
      </c>
      <c r="AG63" s="22">
        <f>((AG18*Constants!$H76*Constants!$H94*(1-Constants!$H112))+(AG18*Constants!$H76*Constants!$H128))</f>
        <v>1969243.6986399158</v>
      </c>
      <c r="AH63" s="22">
        <f>((AH18*Constants!$H76*Constants!$H94*(1-Constants!$H112))+(AH18*Constants!$H76*Constants!$H128))</f>
        <v>1927557.6305511433</v>
      </c>
      <c r="AI63" s="22">
        <f>((AI18*Constants!$H76*Constants!$H94*(1-Constants!$H112))+(AI18*Constants!$H76*Constants!$H128))</f>
        <v>1894489.6925509202</v>
      </c>
      <c r="AJ63" s="22">
        <f>((AJ18*Constants!$H76*Constants!$H94*(1-Constants!$H112))+(AJ18*Constants!$H76*Constants!$H128))</f>
        <v>1866971.0279734689</v>
      </c>
      <c r="AK63" s="22">
        <f>((AK18*Constants!$H76*Constants!$H94*(1-Constants!$H112))+(AK18*Constants!$H76*Constants!$H128))</f>
        <v>1839622.4351242154</v>
      </c>
      <c r="AL63" s="22">
        <f>((AL18*Constants!$H76*Constants!$H94*(1-Constants!$H112))+(AL18*Constants!$H76*Constants!$H128))</f>
        <v>1602985.5897720142</v>
      </c>
      <c r="AM63" s="22">
        <f>((AM18*Constants!$H76*Constants!$H94*(1-Constants!$H112))+(AM18*Constants!$H76*Constants!$H128))</f>
        <v>1605646.4788619706</v>
      </c>
      <c r="AN63" s="22">
        <f>((AN18*Constants!$H76*Constants!$H94*(1-Constants!$H112))+(AN18*Constants!$H76*Constants!$H128))</f>
        <v>1608953.3564600493</v>
      </c>
      <c r="AO63" s="22">
        <f>((AO18*Constants!$H76*Constants!$H94*(1-Constants!$H112))+(AO18*Constants!$H76*Constants!$H128))</f>
        <v>1616975.9164300817</v>
      </c>
      <c r="AP63" s="22">
        <f>((AP18*Constants!$H76*Constants!$H94*(1-Constants!$H112))+(AP18*Constants!$H76*Constants!$H128))</f>
        <v>1627678.8654153771</v>
      </c>
      <c r="AQ63" s="22">
        <f>((AQ18*Constants!$H76*Constants!$H94*(1-Constants!$H112))+(AQ18*Constants!$H76*Constants!$H128))</f>
        <v>1637331.3195980068</v>
      </c>
      <c r="AR63" s="22">
        <f>((AR18*Constants!$H76*Constants!$H94*(1-Constants!$H112))+(AR18*Constants!$H76*Constants!$H128))</f>
        <v>1653441.3889997345</v>
      </c>
      <c r="AS63" s="22">
        <f>((AS18*Constants!$H76*Constants!$H94*(1-Constants!$H112))+(AS18*Constants!$H76*Constants!$H128))</f>
        <v>1670742.2019667167</v>
      </c>
      <c r="AT63" s="22">
        <f>((AT18*Constants!$H76*Constants!$H94*(1-Constants!$H112))+(AT18*Constants!$H76*Constants!$H128))</f>
        <v>1690131.6739353561</v>
      </c>
      <c r="AU63" s="22">
        <f>((AU18*Constants!$H76*Constants!$H94*(1-Constants!$H112))+(AU18*Constants!$H76*Constants!$H128))</f>
        <v>1710396.3071394637</v>
      </c>
      <c r="AV63" s="22">
        <f>((AV18*Constants!$H76*Constants!$H94*(1-Constants!$H112))+(AV18*Constants!$H76*Constants!$H128))</f>
        <v>1721229.7007265205</v>
      </c>
      <c r="AW63" s="22">
        <f>((AW18*Constants!$H76*Constants!$H94*(1-Constants!$H112))+(AW18*Constants!$H76*Constants!$H128))</f>
        <v>1743315.2411490625</v>
      </c>
      <c r="AX63" s="22">
        <f>((AX18*Constants!$H76*Constants!$H94*(1-Constants!$H112))+(AX18*Constants!$H76*Constants!$H128))</f>
        <v>1765586.8916041986</v>
      </c>
      <c r="AY63" s="22">
        <f>((AY18*Constants!$H76*Constants!$H94*(1-Constants!$H112))+(AY18*Constants!$H76*Constants!$H128))</f>
        <v>1788371.2911396839</v>
      </c>
      <c r="AZ63" s="22">
        <f>((AZ18*Constants!$H76*Constants!$H94*(1-Constants!$H112))+(AZ18*Constants!$H76*Constants!$H128))</f>
        <v>1807745.8560008518</v>
      </c>
      <c r="BA63" s="22">
        <f>((BA18*Constants!$H76*Constants!$H94*(1-Constants!$H112))+(BA18*Constants!$H76*Constants!$H128))</f>
        <v>1829183.873428514</v>
      </c>
      <c r="BB63" s="22">
        <f>((BB18*Constants!$H76*Constants!$H94*(1-Constants!$H112))+(BB18*Constants!$H76*Constants!$H128))</f>
        <v>1852630.8351060131</v>
      </c>
      <c r="BC63" s="22">
        <f>((BC18*Constants!$H76*Constants!$H94*(1-Constants!$H112))+(BC18*Constants!$H76*Constants!$H128))</f>
        <v>1876965.9822903129</v>
      </c>
      <c r="BD63" s="22">
        <f>((BD18*Constants!$H76*Constants!$H94*(1-Constants!$H112))+(BD18*Constants!$H76*Constants!$H128))</f>
        <v>1899484.8148046029</v>
      </c>
      <c r="BE63" s="22">
        <f>((BE18*Constants!$H76*Constants!$H94*(1-Constants!$H112))+(BE18*Constants!$H76*Constants!$H128))</f>
        <v>1922845.4709445995</v>
      </c>
      <c r="BF63" s="22">
        <f>((BF18*Constants!$H76*Constants!$H94*(1-Constants!$H112))+(BF18*Constants!$H76*Constants!$H128))</f>
        <v>1948531.0754872095</v>
      </c>
      <c r="BG63" s="22">
        <f>((BG18*Constants!$H76*Constants!$H94*(1-Constants!$H112))+(BG18*Constants!$H76*Constants!$H128))</f>
        <v>1975693.2420923591</v>
      </c>
      <c r="BH63" s="22">
        <f>((BH18*Constants!$H76*Constants!$H94*(1-Constants!$H112))+(BH18*Constants!$H76*Constants!$H128))</f>
        <v>2004010.921191362</v>
      </c>
      <c r="BI63" s="22">
        <f>((BI18*Constants!$H76*Constants!$H94*(1-Constants!$H112))+(BI18*Constants!$H76*Constants!$H128))</f>
        <v>2033497.3165308943</v>
      </c>
      <c r="BJ63" s="22">
        <f>((BJ18*Constants!$H76*Constants!$H94*(1-Constants!$H112))+(BJ18*Constants!$H76*Constants!$H128))</f>
        <v>2064080.2763659598</v>
      </c>
      <c r="BK63" s="22">
        <f>((BK18*Constants!$H76*Constants!$H94*(1-Constants!$H112))+(BK18*Constants!$H76*Constants!$H128))</f>
        <v>2096248.7491971827</v>
      </c>
      <c r="BL63" s="22">
        <f>((BL18*Constants!$H76*Constants!$H94*(1-Constants!$H112))+(BL18*Constants!$H76*Constants!$H128))</f>
        <v>2122942.5351380706</v>
      </c>
      <c r="BM63" s="22">
        <f>((BM18*Constants!$H76*Constants!$H94*(1-Constants!$H112))+(BM18*Constants!$H76*Constants!$H128))</f>
        <v>2150935.3839036864</v>
      </c>
      <c r="BN63" s="22">
        <f>((BN18*Constants!$H76*Constants!$H94*(1-Constants!$H112))+(BN18*Constants!$H76*Constants!$H128))</f>
        <v>2180641.4755371017</v>
      </c>
      <c r="BO63" s="22">
        <f>((BO18*Constants!$H76*Constants!$H94*(1-Constants!$H112))+(BO18*Constants!$H76*Constants!$H128))</f>
        <v>2212208.3966287747</v>
      </c>
      <c r="BP63" s="22">
        <f>((BP18*Constants!$H76*Constants!$H94*(1-Constants!$H112))+(BP18*Constants!$H76*Constants!$H128))</f>
        <v>2247055.4350850461</v>
      </c>
    </row>
    <row r="64" spans="1:72" x14ac:dyDescent="0.25">
      <c r="A64" t="str">
        <f t="shared" si="20"/>
        <v>3C Aggregated and non-CO2 emissions on land</v>
      </c>
      <c r="B64" t="str">
        <f t="shared" si="21"/>
        <v>3C4 Direct N2O from managed soils (N2O)</v>
      </c>
      <c r="C64" t="s">
        <v>409</v>
      </c>
      <c r="D64" t="str">
        <f>Constants!D129</f>
        <v xml:space="preserve"> - Commercial layers</v>
      </c>
      <c r="E64" t="str">
        <f t="shared" si="23"/>
        <v>MM N available - Commercial layers</v>
      </c>
      <c r="F64" t="str">
        <f t="shared" si="24"/>
        <v>kg N</v>
      </c>
      <c r="H64" s="22">
        <f>((H19*Constants!$H77*Constants!$H95*(1-Constants!$H113))+(H19*Constants!$H77*Constants!$H129))</f>
        <v>6185488.2909675539</v>
      </c>
      <c r="I64" s="22">
        <f>((I19*Constants!$H77*Constants!$H95*(1-Constants!$H113))+(I19*Constants!$H77*Constants!$H129))</f>
        <v>6009109.2071274081</v>
      </c>
      <c r="J64" s="22">
        <f>((J19*Constants!$H77*Constants!$H95*(1-Constants!$H113))+(J19*Constants!$H77*Constants!$H129))</f>
        <v>5699222.0850570546</v>
      </c>
      <c r="K64" s="22">
        <f>((K19*Constants!$H77*Constants!$H95*(1-Constants!$H113))+(K19*Constants!$H77*Constants!$H129))</f>
        <v>5609611.8493190575</v>
      </c>
      <c r="L64" s="22">
        <f>((L19*Constants!$H77*Constants!$H95*(1-Constants!$H113))+(L19*Constants!$H77*Constants!$H129))</f>
        <v>5365613.9312671879</v>
      </c>
      <c r="M64" s="22">
        <f>((M19*Constants!$H77*Constants!$H95*(1-Constants!$H113))+(M19*Constants!$H77*Constants!$H129))</f>
        <v>5854552.6233854303</v>
      </c>
      <c r="N64" s="22">
        <f>((N19*Constants!$H77*Constants!$H95*(1-Constants!$H113))+(N19*Constants!$H77*Constants!$H129))</f>
        <v>6184194.3241279265</v>
      </c>
      <c r="O64" s="22">
        <f>((O19*Constants!$H77*Constants!$H95*(1-Constants!$H113))+(O19*Constants!$H77*Constants!$H129))</f>
        <v>6204530.2379142288</v>
      </c>
      <c r="P64" s="22">
        <f>((P19*Constants!$H77*Constants!$H95*(1-Constants!$H113))+(P19*Constants!$H77*Constants!$H129))</f>
        <v>6985777.5007305164</v>
      </c>
      <c r="Q64" s="22">
        <f>((Q19*Constants!$H77*Constants!$H95*(1-Constants!$H113))+(Q19*Constants!$H77*Constants!$H129))</f>
        <v>7489454.4973270632</v>
      </c>
      <c r="R64" s="22">
        <f>((R19*Constants!$H77*Constants!$H95*(1-Constants!$H113))+(R19*Constants!$H77*Constants!$H129))</f>
        <v>7330764.97378729</v>
      </c>
      <c r="S64" s="22">
        <f>((S19*Constants!$H77*Constants!$H95*(1-Constants!$H113))+(S19*Constants!$H77*Constants!$H129))</f>
        <v>7526323.6329122018</v>
      </c>
      <c r="T64" s="22">
        <f>((T19*Constants!$H77*Constants!$H95*(1-Constants!$H113))+(T19*Constants!$H77*Constants!$H129))</f>
        <v>7467252.7937713731</v>
      </c>
      <c r="U64" s="22">
        <f>((U19*Constants!$H77*Constants!$H95*(1-Constants!$H113))+(U19*Constants!$H77*Constants!$H129))</f>
        <v>7169141.381636614</v>
      </c>
      <c r="V64" s="22">
        <f>((V19*Constants!$H77*Constants!$H95*(1-Constants!$H113))+(V19*Constants!$H77*Constants!$H129))</f>
        <v>7429101.8801676938</v>
      </c>
      <c r="W64" s="22">
        <f>((W19*Constants!$H77*Constants!$H95*(1-Constants!$H113))+(W19*Constants!$H77*Constants!$H129))</f>
        <v>7877080.6206777897</v>
      </c>
      <c r="X64" s="22">
        <f>((X19*Constants!$H77*Constants!$H95*(1-Constants!$H113))+(X19*Constants!$H77*Constants!$H129))</f>
        <v>8693284.2187629454</v>
      </c>
      <c r="Y64" s="22">
        <f>((Y19*Constants!$H77*Constants!$H95*(1-Constants!$H113))+(Y19*Constants!$H77*Constants!$H129))</f>
        <v>9620616.8920187056</v>
      </c>
      <c r="Z64" s="22">
        <f>((Z19*Constants!$H77*Constants!$H95*(1-Constants!$H113))+(Z19*Constants!$H77*Constants!$H129))</f>
        <v>9747319.238270821</v>
      </c>
      <c r="AA64" s="22">
        <f>((AA19*Constants!$H77*Constants!$H95*(1-Constants!$H113))+(AA19*Constants!$H77*Constants!$H129))</f>
        <v>9387970.3735440131</v>
      </c>
      <c r="AB64" s="22">
        <f>((AB19*Constants!$H77*Constants!$H95*(1-Constants!$H113))+(AB19*Constants!$H77*Constants!$H129))</f>
        <v>9753664.2574823145</v>
      </c>
      <c r="AC64" s="22">
        <f>((AC19*Constants!$H77*Constants!$H95*(1-Constants!$H113))+(AC19*Constants!$H77*Constants!$H129))</f>
        <v>10203867.24700897</v>
      </c>
      <c r="AD64" s="22">
        <f>((AD19*Constants!$H77*Constants!$H95*(1-Constants!$H113))+(AD19*Constants!$H77*Constants!$H129))</f>
        <v>10026975.740476411</v>
      </c>
      <c r="AE64" s="22">
        <f>((AE19*Constants!$H77*Constants!$H95*(1-Constants!$H113))+(AE19*Constants!$H77*Constants!$H129))</f>
        <v>10261990.833670005</v>
      </c>
      <c r="AF64" s="22">
        <f>((AF19*Constants!$H77*Constants!$H95*(1-Constants!$H113))+(AF19*Constants!$H77*Constants!$H129))</f>
        <v>10443563.37607627</v>
      </c>
      <c r="AG64" s="22">
        <f>((AG19*Constants!$H77*Constants!$H95*(1-Constants!$H113))+(AG19*Constants!$H77*Constants!$H129))</f>
        <v>10581230.292283529</v>
      </c>
      <c r="AH64" s="22">
        <f>((AH19*Constants!$H77*Constants!$H95*(1-Constants!$H113))+(AH19*Constants!$H77*Constants!$H129))</f>
        <v>10690689.668514494</v>
      </c>
      <c r="AI64" s="22">
        <f>((AI19*Constants!$H77*Constants!$H95*(1-Constants!$H113))+(AI19*Constants!$H77*Constants!$H129))</f>
        <v>10823577.066713538</v>
      </c>
      <c r="AJ64" s="22">
        <f>((AJ19*Constants!$H77*Constants!$H95*(1-Constants!$H113))+(AJ19*Constants!$H77*Constants!$H129))</f>
        <v>10970283.946081599</v>
      </c>
      <c r="AK64" s="22">
        <f>((AK19*Constants!$H77*Constants!$H95*(1-Constants!$H113))+(AK19*Constants!$H77*Constants!$H129))</f>
        <v>11114773.416466337</v>
      </c>
      <c r="AL64" s="22">
        <f>((AL19*Constants!$H77*Constants!$H95*(1-Constants!$H113))+(AL19*Constants!$H77*Constants!$H129))</f>
        <v>10548529.253187597</v>
      </c>
      <c r="AM64" s="22">
        <f>((AM19*Constants!$H77*Constants!$H95*(1-Constants!$H113))+(AM19*Constants!$H77*Constants!$H129))</f>
        <v>10759283.968452098</v>
      </c>
      <c r="AN64" s="22">
        <f>((AN19*Constants!$H77*Constants!$H95*(1-Constants!$H113))+(AN19*Constants!$H77*Constants!$H129))</f>
        <v>10968941.350009838</v>
      </c>
      <c r="AO64" s="22">
        <f>((AO19*Constants!$H77*Constants!$H95*(1-Constants!$H113))+(AO19*Constants!$H77*Constants!$H129))</f>
        <v>11192318.561406488</v>
      </c>
      <c r="AP64" s="22">
        <f>((AP19*Constants!$H77*Constants!$H95*(1-Constants!$H113))+(AP19*Constants!$H77*Constants!$H129))</f>
        <v>11426431.652252238</v>
      </c>
      <c r="AQ64" s="22">
        <f>((AQ19*Constants!$H77*Constants!$H95*(1-Constants!$H113))+(AQ19*Constants!$H77*Constants!$H129))</f>
        <v>11657871.887627339</v>
      </c>
      <c r="AR64" s="22">
        <f>((AR19*Constants!$H77*Constants!$H95*(1-Constants!$H113))+(AR19*Constants!$H77*Constants!$H129))</f>
        <v>11915448.363144772</v>
      </c>
      <c r="AS64" s="22">
        <f>((AS19*Constants!$H77*Constants!$H95*(1-Constants!$H113))+(AS19*Constants!$H77*Constants!$H129))</f>
        <v>12180021.284655787</v>
      </c>
      <c r="AT64" s="22">
        <f>((AT19*Constants!$H77*Constants!$H95*(1-Constants!$H113))+(AT19*Constants!$H77*Constants!$H129))</f>
        <v>12455569.968242681</v>
      </c>
      <c r="AU64" s="22">
        <f>((AU19*Constants!$H77*Constants!$H95*(1-Constants!$H113))+(AU19*Constants!$H77*Constants!$H129))</f>
        <v>12738136.503675563</v>
      </c>
      <c r="AV64" s="22">
        <f>((AV19*Constants!$H77*Constants!$H95*(1-Constants!$H113))+(AV19*Constants!$H77*Constants!$H129))</f>
        <v>12984797.169094546</v>
      </c>
      <c r="AW64" s="22">
        <f>((AW19*Constants!$H77*Constants!$H95*(1-Constants!$H113))+(AW19*Constants!$H77*Constants!$H129))</f>
        <v>13281773.545042917</v>
      </c>
      <c r="AX64" s="22">
        <f>((AX19*Constants!$H77*Constants!$H95*(1-Constants!$H113))+(AX19*Constants!$H77*Constants!$H129))</f>
        <v>13583724.923017208</v>
      </c>
      <c r="AY64" s="22">
        <f>((AY19*Constants!$H77*Constants!$H95*(1-Constants!$H113))+(AY19*Constants!$H77*Constants!$H129))</f>
        <v>13892264.096358893</v>
      </c>
      <c r="AZ64" s="22">
        <f>((AZ19*Constants!$H77*Constants!$H95*(1-Constants!$H113))+(AZ19*Constants!$H77*Constants!$H129))</f>
        <v>14189959.649741506</v>
      </c>
      <c r="BA64" s="22">
        <f>((BA19*Constants!$H77*Constants!$H95*(1-Constants!$H113))+(BA19*Constants!$H77*Constants!$H129))</f>
        <v>14501364.25142074</v>
      </c>
      <c r="BB64" s="22">
        <f>((BB19*Constants!$H77*Constants!$H95*(1-Constants!$H113))+(BB19*Constants!$H77*Constants!$H129))</f>
        <v>14826896.270253915</v>
      </c>
      <c r="BC64" s="22">
        <f>((BC19*Constants!$H77*Constants!$H95*(1-Constants!$H113))+(BC19*Constants!$H77*Constants!$H129))</f>
        <v>15161845.343943154</v>
      </c>
      <c r="BD64" s="22">
        <f>((BD19*Constants!$H77*Constants!$H95*(1-Constants!$H113))+(BD19*Constants!$H77*Constants!$H129))</f>
        <v>15493345.348483317</v>
      </c>
      <c r="BE64" s="22">
        <f>((BE19*Constants!$H77*Constants!$H95*(1-Constants!$H113))+(BE19*Constants!$H77*Constants!$H129))</f>
        <v>15834457.661506101</v>
      </c>
      <c r="BF64" s="22">
        <f>((BF19*Constants!$H77*Constants!$H95*(1-Constants!$H113))+(BF19*Constants!$H77*Constants!$H129))</f>
        <v>16193128.448679414</v>
      </c>
      <c r="BG64" s="22">
        <f>((BG19*Constants!$H77*Constants!$H95*(1-Constants!$H113))+(BG19*Constants!$H77*Constants!$H129))</f>
        <v>16565796.842042519</v>
      </c>
      <c r="BH64" s="22">
        <f>((BH19*Constants!$H77*Constants!$H95*(1-Constants!$H113))+(BH19*Constants!$H77*Constants!$H129))</f>
        <v>16951384.775932033</v>
      </c>
      <c r="BI64" s="22">
        <f>((BI19*Constants!$H77*Constants!$H95*(1-Constants!$H113))+(BI19*Constants!$H77*Constants!$H129))</f>
        <v>17350507.876894046</v>
      </c>
      <c r="BJ64" s="22">
        <f>((BJ19*Constants!$H77*Constants!$H95*(1-Constants!$H113))+(BJ19*Constants!$H77*Constants!$H129))</f>
        <v>17763344.89592544</v>
      </c>
      <c r="BK64" s="22">
        <f>((BK19*Constants!$H77*Constants!$H95*(1-Constants!$H113))+(BK19*Constants!$H77*Constants!$H129))</f>
        <v>18193194.423492972</v>
      </c>
      <c r="BL64" s="22">
        <f>((BL19*Constants!$H77*Constants!$H95*(1-Constants!$H113))+(BL19*Constants!$H77*Constants!$H129))</f>
        <v>18600638.320897788</v>
      </c>
      <c r="BM64" s="22">
        <f>((BM19*Constants!$H77*Constants!$H95*(1-Constants!$H113))+(BM19*Constants!$H77*Constants!$H129))</f>
        <v>19023459.577188928</v>
      </c>
      <c r="BN64" s="22">
        <f>((BN19*Constants!$H77*Constants!$H95*(1-Constants!$H113))+(BN19*Constants!$H77*Constants!$H129))</f>
        <v>19464772.474973038</v>
      </c>
      <c r="BO64" s="22">
        <f>((BO19*Constants!$H77*Constants!$H95*(1-Constants!$H113))+(BO19*Constants!$H77*Constants!$H129))</f>
        <v>19926276.942563705</v>
      </c>
      <c r="BP64" s="22">
        <f>((BP19*Constants!$H77*Constants!$H95*(1-Constants!$H113))+(BP19*Constants!$H77*Constants!$H129))</f>
        <v>20417573.374917731</v>
      </c>
    </row>
    <row r="65" spans="1:68" x14ac:dyDescent="0.25">
      <c r="A65" t="str">
        <f t="shared" si="20"/>
        <v>3C Aggregated and non-CO2 emissions on land</v>
      </c>
      <c r="B65" t="str">
        <f t="shared" si="21"/>
        <v>3C4 Direct N2O from managed soils (N2O)</v>
      </c>
      <c r="C65" t="s">
        <v>409</v>
      </c>
      <c r="D65" t="str">
        <f>Constants!D130</f>
        <v xml:space="preserve"> - Commercial broilers</v>
      </c>
      <c r="E65" t="str">
        <f t="shared" si="23"/>
        <v>MM N available - Commercial broilers</v>
      </c>
      <c r="F65" t="str">
        <f t="shared" si="24"/>
        <v>kg N</v>
      </c>
      <c r="H65" s="22">
        <f>((H20*Constants!$H78*Constants!$H96*(1-Constants!$H114))+(H20*Constants!$H78*Constants!$H130))</f>
        <v>21441987.682912666</v>
      </c>
      <c r="I65" s="22">
        <f>((I20*Constants!$H78*Constants!$H96*(1-Constants!$H114))+(I20*Constants!$H78*Constants!$H130))</f>
        <v>20155468.447952528</v>
      </c>
      <c r="J65" s="22">
        <f>((J20*Constants!$H78*Constants!$H96*(1-Constants!$H114))+(J20*Constants!$H78*Constants!$H130))</f>
        <v>19048359.503315844</v>
      </c>
      <c r="K65" s="22">
        <f>((K20*Constants!$H78*Constants!$H96*(1-Constants!$H114))+(K20*Constants!$H78*Constants!$H130))</f>
        <v>21422633.120275144</v>
      </c>
      <c r="L65" s="22">
        <f>((L20*Constants!$H78*Constants!$H96*(1-Constants!$H114))+(L20*Constants!$H78*Constants!$H130))</f>
        <v>21221715.835297149</v>
      </c>
      <c r="M65" s="22">
        <f>((M20*Constants!$H78*Constants!$H96*(1-Constants!$H114))+(M20*Constants!$H78*Constants!$H130))</f>
        <v>24291356.099595293</v>
      </c>
      <c r="N65" s="22">
        <f>((N20*Constants!$H78*Constants!$H96*(1-Constants!$H114))+(N20*Constants!$H78*Constants!$H130))</f>
        <v>28244585.878194444</v>
      </c>
      <c r="O65" s="22">
        <f>((O20*Constants!$H78*Constants!$H96*(1-Constants!$H114))+(O20*Constants!$H78*Constants!$H130))</f>
        <v>28749759.856221307</v>
      </c>
      <c r="P65" s="22">
        <f>((P20*Constants!$H78*Constants!$H96*(1-Constants!$H114))+(P20*Constants!$H78*Constants!$H130))</f>
        <v>31502057.979110736</v>
      </c>
      <c r="Q65" s="22">
        <f>((Q20*Constants!$H78*Constants!$H96*(1-Constants!$H114))+(Q20*Constants!$H78*Constants!$H130))</f>
        <v>32887795.163968969</v>
      </c>
      <c r="R65" s="22">
        <f>((R20*Constants!$H78*Constants!$H96*(1-Constants!$H114))+(R20*Constants!$H78*Constants!$H130))</f>
        <v>35384844.130992576</v>
      </c>
      <c r="S65" s="22">
        <f>((S20*Constants!$H78*Constants!$H96*(1-Constants!$H114))+(S20*Constants!$H78*Constants!$H130))</f>
        <v>34167785.103477322</v>
      </c>
      <c r="T65" s="22">
        <f>((T20*Constants!$H78*Constants!$H96*(1-Constants!$H114))+(T20*Constants!$H78*Constants!$H130))</f>
        <v>37868988.696657754</v>
      </c>
      <c r="U65" s="22">
        <f>((U20*Constants!$H78*Constants!$H96*(1-Constants!$H114))+(U20*Constants!$H78*Constants!$H130))</f>
        <v>36019125.033984229</v>
      </c>
      <c r="V65" s="22">
        <f>((V20*Constants!$H78*Constants!$H96*(1-Constants!$H114))+(V20*Constants!$H78*Constants!$H130))</f>
        <v>36888658.133678004</v>
      </c>
      <c r="W65" s="22">
        <f>((W20*Constants!$H78*Constants!$H96*(1-Constants!$H114))+(W20*Constants!$H78*Constants!$H130))</f>
        <v>40816366.920982771</v>
      </c>
      <c r="X65" s="22">
        <f>((X20*Constants!$H78*Constants!$H96*(1-Constants!$H114))+(X20*Constants!$H78*Constants!$H130))</f>
        <v>43656919.259428479</v>
      </c>
      <c r="Y65" s="22">
        <f>((Y20*Constants!$H78*Constants!$H96*(1-Constants!$H114))+(Y20*Constants!$H78*Constants!$H130))</f>
        <v>45677104.261495814</v>
      </c>
      <c r="Z65" s="22">
        <f>((Z20*Constants!$H78*Constants!$H96*(1-Constants!$H114))+(Z20*Constants!$H78*Constants!$H130))</f>
        <v>48633713.378493287</v>
      </c>
      <c r="AA65" s="22">
        <f>((AA20*Constants!$H78*Constants!$H96*(1-Constants!$H114))+(AA20*Constants!$H78*Constants!$H130))</f>
        <v>45891232.801865354</v>
      </c>
      <c r="AB65" s="22">
        <f>((AB20*Constants!$H78*Constants!$H96*(1-Constants!$H114))+(AB20*Constants!$H78*Constants!$H130))</f>
        <v>47045433.899453834</v>
      </c>
      <c r="AC65" s="22">
        <f>((AC20*Constants!$H78*Constants!$H96*(1-Constants!$H114))+(AC20*Constants!$H78*Constants!$H130))</f>
        <v>48657312.573355399</v>
      </c>
      <c r="AD65" s="22">
        <f>((AD20*Constants!$H78*Constants!$H96*(1-Constants!$H114))+(AD20*Constants!$H78*Constants!$H130))</f>
        <v>50399219.312446348</v>
      </c>
      <c r="AE65" s="22">
        <f>((AE20*Constants!$H78*Constants!$H96*(1-Constants!$H114))+(AE20*Constants!$H78*Constants!$H130))</f>
        <v>51451381.882337816</v>
      </c>
      <c r="AF65" s="22">
        <f>((AF20*Constants!$H78*Constants!$H96*(1-Constants!$H114))+(AF20*Constants!$H78*Constants!$H130))</f>
        <v>51775984.748928033</v>
      </c>
      <c r="AG65" s="22">
        <f>((AG20*Constants!$H78*Constants!$H96*(1-Constants!$H114))+(AG20*Constants!$H78*Constants!$H130))</f>
        <v>51515762.360518664</v>
      </c>
      <c r="AH65" s="22">
        <f>((AH20*Constants!$H78*Constants!$H96*(1-Constants!$H114))+(AH20*Constants!$H78*Constants!$H130))</f>
        <v>50881606.591017678</v>
      </c>
      <c r="AI65" s="22">
        <f>((AI20*Constants!$H78*Constants!$H96*(1-Constants!$H114))+(AI20*Constants!$H78*Constants!$H130))</f>
        <v>50513957.792272657</v>
      </c>
      <c r="AJ65" s="22">
        <f>((AJ20*Constants!$H78*Constants!$H96*(1-Constants!$H114))+(AJ20*Constants!$H78*Constants!$H130))</f>
        <v>50318116.159745492</v>
      </c>
      <c r="AK65" s="22">
        <f>((AK20*Constants!$H78*Constants!$H96*(1-Constants!$H114))+(AK20*Constants!$H78*Constants!$H130))</f>
        <v>50090776.594870821</v>
      </c>
      <c r="AL65" s="22">
        <f>((AL20*Constants!$H78*Constants!$H96*(1-Constants!$H114))+(AL20*Constants!$H78*Constants!$H130))</f>
        <v>41422205.275228478</v>
      </c>
      <c r="AM65" s="22">
        <f>((AM20*Constants!$H78*Constants!$H96*(1-Constants!$H114))+(AM20*Constants!$H78*Constants!$H130))</f>
        <v>42300145.907407768</v>
      </c>
      <c r="AN65" s="22">
        <f>((AN20*Constants!$H78*Constants!$H96*(1-Constants!$H114))+(AN20*Constants!$H78*Constants!$H130))</f>
        <v>43226622.108921848</v>
      </c>
      <c r="AO65" s="22">
        <f>((AO20*Constants!$H78*Constants!$H96*(1-Constants!$H114))+(AO20*Constants!$H78*Constants!$H130))</f>
        <v>44374258.425010622</v>
      </c>
      <c r="AP65" s="22">
        <f>((AP20*Constants!$H78*Constants!$H96*(1-Constants!$H114))+(AP20*Constants!$H78*Constants!$H130))</f>
        <v>45651339.9584141</v>
      </c>
      <c r="AQ65" s="22">
        <f>((AQ20*Constants!$H78*Constants!$H96*(1-Constants!$H114))+(AQ20*Constants!$H78*Constants!$H130))</f>
        <v>46903422.586610511</v>
      </c>
      <c r="AR65" s="22">
        <f>((AR20*Constants!$H78*Constants!$H96*(1-Constants!$H114))+(AR20*Constants!$H78*Constants!$H130))</f>
        <v>48456305.395189263</v>
      </c>
      <c r="AS65" s="22">
        <f>((AS20*Constants!$H78*Constants!$H96*(1-Constants!$H114))+(AS20*Constants!$H78*Constants!$H130))</f>
        <v>50090096.246155351</v>
      </c>
      <c r="AT65" s="22">
        <f>((AT20*Constants!$H78*Constants!$H96*(1-Constants!$H114))+(AT20*Constants!$H78*Constants!$H130))</f>
        <v>51848050.203683451</v>
      </c>
      <c r="AU65" s="22">
        <f>((AU20*Constants!$H78*Constants!$H96*(1-Constants!$H114))+(AU20*Constants!$H78*Constants!$H130))</f>
        <v>53678339.133788697</v>
      </c>
      <c r="AV65" s="22">
        <f>((AV20*Constants!$H78*Constants!$H96*(1-Constants!$H114))+(AV20*Constants!$H78*Constants!$H130))</f>
        <v>55111995.850177705</v>
      </c>
      <c r="AW65" s="22">
        <f>((AW20*Constants!$H78*Constants!$H96*(1-Constants!$H114))+(AW20*Constants!$H78*Constants!$H130))</f>
        <v>57092319.747576229</v>
      </c>
      <c r="AX65" s="22">
        <f>((AX20*Constants!$H78*Constants!$H96*(1-Constants!$H114))+(AX20*Constants!$H78*Constants!$H130))</f>
        <v>59120853.533042938</v>
      </c>
      <c r="AY65" s="22">
        <f>((AY20*Constants!$H78*Constants!$H96*(1-Constants!$H114))+(AY20*Constants!$H78*Constants!$H130))</f>
        <v>61214697.424597949</v>
      </c>
      <c r="AZ65" s="22">
        <f>((AZ20*Constants!$H78*Constants!$H96*(1-Constants!$H114))+(AZ20*Constants!$H78*Constants!$H130))</f>
        <v>63186678.438390605</v>
      </c>
      <c r="BA65" s="22">
        <f>((BA20*Constants!$H78*Constants!$H96*(1-Constants!$H114))+(BA20*Constants!$H78*Constants!$H130))</f>
        <v>65298690.549852893</v>
      </c>
      <c r="BB65" s="22">
        <f>((BB20*Constants!$H78*Constants!$H96*(1-Constants!$H114))+(BB20*Constants!$H78*Constants!$H130))</f>
        <v>67553110.201992854</v>
      </c>
      <c r="BC65" s="22">
        <f>((BC20*Constants!$H78*Constants!$H96*(1-Constants!$H114))+(BC20*Constants!$H78*Constants!$H130))</f>
        <v>69898972.976981401</v>
      </c>
      <c r="BD65" s="22">
        <f>((BD20*Constants!$H78*Constants!$H96*(1-Constants!$H114))+(BD20*Constants!$H78*Constants!$H130))</f>
        <v>72202377.472579718</v>
      </c>
      <c r="BE65" s="22">
        <f>((BE20*Constants!$H78*Constants!$H96*(1-Constants!$H114))+(BE20*Constants!$H78*Constants!$H130))</f>
        <v>74597057.748214558</v>
      </c>
      <c r="BF65" s="22">
        <f>((BF20*Constants!$H78*Constants!$H96*(1-Constants!$H114))+(BF20*Constants!$H78*Constants!$H130))</f>
        <v>77163122.933523908</v>
      </c>
      <c r="BG65" s="22">
        <f>((BG20*Constants!$H78*Constants!$H96*(1-Constants!$H114))+(BG20*Constants!$H78*Constants!$H130))</f>
        <v>79862046.005090237</v>
      </c>
      <c r="BH65" s="22">
        <f>((BH20*Constants!$H78*Constants!$H96*(1-Constants!$H114))+(BH20*Constants!$H78*Constants!$H130))</f>
        <v>82681290.680589542</v>
      </c>
      <c r="BI65" s="22">
        <f>((BI20*Constants!$H78*Constants!$H96*(1-Constants!$H114))+(BI20*Constants!$H78*Constants!$H130))</f>
        <v>85625619.623702899</v>
      </c>
      <c r="BJ65" s="22">
        <f>((BJ20*Constants!$H78*Constants!$H96*(1-Constants!$H114))+(BJ20*Constants!$H78*Constants!$H130))</f>
        <v>88695273.2819089</v>
      </c>
      <c r="BK65" s="22">
        <f>((BK20*Constants!$H78*Constants!$H96*(1-Constants!$H114))+(BK20*Constants!$H78*Constants!$H130))</f>
        <v>91921510.402104154</v>
      </c>
      <c r="BL65" s="22">
        <f>((BL20*Constants!$H78*Constants!$H96*(1-Constants!$H114))+(BL20*Constants!$H78*Constants!$H130))</f>
        <v>94913781.557391256</v>
      </c>
      <c r="BM65" s="22">
        <f>((BM20*Constants!$H78*Constants!$H96*(1-Constants!$H114))+(BM20*Constants!$H78*Constants!$H130))</f>
        <v>98047030.28698571</v>
      </c>
      <c r="BN65" s="22">
        <f>((BN20*Constants!$H78*Constants!$H96*(1-Constants!$H114))+(BN20*Constants!$H78*Constants!$H130))</f>
        <v>101349954.5368177</v>
      </c>
      <c r="BO65" s="22">
        <f>((BO20*Constants!$H78*Constants!$H96*(1-Constants!$H114))+(BO20*Constants!$H78*Constants!$H130))</f>
        <v>104837197.0206327</v>
      </c>
      <c r="BP65" s="22">
        <f>((BP20*Constants!$H78*Constants!$H96*(1-Constants!$H114))+(BP20*Constants!$H78*Constants!$H130))</f>
        <v>108599112.39370456</v>
      </c>
    </row>
    <row r="66" spans="1:68" x14ac:dyDescent="0.25">
      <c r="A66" t="str">
        <f t="shared" ref="A66:A81" si="25">A65</f>
        <v>3C Aggregated and non-CO2 emissions on land</v>
      </c>
      <c r="B66" t="str">
        <f t="shared" ref="B66:B82" si="26">B65</f>
        <v>3C4 Direct N2O from managed soils (N2O)</v>
      </c>
      <c r="C66" t="s">
        <v>410</v>
      </c>
      <c r="D66" t="str">
        <f>D50</f>
        <v xml:space="preserve"> - TMR</v>
      </c>
      <c r="E66" t="str">
        <f t="shared" si="23"/>
        <v>Urine &amp; dung - TMR</v>
      </c>
      <c r="F66" t="str">
        <f t="shared" si="24"/>
        <v>kg N</v>
      </c>
      <c r="H66" s="22">
        <f>H5*Constants!$H63*(1-Constants!$H81)</f>
        <v>0</v>
      </c>
      <c r="I66" s="22">
        <f>I5*Constants!$H63*(1-Constants!$H81)</f>
        <v>0</v>
      </c>
      <c r="J66" s="22">
        <f>J5*Constants!$H63*(1-Constants!$H81)</f>
        <v>0</v>
      </c>
      <c r="K66" s="22">
        <f>K5*Constants!$H63*(1-Constants!$H81)</f>
        <v>0</v>
      </c>
      <c r="L66" s="22">
        <f>L5*Constants!$H63*(1-Constants!$H81)</f>
        <v>0</v>
      </c>
      <c r="M66" s="22">
        <f>M5*Constants!$H63*(1-Constants!$H81)</f>
        <v>0</v>
      </c>
      <c r="N66" s="22">
        <f>N5*Constants!$H63*(1-Constants!$H81)</f>
        <v>0</v>
      </c>
      <c r="O66" s="22">
        <f>O5*Constants!$H63*(1-Constants!$H81)</f>
        <v>0</v>
      </c>
      <c r="P66" s="22">
        <f>P5*Constants!$H63*(1-Constants!$H81)</f>
        <v>0</v>
      </c>
      <c r="Q66" s="22">
        <f>Q5*Constants!$H63*(1-Constants!$H81)</f>
        <v>0</v>
      </c>
      <c r="R66" s="22">
        <f>R5*Constants!$H63*(1-Constants!$H81)</f>
        <v>0</v>
      </c>
      <c r="S66" s="22">
        <f>S5*Constants!$H63*(1-Constants!$H81)</f>
        <v>0</v>
      </c>
      <c r="T66" s="22">
        <f>T5*Constants!$H63*(1-Constants!$H81)</f>
        <v>0</v>
      </c>
      <c r="U66" s="22">
        <f>U5*Constants!$H63*(1-Constants!$H81)</f>
        <v>0</v>
      </c>
      <c r="V66" s="22">
        <f>V5*Constants!$H63*(1-Constants!$H81)</f>
        <v>0</v>
      </c>
      <c r="W66" s="22">
        <f>W5*Constants!$H63*(1-Constants!$H81)</f>
        <v>0</v>
      </c>
      <c r="X66" s="22">
        <f>X5*Constants!$H63*(1-Constants!$H81)</f>
        <v>0</v>
      </c>
      <c r="Y66" s="22">
        <f>Y5*Constants!$H63*(1-Constants!$H81)</f>
        <v>0</v>
      </c>
      <c r="Z66" s="22">
        <f>Z5*Constants!$H63*(1-Constants!$H81)</f>
        <v>0</v>
      </c>
      <c r="AA66" s="22">
        <f>AA5*Constants!$H63*(1-Constants!$H81)</f>
        <v>0</v>
      </c>
      <c r="AB66" s="22">
        <f>AB5*Constants!$H63*(1-Constants!$H81)</f>
        <v>0</v>
      </c>
      <c r="AC66" s="22">
        <f>AC5*Constants!$H63*(1-Constants!$H81)</f>
        <v>0</v>
      </c>
      <c r="AD66" s="22">
        <f>AD5*Constants!$H63*(1-Constants!$H81)</f>
        <v>0</v>
      </c>
      <c r="AE66" s="22">
        <f>AE5*Constants!$H63*(1-Constants!$H81)</f>
        <v>0</v>
      </c>
      <c r="AF66" s="22">
        <f>AF5*Constants!$H63*(1-Constants!$H81)</f>
        <v>0</v>
      </c>
      <c r="AG66" s="22">
        <f>AG5*Constants!$H63*(1-Constants!$H81)</f>
        <v>0</v>
      </c>
      <c r="AH66" s="22">
        <f>AH5*Constants!$H63*(1-Constants!$H81)</f>
        <v>0</v>
      </c>
      <c r="AI66" s="22">
        <f>AI5*Constants!$H63*(1-Constants!$H81)</f>
        <v>0</v>
      </c>
      <c r="AJ66" s="22">
        <f>AJ5*Constants!$H63*(1-Constants!$H81)</f>
        <v>0</v>
      </c>
      <c r="AK66" s="22">
        <f>AK5*Constants!$H63*(1-Constants!$H81)</f>
        <v>0</v>
      </c>
      <c r="AL66" s="22">
        <f>AL5*Constants!$H63*(1-Constants!$H81)</f>
        <v>0</v>
      </c>
      <c r="AM66" s="22">
        <f>AM5*Constants!$H63*(1-Constants!$H81)</f>
        <v>0</v>
      </c>
      <c r="AN66" s="22">
        <f>AN5*Constants!$H63*(1-Constants!$H81)</f>
        <v>0</v>
      </c>
      <c r="AO66" s="22">
        <f>AO5*Constants!$H63*(1-Constants!$H81)</f>
        <v>0</v>
      </c>
      <c r="AP66" s="22">
        <f>AP5*Constants!$H63*(1-Constants!$H81)</f>
        <v>0</v>
      </c>
      <c r="AQ66" s="22">
        <f>AQ5*Constants!$H63*(1-Constants!$H81)</f>
        <v>0</v>
      </c>
      <c r="AR66" s="22">
        <f>AR5*Constants!$H63*(1-Constants!$H81)</f>
        <v>0</v>
      </c>
      <c r="AS66" s="22">
        <f>AS5*Constants!$H63*(1-Constants!$H81)</f>
        <v>0</v>
      </c>
      <c r="AT66" s="22">
        <f>AT5*Constants!$H63*(1-Constants!$H81)</f>
        <v>0</v>
      </c>
      <c r="AU66" s="22">
        <f>AU5*Constants!$H63*(1-Constants!$H81)</f>
        <v>0</v>
      </c>
      <c r="AV66" s="22">
        <f>AV5*Constants!$H63*(1-Constants!$H81)</f>
        <v>0</v>
      </c>
      <c r="AW66" s="22">
        <f>AW5*Constants!$H63*(1-Constants!$H81)</f>
        <v>0</v>
      </c>
      <c r="AX66" s="22">
        <f>AX5*Constants!$H63*(1-Constants!$H81)</f>
        <v>0</v>
      </c>
      <c r="AY66" s="22">
        <f>AY5*Constants!$H63*(1-Constants!$H81)</f>
        <v>0</v>
      </c>
      <c r="AZ66" s="22">
        <f>AZ5*Constants!$H63*(1-Constants!$H81)</f>
        <v>0</v>
      </c>
      <c r="BA66" s="22">
        <f>BA5*Constants!$H63*(1-Constants!$H81)</f>
        <v>0</v>
      </c>
      <c r="BB66" s="22">
        <f>BB5*Constants!$H63*(1-Constants!$H81)</f>
        <v>0</v>
      </c>
      <c r="BC66" s="22">
        <f>BC5*Constants!$H63*(1-Constants!$H81)</f>
        <v>0</v>
      </c>
      <c r="BD66" s="22">
        <f>BD5*Constants!$H63*(1-Constants!$H81)</f>
        <v>0</v>
      </c>
      <c r="BE66" s="22">
        <f>BE5*Constants!$H63*(1-Constants!$H81)</f>
        <v>0</v>
      </c>
      <c r="BF66" s="22">
        <f>BF5*Constants!$H63*(1-Constants!$H81)</f>
        <v>0</v>
      </c>
      <c r="BG66" s="22">
        <f>BG5*Constants!$H63*(1-Constants!$H81)</f>
        <v>0</v>
      </c>
      <c r="BH66" s="22">
        <f>BH5*Constants!$H63*(1-Constants!$H81)</f>
        <v>0</v>
      </c>
      <c r="BI66" s="22">
        <f>BI5*Constants!$H63*(1-Constants!$H81)</f>
        <v>0</v>
      </c>
      <c r="BJ66" s="22">
        <f>BJ5*Constants!$H63*(1-Constants!$H81)</f>
        <v>0</v>
      </c>
      <c r="BK66" s="22">
        <f>BK5*Constants!$H63*(1-Constants!$H81)</f>
        <v>0</v>
      </c>
      <c r="BL66" s="22">
        <f>BL5*Constants!$H63*(1-Constants!$H81)</f>
        <v>0</v>
      </c>
      <c r="BM66" s="22">
        <f>BM5*Constants!$H63*(1-Constants!$H81)</f>
        <v>0</v>
      </c>
      <c r="BN66" s="22">
        <f>BN5*Constants!$H63*(1-Constants!$H81)</f>
        <v>0</v>
      </c>
      <c r="BO66" s="22">
        <f>BO5*Constants!$H63*(1-Constants!$H81)</f>
        <v>0</v>
      </c>
      <c r="BP66" s="22">
        <f>BP5*Constants!$H63*(1-Constants!$H81)</f>
        <v>0</v>
      </c>
    </row>
    <row r="67" spans="1:68" x14ac:dyDescent="0.25">
      <c r="A67" t="str">
        <f t="shared" si="25"/>
        <v>3C Aggregated and non-CO2 emissions on land</v>
      </c>
      <c r="B67" t="str">
        <f t="shared" si="26"/>
        <v>3C4 Direct N2O from managed soils (N2O)</v>
      </c>
      <c r="C67" t="s">
        <v>410</v>
      </c>
      <c r="D67" t="str">
        <f t="shared" ref="D67:D81" si="27">D51</f>
        <v xml:space="preserve"> - Pasture</v>
      </c>
      <c r="E67" t="str">
        <f t="shared" ref="E67:E79" si="28">C67&amp;D67</f>
        <v>Urine &amp; dung - Pasture</v>
      </c>
      <c r="F67" t="str">
        <f t="shared" ref="F67:F79" si="29">F66</f>
        <v>kg N</v>
      </c>
      <c r="H67" s="22">
        <f>H6*Constants!$H64*(1-Constants!$H82)</f>
        <v>28033004.557779469</v>
      </c>
      <c r="I67" s="22">
        <f>I6*Constants!$H64*(1-Constants!$H82)</f>
        <v>32273269.726387568</v>
      </c>
      <c r="J67" s="22">
        <f>J6*Constants!$H64*(1-Constants!$H82)</f>
        <v>27920554.140614353</v>
      </c>
      <c r="K67" s="22">
        <f>K6*Constants!$H64*(1-Constants!$H82)</f>
        <v>29612364.349424317</v>
      </c>
      <c r="L67" s="22">
        <f>L6*Constants!$H64*(1-Constants!$H82)</f>
        <v>27470752.471953906</v>
      </c>
      <c r="M67" s="22">
        <f>M6*Constants!$H64*(1-Constants!$H82)</f>
        <v>29387463.51509409</v>
      </c>
      <c r="N67" s="22">
        <f>N6*Constants!$H64*(1-Constants!$H82)</f>
        <v>29499913.932259206</v>
      </c>
      <c r="O67" s="22">
        <f>O6*Constants!$H64*(1-Constants!$H82)</f>
        <v>28439847.640107188</v>
      </c>
      <c r="P67" s="22">
        <f>P6*Constants!$H64*(1-Constants!$H82)</f>
        <v>28102496.388611846</v>
      </c>
      <c r="Q67" s="22">
        <f>Q6*Constants!$H64*(1-Constants!$H82)</f>
        <v>27604682.18228538</v>
      </c>
      <c r="R67" s="22">
        <f>R6*Constants!$H64*(1-Constants!$H82)</f>
        <v>35544439.726842389</v>
      </c>
      <c r="S67" s="22">
        <f>S6*Constants!$H64*(1-Constants!$H82)</f>
        <v>35431989.309677273</v>
      </c>
      <c r="T67" s="22">
        <f>T6*Constants!$H64*(1-Constants!$H82)</f>
        <v>30897331.47590657</v>
      </c>
      <c r="U67" s="22">
        <f>U6*Constants!$H64*(1-Constants!$H82)</f>
        <v>28102496.388611846</v>
      </c>
      <c r="V67" s="22">
        <f>V6*Constants!$H64*(1-Constants!$H82)</f>
        <v>27133401.22045856</v>
      </c>
      <c r="W67" s="22">
        <f>W6*Constants!$H64*(1-Constants!$H82)</f>
        <v>29050112.263598755</v>
      </c>
      <c r="X67" s="22">
        <f>X6*Constants!$H64*(1-Constants!$H82)</f>
        <v>28418368.346940812</v>
      </c>
      <c r="Y67" s="22">
        <f>Y6*Constants!$H64*(1-Constants!$H82)</f>
        <v>28214946.805776961</v>
      </c>
      <c r="Z67" s="22">
        <f>Z6*Constants!$H64*(1-Constants!$H82)</f>
        <v>34553865.265522733</v>
      </c>
      <c r="AA67" s="22">
        <f>AA6*Constants!$H64*(1-Constants!$H82)</f>
        <v>35410510.016510896</v>
      </c>
      <c r="AB67" s="22">
        <f>AB6*Constants!$H64*(1-Constants!$H82)</f>
        <v>35410510.016510896</v>
      </c>
      <c r="AC67" s="22">
        <f>AC6*Constants!$H64*(1-Constants!$H82)</f>
        <v>34125542.890028648</v>
      </c>
      <c r="AD67" s="22">
        <f>AD6*Constants!$H64*(1-Constants!$H82)</f>
        <v>34323018.38450402</v>
      </c>
      <c r="AE67" s="22">
        <f>AE6*Constants!$H64*(1-Constants!$H82)</f>
        <v>34571847.662405021</v>
      </c>
      <c r="AF67" s="22">
        <f>AF6*Constants!$H64*(1-Constants!$H82)</f>
        <v>34731120.334783845</v>
      </c>
      <c r="AG67" s="22">
        <f>AG6*Constants!$H64*(1-Constants!$H82)</f>
        <v>34819968.388877034</v>
      </c>
      <c r="AH67" s="22">
        <f>AH6*Constants!$H64*(1-Constants!$H82)</f>
        <v>34868536.85591536</v>
      </c>
      <c r="AI67" s="22">
        <f>AI6*Constants!$H64*(1-Constants!$H82)</f>
        <v>34973121.813103825</v>
      </c>
      <c r="AJ67" s="22">
        <f>AJ6*Constants!$H64*(1-Constants!$H82)</f>
        <v>35111801.471302554</v>
      </c>
      <c r="AK67" s="22">
        <f>AK6*Constants!$H64*(1-Constants!$H82)</f>
        <v>35254088.577557333</v>
      </c>
      <c r="AL67" s="22">
        <f>AL6*Constants!$H64*(1-Constants!$H82)</f>
        <v>34104541.412338406</v>
      </c>
      <c r="AM67" s="22">
        <f>AM6*Constants!$H64*(1-Constants!$H82)</f>
        <v>34370335.869621716</v>
      </c>
      <c r="AN67" s="22">
        <f>AN6*Constants!$H64*(1-Constants!$H82)</f>
        <v>34632210.302612036</v>
      </c>
      <c r="AO67" s="22">
        <f>AO6*Constants!$H64*(1-Constants!$H82)</f>
        <v>34916352.285786636</v>
      </c>
      <c r="AP67" s="22">
        <f>AP6*Constants!$H64*(1-Constants!$H82)</f>
        <v>35220493.346785963</v>
      </c>
      <c r="AQ67" s="22">
        <f>AQ6*Constants!$H64*(1-Constants!$H82)</f>
        <v>35520210.866033539</v>
      </c>
      <c r="AR67" s="22">
        <f>AR6*Constants!$H64*(1-Constants!$H82)</f>
        <v>35866279.722934246</v>
      </c>
      <c r="AS67" s="22">
        <f>AS6*Constants!$H64*(1-Constants!$H82)</f>
        <v>36224110.329528071</v>
      </c>
      <c r="AT67" s="22">
        <f>AT6*Constants!$H64*(1-Constants!$H82)</f>
        <v>36600314.867054068</v>
      </c>
      <c r="AU67" s="22">
        <f>AU6*Constants!$H64*(1-Constants!$H82)</f>
        <v>36988039.022509083</v>
      </c>
      <c r="AV67" s="22">
        <f>AV6*Constants!$H64*(1-Constants!$H82)</f>
        <v>37312479.936832823</v>
      </c>
      <c r="AW67" s="22">
        <f>AW6*Constants!$H64*(1-Constants!$H82)</f>
        <v>37723350.146800093</v>
      </c>
      <c r="AX67" s="22">
        <f>AX6*Constants!$H64*(1-Constants!$H82)</f>
        <v>38141385.107922606</v>
      </c>
      <c r="AY67" s="22">
        <f>AY6*Constants!$H64*(1-Constants!$H82)</f>
        <v>38569155.854762651</v>
      </c>
      <c r="AZ67" s="22">
        <f>AZ6*Constants!$H64*(1-Constants!$H82)</f>
        <v>38976833.264262192</v>
      </c>
      <c r="BA67" s="22">
        <f>BA6*Constants!$H64*(1-Constants!$H82)</f>
        <v>39406311.994539425</v>
      </c>
      <c r="BB67" s="22">
        <f>BB6*Constants!$H64*(1-Constants!$H82)</f>
        <v>39857964.404511899</v>
      </c>
      <c r="BC67" s="22">
        <f>BC6*Constants!$H64*(1-Constants!$H82)</f>
        <v>40323519.219406746</v>
      </c>
      <c r="BD67" s="22">
        <f>BD6*Constants!$H64*(1-Constants!$H82)</f>
        <v>40781134.089931473</v>
      </c>
      <c r="BE67" s="22">
        <f>BE6*Constants!$H64*(1-Constants!$H82)</f>
        <v>41252852.887404367</v>
      </c>
      <c r="BF67" s="22">
        <f>BF6*Constants!$H64*(1-Constants!$H82)</f>
        <v>41751730.506520756</v>
      </c>
      <c r="BG67" s="22">
        <f>BG6*Constants!$H64*(1-Constants!$H82)</f>
        <v>42271513.894763954</v>
      </c>
      <c r="BH67" s="22">
        <f>BH6*Constants!$H64*(1-Constants!$H82)</f>
        <v>42810161.279714264</v>
      </c>
      <c r="BI67" s="22">
        <f>BI6*Constants!$H64*(1-Constants!$H82)</f>
        <v>43368464.062058337</v>
      </c>
      <c r="BJ67" s="22">
        <f>BJ6*Constants!$H64*(1-Constants!$H82)</f>
        <v>43946497.42474921</v>
      </c>
      <c r="BK67" s="22">
        <f>BK6*Constants!$H64*(1-Constants!$H82)</f>
        <v>44549455.526802711</v>
      </c>
      <c r="BL67" s="22">
        <f>BL6*Constants!$H64*(1-Constants!$H82)</f>
        <v>45112615.582050048</v>
      </c>
      <c r="BM67" s="22">
        <f>BM6*Constants!$H64*(1-Constants!$H82)</f>
        <v>45697930.876837306</v>
      </c>
      <c r="BN67" s="22">
        <f>BN6*Constants!$H64*(1-Constants!$H82)</f>
        <v>46310237.145366997</v>
      </c>
      <c r="BO67" s="22">
        <f>BO6*Constants!$H64*(1-Constants!$H82)</f>
        <v>46952007.185251705</v>
      </c>
      <c r="BP67" s="22">
        <f>BP6*Constants!$H64*(1-Constants!$H82)</f>
        <v>47638473.377798438</v>
      </c>
    </row>
    <row r="68" spans="1:68" x14ac:dyDescent="0.25">
      <c r="A68" t="str">
        <f t="shared" si="25"/>
        <v>3C Aggregated and non-CO2 emissions on land</v>
      </c>
      <c r="B68" t="str">
        <f t="shared" si="26"/>
        <v>3C4 Direct N2O from managed soils (N2O)</v>
      </c>
      <c r="C68" t="s">
        <v>410</v>
      </c>
      <c r="D68" t="str">
        <f t="shared" si="27"/>
        <v xml:space="preserve"> - Non-lactating</v>
      </c>
      <c r="E68" t="str">
        <f t="shared" si="28"/>
        <v>Urine &amp; dung - Non-lactating</v>
      </c>
      <c r="F68" t="str">
        <f t="shared" si="29"/>
        <v>kg N</v>
      </c>
      <c r="H68" s="22">
        <f>H7*Constants!$H65*(1-Constants!$H83)</f>
        <v>22536672.502374578</v>
      </c>
      <c r="I68" s="22">
        <f>I7*Constants!$H65*(1-Constants!$H83)</f>
        <v>25616525.79063822</v>
      </c>
      <c r="J68" s="22">
        <f>J7*Constants!$H65*(1-Constants!$H83)</f>
        <v>22158361.515645087</v>
      </c>
      <c r="K68" s="22">
        <f>K7*Constants!$H65*(1-Constants!$H83)</f>
        <v>23189426.39460196</v>
      </c>
      <c r="L68" s="22">
        <f>L7*Constants!$H65*(1-Constants!$H83)</f>
        <v>20645117.568727165</v>
      </c>
      <c r="M68" s="22">
        <f>M7*Constants!$H65*(1-Constants!$H83)</f>
        <v>22432804.421142988</v>
      </c>
      <c r="N68" s="22">
        <f>N7*Constants!$H65*(1-Constants!$H83)</f>
        <v>22811115.407872468</v>
      </c>
      <c r="O68" s="22">
        <f>O7*Constants!$H65*(1-Constants!$H83)</f>
        <v>22041152.085806556</v>
      </c>
      <c r="P68" s="22">
        <f>P7*Constants!$H65*(1-Constants!$H83)</f>
        <v>20906219.125618115</v>
      </c>
      <c r="Q68" s="22">
        <f>Q7*Constants!$H65*(1-Constants!$H83)</f>
        <v>22027810.737199616</v>
      </c>
      <c r="R68" s="22">
        <f>R7*Constants!$H65*(1-Constants!$H83)</f>
        <v>27300344.561822459</v>
      </c>
      <c r="S68" s="22">
        <f>S7*Constants!$H65*(1-Constants!$H83)</f>
        <v>26922033.575092979</v>
      </c>
      <c r="T68" s="22">
        <f>T7*Constants!$H65*(1-Constants!$H83)</f>
        <v>24716011.690126833</v>
      </c>
      <c r="U68" s="22">
        <f>U7*Constants!$H65*(1-Constants!$H83)</f>
        <v>20906219.125618115</v>
      </c>
      <c r="V68" s="22">
        <f>V7*Constants!$H65*(1-Constants!$H83)</f>
        <v>19510184.608538713</v>
      </c>
      <c r="W68" s="22">
        <f>W7*Constants!$H65*(1-Constants!$H83)</f>
        <v>21297871.460954543</v>
      </c>
      <c r="X68" s="22">
        <f>X7*Constants!$H65*(1-Constants!$H83)</f>
        <v>21036769.90406359</v>
      </c>
      <c r="Y68" s="22">
        <f>Y7*Constants!$H65*(1-Constants!$H83)</f>
        <v>21284530.112347595</v>
      </c>
      <c r="Z68" s="22">
        <f>Z7*Constants!$H65*(1-Constants!$H83)</f>
        <v>24899927.863000095</v>
      </c>
      <c r="AA68" s="22">
        <f>AA7*Constants!$H65*(1-Constants!$H83)</f>
        <v>25917651.393350005</v>
      </c>
      <c r="AB68" s="22">
        <f>AB7*Constants!$H65*(1-Constants!$H83)</f>
        <v>25917651.393350005</v>
      </c>
      <c r="AC68" s="22">
        <f>AC7*Constants!$H65*(1-Constants!$H83)</f>
        <v>24391066.097825136</v>
      </c>
      <c r="AD68" s="22">
        <f>AD7*Constants!$H65*(1-Constants!$H83)</f>
        <v>23374210.360951189</v>
      </c>
      <c r="AE68" s="22">
        <f>AE7*Constants!$H65*(1-Constants!$H83)</f>
        <v>23543664.801713526</v>
      </c>
      <c r="AF68" s="22">
        <f>AF7*Constants!$H65*(1-Constants!$H83)</f>
        <v>23652130.581361115</v>
      </c>
      <c r="AG68" s="22">
        <f>AG7*Constants!$H65*(1-Constants!$H83)</f>
        <v>23712636.714104753</v>
      </c>
      <c r="AH68" s="22">
        <f>AH7*Constants!$H65*(1-Constants!$H83)</f>
        <v>23745712.172467567</v>
      </c>
      <c r="AI68" s="22">
        <f>AI7*Constants!$H65*(1-Constants!$H83)</f>
        <v>23816935.243892372</v>
      </c>
      <c r="AJ68" s="22">
        <f>AJ7*Constants!$H65*(1-Constants!$H83)</f>
        <v>23911377.039984096</v>
      </c>
      <c r="AK68" s="22">
        <f>AK7*Constants!$H65*(1-Constants!$H83)</f>
        <v>24008275.532884464</v>
      </c>
      <c r="AL68" s="22">
        <f>AL7*Constants!$H65*(1-Constants!$H83)</f>
        <v>23225426.048067793</v>
      </c>
      <c r="AM68" s="22">
        <f>AM7*Constants!$H65*(1-Constants!$H83)</f>
        <v>23406433.892066728</v>
      </c>
      <c r="AN68" s="22">
        <f>AN7*Constants!$H65*(1-Constants!$H83)</f>
        <v>23584772.172700986</v>
      </c>
      <c r="AO68" s="22">
        <f>AO7*Constants!$H65*(1-Constants!$H83)</f>
        <v>23778274.807367276</v>
      </c>
      <c r="AP68" s="22">
        <f>AP7*Constants!$H65*(1-Constants!$H83)</f>
        <v>23985396.950867645</v>
      </c>
      <c r="AQ68" s="22">
        <f>AQ7*Constants!$H65*(1-Constants!$H83)</f>
        <v>24189506.632168815</v>
      </c>
      <c r="AR68" s="22">
        <f>AR7*Constants!$H65*(1-Constants!$H83)</f>
        <v>24425181.891551685</v>
      </c>
      <c r="AS68" s="22">
        <f>AS7*Constants!$H65*(1-Constants!$H83)</f>
        <v>24668866.982950497</v>
      </c>
      <c r="AT68" s="22">
        <f>AT7*Constants!$H65*(1-Constants!$H83)</f>
        <v>24925064.847030159</v>
      </c>
      <c r="AU68" s="22">
        <f>AU7*Constants!$H65*(1-Constants!$H83)</f>
        <v>25189107.649737723</v>
      </c>
      <c r="AV68" s="22">
        <f>AV7*Constants!$H65*(1-Constants!$H83)</f>
        <v>25410054.132245395</v>
      </c>
      <c r="AW68" s="22">
        <f>AW7*Constants!$H65*(1-Constants!$H83)</f>
        <v>25689859.556443144</v>
      </c>
      <c r="AX68" s="22">
        <f>AX7*Constants!$H65*(1-Constants!$H83)</f>
        <v>25974544.225199465</v>
      </c>
      <c r="AY68" s="22">
        <f>AY7*Constants!$H65*(1-Constants!$H83)</f>
        <v>26265859.030642528</v>
      </c>
      <c r="AZ68" s="22">
        <f>AZ7*Constants!$H65*(1-Constants!$H83)</f>
        <v>26543490.135876335</v>
      </c>
      <c r="BA68" s="22">
        <f>BA7*Constants!$H65*(1-Constants!$H83)</f>
        <v>26835968.089726292</v>
      </c>
      <c r="BB68" s="22">
        <f>BB7*Constants!$H65*(1-Constants!$H83)</f>
        <v>27143546.471162967</v>
      </c>
      <c r="BC68" s="22">
        <f>BC7*Constants!$H65*(1-Constants!$H83)</f>
        <v>27460592.48547326</v>
      </c>
      <c r="BD68" s="22">
        <f>BD7*Constants!$H65*(1-Constants!$H83)</f>
        <v>27772231.343341704</v>
      </c>
      <c r="BE68" s="22">
        <f>BE7*Constants!$H65*(1-Constants!$H83)</f>
        <v>28093475.071962155</v>
      </c>
      <c r="BF68" s="22">
        <f>BF7*Constants!$H65*(1-Constants!$H83)</f>
        <v>28433214.143944863</v>
      </c>
      <c r="BG68" s="22">
        <f>BG7*Constants!$H65*(1-Constants!$H83)</f>
        <v>28787190.187742036</v>
      </c>
      <c r="BH68" s="22">
        <f>BH7*Constants!$H65*(1-Constants!$H83)</f>
        <v>29154012.742365874</v>
      </c>
      <c r="BI68" s="22">
        <f>BI7*Constants!$H65*(1-Constants!$H83)</f>
        <v>29534220.757098831</v>
      </c>
      <c r="BJ68" s="22">
        <f>BJ7*Constants!$H65*(1-Constants!$H83)</f>
        <v>29927865.432046305</v>
      </c>
      <c r="BK68" s="22">
        <f>BK7*Constants!$H65*(1-Constants!$H83)</f>
        <v>30338484.025036998</v>
      </c>
      <c r="BL68" s="22">
        <f>BL7*Constants!$H65*(1-Constants!$H83)</f>
        <v>30721999.875850953</v>
      </c>
      <c r="BM68" s="22">
        <f>BM7*Constants!$H65*(1-Constants!$H83)</f>
        <v>31120603.59637969</v>
      </c>
      <c r="BN68" s="22">
        <f>BN7*Constants!$H65*(1-Constants!$H83)</f>
        <v>31537588.354701634</v>
      </c>
      <c r="BO68" s="22">
        <f>BO7*Constants!$H65*(1-Constants!$H83)</f>
        <v>31974638.142910056</v>
      </c>
      <c r="BP68" s="22">
        <f>BP7*Constants!$H65*(1-Constants!$H83)</f>
        <v>32442126.316896308</v>
      </c>
    </row>
    <row r="69" spans="1:68" x14ac:dyDescent="0.25">
      <c r="A69" t="str">
        <f t="shared" si="25"/>
        <v>3C Aggregated and non-CO2 emissions on land</v>
      </c>
      <c r="B69" t="str">
        <f t="shared" si="26"/>
        <v>3C4 Direct N2O from managed soils (N2O)</v>
      </c>
      <c r="C69" t="s">
        <v>410</v>
      </c>
      <c r="D69" t="str">
        <f t="shared" si="27"/>
        <v xml:space="preserve"> - Commercial cattle</v>
      </c>
      <c r="E69" t="str">
        <f t="shared" si="28"/>
        <v>Urine &amp; dung - Commercial cattle</v>
      </c>
      <c r="F69" t="str">
        <f t="shared" si="29"/>
        <v>kg N</v>
      </c>
      <c r="H69" s="22">
        <f>H8*Constants!$H66*(1-Constants!$H84)</f>
        <v>559255370.31703663</v>
      </c>
      <c r="I69" s="22">
        <f>I8*Constants!$H66*(1-Constants!$H84)</f>
        <v>535116762.9675647</v>
      </c>
      <c r="J69" s="22">
        <f>J8*Constants!$H66*(1-Constants!$H84)</f>
        <v>534922334.95159727</v>
      </c>
      <c r="K69" s="22">
        <f>K8*Constants!$H66*(1-Constants!$H84)</f>
        <v>500438844.55845898</v>
      </c>
      <c r="L69" s="22">
        <f>L8*Constants!$H66*(1-Constants!$H84)</f>
        <v>515525474.15187901</v>
      </c>
      <c r="M69" s="22">
        <f>M8*Constants!$H66*(1-Constants!$H84)</f>
        <v>527246940.36344963</v>
      </c>
      <c r="N69" s="22">
        <f>N8*Constants!$H66*(1-Constants!$H84)</f>
        <v>549118861.60271931</v>
      </c>
      <c r="O69" s="22">
        <f>O8*Constants!$H66*(1-Constants!$H84)</f>
        <v>569920198.19710505</v>
      </c>
      <c r="P69" s="22">
        <f>P8*Constants!$H66*(1-Constants!$H84)</f>
        <v>574856372.76282609</v>
      </c>
      <c r="Q69" s="22">
        <f>Q8*Constants!$H66*(1-Constants!$H84)</f>
        <v>565554181.73728025</v>
      </c>
      <c r="R69" s="22">
        <f>R8*Constants!$H66*(1-Constants!$H84)</f>
        <v>527135369.85639662</v>
      </c>
      <c r="S69" s="22">
        <f>S8*Constants!$H66*(1-Constants!$H84)</f>
        <v>529874589.8788234</v>
      </c>
      <c r="T69" s="22">
        <f>T8*Constants!$H66*(1-Constants!$H84)</f>
        <v>493847980.92857671</v>
      </c>
      <c r="U69" s="22">
        <f>U8*Constants!$H66*(1-Constants!$H84)</f>
        <v>506765548.60546583</v>
      </c>
      <c r="V69" s="22">
        <f>V8*Constants!$H66*(1-Constants!$H84)</f>
        <v>511437563.5883112</v>
      </c>
      <c r="W69" s="22">
        <f>W8*Constants!$H66*(1-Constants!$H84)</f>
        <v>515775687.42137289</v>
      </c>
      <c r="X69" s="22">
        <f>X8*Constants!$H66*(1-Constants!$H84)</f>
        <v>504026328.58303899</v>
      </c>
      <c r="Y69" s="22">
        <f>Y8*Constants!$H66*(1-Constants!$H84)</f>
        <v>518793013.34005684</v>
      </c>
      <c r="Z69" s="22">
        <f>Z8*Constants!$H66*(1-Constants!$H84)</f>
        <v>504376811.74388993</v>
      </c>
      <c r="AA69" s="22">
        <f>AA8*Constants!$H66*(1-Constants!$H84)</f>
        <v>495907981.30717754</v>
      </c>
      <c r="AB69" s="22">
        <f>AB8*Constants!$H66*(1-Constants!$H84)</f>
        <v>494349036.41895235</v>
      </c>
      <c r="AC69" s="22">
        <f>AC8*Constants!$H66*(1-Constants!$H84)</f>
        <v>492573930.50973994</v>
      </c>
      <c r="AD69" s="22">
        <f>AD8*Constants!$H66*(1-Constants!$H84)</f>
        <v>491202358.45827347</v>
      </c>
      <c r="AE69" s="22">
        <f>AE8*Constants!$H66*(1-Constants!$H84)</f>
        <v>489462431.99519223</v>
      </c>
      <c r="AF69" s="22">
        <f>AF8*Constants!$H66*(1-Constants!$H84)</f>
        <v>483059977.08672714</v>
      </c>
      <c r="AG69" s="22">
        <f>AG8*Constants!$H66*(1-Constants!$H84)</f>
        <v>473157047.81719959</v>
      </c>
      <c r="AH69" s="22">
        <f>AH8*Constants!$H66*(1-Constants!$H84)</f>
        <v>461248305.93324006</v>
      </c>
      <c r="AI69" s="22">
        <f>AI8*Constants!$H66*(1-Constants!$H84)</f>
        <v>451263745.03355372</v>
      </c>
      <c r="AJ69" s="22">
        <f>AJ8*Constants!$H66*(1-Constants!$H84)</f>
        <v>442437765.96566331</v>
      </c>
      <c r="AK69" s="22">
        <f>AK8*Constants!$H66*(1-Constants!$H84)</f>
        <v>433547701.66507989</v>
      </c>
      <c r="AL69" s="22">
        <f>AL8*Constants!$H66*(1-Constants!$H84)</f>
        <v>377938899.29397088</v>
      </c>
      <c r="AM69" s="22">
        <f>AM8*Constants!$H66*(1-Constants!$H84)</f>
        <v>380099309.25454205</v>
      </c>
      <c r="AN69" s="22">
        <f>AN8*Constants!$H66*(1-Constants!$H84)</f>
        <v>382258798.92493713</v>
      </c>
      <c r="AO69" s="22">
        <f>AO8*Constants!$H66*(1-Constants!$H84)</f>
        <v>385335412.51134902</v>
      </c>
      <c r="AP69" s="22">
        <f>AP8*Constants!$H66*(1-Constants!$H84)</f>
        <v>388937972.43431449</v>
      </c>
      <c r="AQ69" s="22">
        <f>AQ8*Constants!$H66*(1-Constants!$H84)</f>
        <v>392233439.54553455</v>
      </c>
      <c r="AR69" s="22">
        <f>AR8*Constants!$H66*(1-Constants!$H84)</f>
        <v>396914157.03896755</v>
      </c>
      <c r="AS69" s="22">
        <f>AS8*Constants!$H66*(1-Constants!$H84)</f>
        <v>401801075.64308935</v>
      </c>
      <c r="AT69" s="22">
        <f>AT8*Constants!$H66*(1-Constants!$H84)</f>
        <v>407100053.54801172</v>
      </c>
      <c r="AU69" s="22">
        <f>AU8*Constants!$H66*(1-Constants!$H84)</f>
        <v>412546570.31836933</v>
      </c>
      <c r="AV69" s="22">
        <f>AV8*Constants!$H66*(1-Constants!$H84)</f>
        <v>415809026.82825106</v>
      </c>
      <c r="AW69" s="22">
        <f>AW8*Constants!$H66*(1-Constants!$H84)</f>
        <v>418027532.35971284</v>
      </c>
      <c r="AX69" s="22">
        <f>AX8*Constants!$H66*(1-Constants!$H84)</f>
        <v>420085719.06848222</v>
      </c>
      <c r="AY69" s="22">
        <f>AY8*Constants!$H66*(1-Constants!$H84)</f>
        <v>422053124.09580624</v>
      </c>
      <c r="AZ69" s="22">
        <f>AZ8*Constants!$H66*(1-Constants!$H84)</f>
        <v>423065259.82538462</v>
      </c>
      <c r="BA69" s="22">
        <f>BA8*Constants!$H66*(1-Constants!$H84)</f>
        <v>424330372.39460087</v>
      </c>
      <c r="BB69" s="22">
        <f>BB8*Constants!$H66*(1-Constants!$H84)</f>
        <v>425822991.4475106</v>
      </c>
      <c r="BC69" s="22">
        <f>BC8*Constants!$H66*(1-Constants!$H84)</f>
        <v>427289178.85703254</v>
      </c>
      <c r="BD69" s="22">
        <f>BD8*Constants!$H66*(1-Constants!$H84)</f>
        <v>428147496.38054979</v>
      </c>
      <c r="BE69" s="22">
        <f>BE8*Constants!$H66*(1-Constants!$H84)</f>
        <v>428965181.27989441</v>
      </c>
      <c r="BF69" s="22">
        <f>BF8*Constants!$H66*(1-Constants!$H84)</f>
        <v>430041814.62555164</v>
      </c>
      <c r="BG69" s="22">
        <f>BG8*Constants!$H66*(1-Constants!$H84)</f>
        <v>433384250.74669772</v>
      </c>
      <c r="BH69" s="22">
        <f>BH8*Constants!$H66*(1-Constants!$H84)</f>
        <v>436816738.9669441</v>
      </c>
      <c r="BI69" s="22">
        <f>BI8*Constants!$H66*(1-Constants!$H84)</f>
        <v>440335709.5045135</v>
      </c>
      <c r="BJ69" s="22">
        <f>BJ8*Constants!$H66*(1-Constants!$H84)</f>
        <v>443919893.07866377</v>
      </c>
      <c r="BK69" s="22">
        <f>BK8*Constants!$H66*(1-Constants!$H84)</f>
        <v>447661283.91863787</v>
      </c>
      <c r="BL69" s="22">
        <f>BL8*Constants!$H66*(1-Constants!$H84)</f>
        <v>450133883.88713157</v>
      </c>
      <c r="BM69" s="22">
        <f>BM8*Constants!$H66*(1-Constants!$H84)</f>
        <v>452706484.65528357</v>
      </c>
      <c r="BN69" s="22">
        <f>BN8*Constants!$H66*(1-Constants!$H84)</f>
        <v>455453092.88191903</v>
      </c>
      <c r="BO69" s="22">
        <f>BO8*Constants!$H66*(1-Constants!$H84)</f>
        <v>458392427.59457487</v>
      </c>
      <c r="BP69" s="22">
        <f>BP8*Constants!$H66*(1-Constants!$H84)</f>
        <v>461790416.45508021</v>
      </c>
    </row>
    <row r="70" spans="1:68" x14ac:dyDescent="0.25">
      <c r="A70" t="str">
        <f t="shared" si="25"/>
        <v>3C Aggregated and non-CO2 emissions on land</v>
      </c>
      <c r="B70" t="str">
        <f t="shared" si="26"/>
        <v>3C4 Direct N2O from managed soils (N2O)</v>
      </c>
      <c r="C70" t="s">
        <v>410</v>
      </c>
      <c r="D70" t="str">
        <f t="shared" si="27"/>
        <v xml:space="preserve"> - Subsistence cattle</v>
      </c>
      <c r="E70" t="str">
        <f t="shared" si="28"/>
        <v>Urine &amp; dung - Subsistence cattle</v>
      </c>
      <c r="F70" t="str">
        <f t="shared" si="29"/>
        <v>kg N</v>
      </c>
      <c r="H70" s="22">
        <f>H9*Constants!$H67*(1-Constants!$H85)</f>
        <v>267001859.90719384</v>
      </c>
      <c r="I70" s="22">
        <f>I9*Constants!$H67*(1-Constants!$H85)</f>
        <v>283289555.06493115</v>
      </c>
      <c r="J70" s="22">
        <f>J9*Constants!$H67*(1-Constants!$H85)</f>
        <v>296668733.23021537</v>
      </c>
      <c r="K70" s="22">
        <f>K9*Constants!$H67*(1-Constants!$H85)</f>
        <v>293178512.83927161</v>
      </c>
      <c r="L70" s="22">
        <f>L9*Constants!$H67*(1-Constants!$H85)</f>
        <v>255367791.93738148</v>
      </c>
      <c r="M70" s="22">
        <f>M9*Constants!$H67*(1-Constants!$H85)</f>
        <v>246642240.96002218</v>
      </c>
      <c r="N70" s="22">
        <f>N9*Constants!$H67*(1-Constants!$H85)</f>
        <v>253622681.74190959</v>
      </c>
      <c r="O70" s="22">
        <f>O9*Constants!$H67*(1-Constants!$H85)</f>
        <v>265256749.71172196</v>
      </c>
      <c r="P70" s="22">
        <f>P9*Constants!$H67*(1-Constants!$H85)</f>
        <v>281544444.86945933</v>
      </c>
      <c r="Q70" s="22">
        <f>Q9*Constants!$H67*(1-Constants!$H85)</f>
        <v>293178512.83927161</v>
      </c>
      <c r="R70" s="22">
        <f>R9*Constants!$H67*(1-Constants!$H85)</f>
        <v>286198072.05738419</v>
      </c>
      <c r="S70" s="22">
        <f>S9*Constants!$H67*(1-Constants!$H85)</f>
        <v>279217631.27549684</v>
      </c>
      <c r="T70" s="22">
        <f>T9*Constants!$H67*(1-Constants!$H85)</f>
        <v>316446648.77889633</v>
      </c>
      <c r="U70" s="22">
        <f>U9*Constants!$H67*(1-Constants!$H85)</f>
        <v>324008792.95927441</v>
      </c>
      <c r="V70" s="22">
        <f>V9*Constants!$H67*(1-Constants!$H85)</f>
        <v>318773462.37285882</v>
      </c>
      <c r="W70" s="22">
        <f>W9*Constants!$H67*(1-Constants!$H85)</f>
        <v>309466207.99700898</v>
      </c>
      <c r="X70" s="22">
        <f>X9*Constants!$H67*(1-Constants!$H85)</f>
        <v>319355165.77134943</v>
      </c>
      <c r="Y70" s="22">
        <f>Y9*Constants!$H67*(1-Constants!$H85)</f>
        <v>332152640.5381431</v>
      </c>
      <c r="Z70" s="22">
        <f>Z9*Constants!$H67*(1-Constants!$H85)</f>
        <v>326917309.95172751</v>
      </c>
      <c r="AA70" s="22">
        <f>AA9*Constants!$H67*(1-Constants!$H85)</f>
        <v>323427089.5607838</v>
      </c>
      <c r="AB70" s="22">
        <f>AB9*Constants!$H67*(1-Constants!$H85)</f>
        <v>318773462.37285882</v>
      </c>
      <c r="AC70" s="22">
        <f>AC9*Constants!$H67*(1-Constants!$H85)</f>
        <v>321100275.96682131</v>
      </c>
      <c r="AD70" s="22">
        <f>AD9*Constants!$H67*(1-Constants!$H85)</f>
        <v>308868439.80739337</v>
      </c>
      <c r="AE70" s="22">
        <f>AE9*Constants!$H67*(1-Constants!$H85)</f>
        <v>307774372.64184022</v>
      </c>
      <c r="AF70" s="22">
        <f>AF9*Constants!$H67*(1-Constants!$H85)</f>
        <v>303748503.82329142</v>
      </c>
      <c r="AG70" s="22">
        <f>AG9*Constants!$H67*(1-Constants!$H85)</f>
        <v>297521533.89871234</v>
      </c>
      <c r="AH70" s="22">
        <f>AH9*Constants!$H67*(1-Constants!$H85)</f>
        <v>290033307.38181961</v>
      </c>
      <c r="AI70" s="22">
        <f>AI9*Constants!$H67*(1-Constants!$H85)</f>
        <v>283755007.42225212</v>
      </c>
      <c r="AJ70" s="22">
        <f>AJ9*Constants!$H67*(1-Constants!$H85)</f>
        <v>278205224.65445697</v>
      </c>
      <c r="AK70" s="22">
        <f>AK9*Constants!$H67*(1-Constants!$H85)</f>
        <v>272615145.04057455</v>
      </c>
      <c r="AL70" s="22">
        <f>AL9*Constants!$H67*(1-Constants!$H85)</f>
        <v>237648285.1870684</v>
      </c>
      <c r="AM70" s="22">
        <f>AM9*Constants!$H67*(1-Constants!$H85)</f>
        <v>239006752.71552315</v>
      </c>
      <c r="AN70" s="22">
        <f>AN9*Constants!$H67*(1-Constants!$H85)</f>
        <v>240364641.5647718</v>
      </c>
      <c r="AO70" s="22">
        <f>AO9*Constants!$H67*(1-Constants!$H85)</f>
        <v>242299218.6732935</v>
      </c>
      <c r="AP70" s="22">
        <f>AP9*Constants!$H67*(1-Constants!$H85)</f>
        <v>244564511.26311627</v>
      </c>
      <c r="AQ70" s="22">
        <f>AQ9*Constants!$H67*(1-Constants!$H85)</f>
        <v>246636703.64483422</v>
      </c>
      <c r="AR70" s="22">
        <f>AR9*Constants!$H67*(1-Constants!$H85)</f>
        <v>249579942.58593678</v>
      </c>
      <c r="AS70" s="22">
        <f>AS9*Constants!$H67*(1-Constants!$H85)</f>
        <v>252652840.95201635</v>
      </c>
      <c r="AT70" s="22">
        <f>AT9*Constants!$H67*(1-Constants!$H85)</f>
        <v>255984842.53931379</v>
      </c>
      <c r="AU70" s="22">
        <f>AU9*Constants!$H67*(1-Constants!$H85)</f>
        <v>259409616.68438351</v>
      </c>
      <c r="AV70" s="22">
        <f>AV9*Constants!$H67*(1-Constants!$H85)</f>
        <v>261461051.97331288</v>
      </c>
      <c r="AW70" s="22">
        <f>AW9*Constants!$H67*(1-Constants!$H85)</f>
        <v>262856050.04367507</v>
      </c>
      <c r="AX70" s="22">
        <f>AX9*Constants!$H67*(1-Constants!$H85)</f>
        <v>264150239.50881776</v>
      </c>
      <c r="AY70" s="22">
        <f>AY9*Constants!$H67*(1-Constants!$H85)</f>
        <v>265387345.37933126</v>
      </c>
      <c r="AZ70" s="22">
        <f>AZ9*Constants!$H67*(1-Constants!$H85)</f>
        <v>266023777.1437254</v>
      </c>
      <c r="BA70" s="22">
        <f>BA9*Constants!$H67*(1-Constants!$H85)</f>
        <v>266819280.94924667</v>
      </c>
      <c r="BB70" s="22">
        <f>BB9*Constants!$H67*(1-Constants!$H85)</f>
        <v>267757841.01550123</v>
      </c>
      <c r="BC70" s="22">
        <f>BC9*Constants!$H67*(1-Constants!$H85)</f>
        <v>268679780.84304124</v>
      </c>
      <c r="BD70" s="22">
        <f>BD9*Constants!$H67*(1-Constants!$H85)</f>
        <v>269219491.59520507</v>
      </c>
      <c r="BE70" s="22">
        <f>BE9*Constants!$H67*(1-Constants!$H85)</f>
        <v>269733652.52046478</v>
      </c>
      <c r="BF70" s="22">
        <f>BF9*Constants!$H67*(1-Constants!$H85)</f>
        <v>270410640.4379524</v>
      </c>
      <c r="BG70" s="22">
        <f>BG9*Constants!$H67*(1-Constants!$H85)</f>
        <v>272512366.97105503</v>
      </c>
      <c r="BH70" s="22">
        <f>BH9*Constants!$H67*(1-Constants!$H85)</f>
        <v>274670718.3368187</v>
      </c>
      <c r="BI70" s="22">
        <f>BI9*Constants!$H67*(1-Constants!$H85)</f>
        <v>276883449.85357815</v>
      </c>
      <c r="BJ70" s="22">
        <f>BJ9*Constants!$H67*(1-Constants!$H85)</f>
        <v>279137187.38042092</v>
      </c>
      <c r="BK70" s="22">
        <f>BK9*Constants!$H67*(1-Constants!$H85)</f>
        <v>281489776.96301073</v>
      </c>
      <c r="BL70" s="22">
        <f>BL9*Constants!$H67*(1-Constants!$H85)</f>
        <v>283044549.82064426</v>
      </c>
      <c r="BM70" s="22">
        <f>BM9*Constants!$H67*(1-Constants!$H85)</f>
        <v>284662203.2618866</v>
      </c>
      <c r="BN70" s="22">
        <f>BN9*Constants!$H67*(1-Constants!$H85)</f>
        <v>286389272.73359215</v>
      </c>
      <c r="BO70" s="22">
        <f>BO9*Constants!$H67*(1-Constants!$H85)</f>
        <v>288237528.77539784</v>
      </c>
      <c r="BP70" s="22">
        <f>BP9*Constants!$H67*(1-Constants!$H85)</f>
        <v>290374186.9158867</v>
      </c>
    </row>
    <row r="71" spans="1:68" x14ac:dyDescent="0.25">
      <c r="A71" t="str">
        <f t="shared" si="25"/>
        <v>3C Aggregated and non-CO2 emissions on land</v>
      </c>
      <c r="B71" t="str">
        <f t="shared" si="26"/>
        <v>3C4 Direct N2O from managed soils (N2O)</v>
      </c>
      <c r="C71" t="s">
        <v>410</v>
      </c>
      <c r="D71" t="str">
        <f t="shared" si="27"/>
        <v xml:space="preserve"> - Feedlot</v>
      </c>
      <c r="E71" t="str">
        <f t="shared" si="28"/>
        <v>Urine &amp; dung - Feedlot</v>
      </c>
      <c r="F71" t="str">
        <f t="shared" si="29"/>
        <v>kg N</v>
      </c>
      <c r="H71" s="22">
        <f>H10*Constants!$H68*(1-Constants!$H86)</f>
        <v>0</v>
      </c>
      <c r="I71" s="22">
        <f>I10*Constants!$H68*(1-Constants!$H86)</f>
        <v>0</v>
      </c>
      <c r="J71" s="22">
        <f>J10*Constants!$H68*(1-Constants!$H86)</f>
        <v>0</v>
      </c>
      <c r="K71" s="22">
        <f>K10*Constants!$H68*(1-Constants!$H86)</f>
        <v>0</v>
      </c>
      <c r="L71" s="22">
        <f>L10*Constants!$H68*(1-Constants!$H86)</f>
        <v>0</v>
      </c>
      <c r="M71" s="22">
        <f>M10*Constants!$H68*(1-Constants!$H86)</f>
        <v>0</v>
      </c>
      <c r="N71" s="22">
        <f>N10*Constants!$H68*(1-Constants!$H86)</f>
        <v>0</v>
      </c>
      <c r="O71" s="22">
        <f>O10*Constants!$H68*(1-Constants!$H86)</f>
        <v>0</v>
      </c>
      <c r="P71" s="22">
        <f>P10*Constants!$H68*(1-Constants!$H86)</f>
        <v>0</v>
      </c>
      <c r="Q71" s="22">
        <f>Q10*Constants!$H68*(1-Constants!$H86)</f>
        <v>0</v>
      </c>
      <c r="R71" s="22">
        <f>R10*Constants!$H68*(1-Constants!$H86)</f>
        <v>0</v>
      </c>
      <c r="S71" s="22">
        <f>S10*Constants!$H68*(1-Constants!$H86)</f>
        <v>0</v>
      </c>
      <c r="T71" s="22">
        <f>T10*Constants!$H68*(1-Constants!$H86)</f>
        <v>0</v>
      </c>
      <c r="U71" s="22">
        <f>U10*Constants!$H68*(1-Constants!$H86)</f>
        <v>0</v>
      </c>
      <c r="V71" s="22">
        <f>V10*Constants!$H68*(1-Constants!$H86)</f>
        <v>0</v>
      </c>
      <c r="W71" s="22">
        <f>W10*Constants!$H68*(1-Constants!$H86)</f>
        <v>0</v>
      </c>
      <c r="X71" s="22">
        <f>X10*Constants!$H68*(1-Constants!$H86)</f>
        <v>0</v>
      </c>
      <c r="Y71" s="22">
        <f>Y10*Constants!$H68*(1-Constants!$H86)</f>
        <v>0</v>
      </c>
      <c r="Z71" s="22">
        <f>Z10*Constants!$H68*(1-Constants!$H86)</f>
        <v>0</v>
      </c>
      <c r="AA71" s="22">
        <f>AA10*Constants!$H68*(1-Constants!$H86)</f>
        <v>0</v>
      </c>
      <c r="AB71" s="22">
        <f>AB10*Constants!$H68*(1-Constants!$H86)</f>
        <v>0</v>
      </c>
      <c r="AC71" s="22">
        <f>AC10*Constants!$H68*(1-Constants!$H86)</f>
        <v>0</v>
      </c>
      <c r="AD71" s="22">
        <f>AD10*Constants!$H68*(1-Constants!$H86)</f>
        <v>0</v>
      </c>
      <c r="AE71" s="22">
        <f>AE10*Constants!$H68*(1-Constants!$H86)</f>
        <v>0</v>
      </c>
      <c r="AF71" s="22">
        <f>AF10*Constants!$H68*(1-Constants!$H86)</f>
        <v>0</v>
      </c>
      <c r="AG71" s="22">
        <f>AG10*Constants!$H68*(1-Constants!$H86)</f>
        <v>0</v>
      </c>
      <c r="AH71" s="22">
        <f>AH10*Constants!$H68*(1-Constants!$H86)</f>
        <v>0</v>
      </c>
      <c r="AI71" s="22">
        <f>AI10*Constants!$H68*(1-Constants!$H86)</f>
        <v>0</v>
      </c>
      <c r="AJ71" s="22">
        <f>AJ10*Constants!$H68*(1-Constants!$H86)</f>
        <v>0</v>
      </c>
      <c r="AK71" s="22">
        <f>AK10*Constants!$H68*(1-Constants!$H86)</f>
        <v>0</v>
      </c>
      <c r="AL71" s="22">
        <f>AL10*Constants!$H68*(1-Constants!$H86)</f>
        <v>0</v>
      </c>
      <c r="AM71" s="22">
        <f>AM10*Constants!$H68*(1-Constants!$H86)</f>
        <v>0</v>
      </c>
      <c r="AN71" s="22">
        <f>AN10*Constants!$H68*(1-Constants!$H86)</f>
        <v>0</v>
      </c>
      <c r="AO71" s="22">
        <f>AO10*Constants!$H68*(1-Constants!$H86)</f>
        <v>0</v>
      </c>
      <c r="AP71" s="22">
        <f>AP10*Constants!$H68*(1-Constants!$H86)</f>
        <v>0</v>
      </c>
      <c r="AQ71" s="22">
        <f>AQ10*Constants!$H68*(1-Constants!$H86)</f>
        <v>0</v>
      </c>
      <c r="AR71" s="22">
        <f>AR10*Constants!$H68*(1-Constants!$H86)</f>
        <v>0</v>
      </c>
      <c r="AS71" s="22">
        <f>AS10*Constants!$H68*(1-Constants!$H86)</f>
        <v>0</v>
      </c>
      <c r="AT71" s="22">
        <f>AT10*Constants!$H68*(1-Constants!$H86)</f>
        <v>0</v>
      </c>
      <c r="AU71" s="22">
        <f>AU10*Constants!$H68*(1-Constants!$H86)</f>
        <v>0</v>
      </c>
      <c r="AV71" s="22">
        <f>AV10*Constants!$H68*(1-Constants!$H86)</f>
        <v>0</v>
      </c>
      <c r="AW71" s="22">
        <f>AW10*Constants!$H68*(1-Constants!$H86)</f>
        <v>0</v>
      </c>
      <c r="AX71" s="22">
        <f>AX10*Constants!$H68*(1-Constants!$H86)</f>
        <v>0</v>
      </c>
      <c r="AY71" s="22">
        <f>AY10*Constants!$H68*(1-Constants!$H86)</f>
        <v>0</v>
      </c>
      <c r="AZ71" s="22">
        <f>AZ10*Constants!$H68*(1-Constants!$H86)</f>
        <v>0</v>
      </c>
      <c r="BA71" s="22">
        <f>BA10*Constants!$H68*(1-Constants!$H86)</f>
        <v>0</v>
      </c>
      <c r="BB71" s="22">
        <f>BB10*Constants!$H68*(1-Constants!$H86)</f>
        <v>0</v>
      </c>
      <c r="BC71" s="22">
        <f>BC10*Constants!$H68*(1-Constants!$H86)</f>
        <v>0</v>
      </c>
      <c r="BD71" s="22">
        <f>BD10*Constants!$H68*(1-Constants!$H86)</f>
        <v>0</v>
      </c>
      <c r="BE71" s="22">
        <f>BE10*Constants!$H68*(1-Constants!$H86)</f>
        <v>0</v>
      </c>
      <c r="BF71" s="22">
        <f>BF10*Constants!$H68*(1-Constants!$H86)</f>
        <v>0</v>
      </c>
      <c r="BG71" s="22">
        <f>BG10*Constants!$H68*(1-Constants!$H86)</f>
        <v>0</v>
      </c>
      <c r="BH71" s="22">
        <f>BH10*Constants!$H68*(1-Constants!$H86)</f>
        <v>0</v>
      </c>
      <c r="BI71" s="22">
        <f>BI10*Constants!$H68*(1-Constants!$H86)</f>
        <v>0</v>
      </c>
      <c r="BJ71" s="22">
        <f>BJ10*Constants!$H68*(1-Constants!$H86)</f>
        <v>0</v>
      </c>
      <c r="BK71" s="22">
        <f>BK10*Constants!$H68*(1-Constants!$H86)</f>
        <v>0</v>
      </c>
      <c r="BL71" s="22">
        <f>BL10*Constants!$H68*(1-Constants!$H86)</f>
        <v>0</v>
      </c>
      <c r="BM71" s="22">
        <f>BM10*Constants!$H68*(1-Constants!$H86)</f>
        <v>0</v>
      </c>
      <c r="BN71" s="22">
        <f>BN10*Constants!$H68*(1-Constants!$H86)</f>
        <v>0</v>
      </c>
      <c r="BO71" s="22">
        <f>BO10*Constants!$H68*(1-Constants!$H86)</f>
        <v>0</v>
      </c>
      <c r="BP71" s="22">
        <f>BP10*Constants!$H68*(1-Constants!$H86)</f>
        <v>0</v>
      </c>
    </row>
    <row r="72" spans="1:68" x14ac:dyDescent="0.25">
      <c r="A72" t="str">
        <f t="shared" si="25"/>
        <v>3C Aggregated and non-CO2 emissions on land</v>
      </c>
      <c r="B72" t="str">
        <f t="shared" si="26"/>
        <v>3C4 Direct N2O from managed soils (N2O)</v>
      </c>
      <c r="C72" t="s">
        <v>410</v>
      </c>
      <c r="D72" t="str">
        <f t="shared" si="27"/>
        <v xml:space="preserve"> - Commercial sheep</v>
      </c>
      <c r="E72" t="str">
        <f t="shared" si="28"/>
        <v>Urine &amp; dung - Commercial sheep</v>
      </c>
      <c r="F72" t="str">
        <f t="shared" si="29"/>
        <v>kg N</v>
      </c>
      <c r="H72" s="22">
        <f>H11*Constants!$H69*(1-Constants!$H87)</f>
        <v>581876225.33466685</v>
      </c>
      <c r="I72" s="22">
        <f>I11*Constants!$H69*(1-Constants!$H87)</f>
        <v>555712272.17575133</v>
      </c>
      <c r="J72" s="22">
        <f>J11*Constants!$H69*(1-Constants!$H87)</f>
        <v>532750880.04889882</v>
      </c>
      <c r="K72" s="22">
        <f>K11*Constants!$H69*(1-Constants!$H87)</f>
        <v>498240858.74581867</v>
      </c>
      <c r="L72" s="22">
        <f>L11*Constants!$H69*(1-Constants!$H87)</f>
        <v>501753971.15068793</v>
      </c>
      <c r="M72" s="22">
        <f>M11*Constants!$H69*(1-Constants!$H87)</f>
        <v>494572470.65454638</v>
      </c>
      <c r="N72" s="22">
        <f>N11*Constants!$H69*(1-Constants!$H87)</f>
        <v>496222274.82257891</v>
      </c>
      <c r="O72" s="22">
        <f>O11*Constants!$H69*(1-Constants!$H87)</f>
        <v>485430614.61756623</v>
      </c>
      <c r="P72" s="22">
        <f>P11*Constants!$H69*(1-Constants!$H87)</f>
        <v>486769867.41279262</v>
      </c>
      <c r="Q72" s="22">
        <f>Q11*Constants!$H69*(1-Constants!$H87)</f>
        <v>474813639.55975699</v>
      </c>
      <c r="R72" s="22">
        <f>R11*Constants!$H69*(1-Constants!$H87)</f>
        <v>457791542.43782157</v>
      </c>
      <c r="S72" s="22">
        <f>S11*Constants!$H69*(1-Constants!$H87)</f>
        <v>446378779.48719668</v>
      </c>
      <c r="T72" s="22">
        <f>T11*Constants!$H69*(1-Constants!$H87)</f>
        <v>438925546.53984982</v>
      </c>
      <c r="U72" s="22">
        <f>U11*Constants!$H69*(1-Constants!$H87)</f>
        <v>440458893.94308001</v>
      </c>
      <c r="V72" s="22">
        <f>V11*Constants!$H69*(1-Constants!$H87)</f>
        <v>432617471.77972549</v>
      </c>
      <c r="W72" s="22">
        <f>W11*Constants!$H69*(1-Constants!$H87)</f>
        <v>431588770.35730517</v>
      </c>
      <c r="X72" s="22">
        <f>X11*Constants!$H69*(1-Constants!$H87)</f>
        <v>425940617.26439387</v>
      </c>
      <c r="Y72" s="22">
        <f>Y11*Constants!$H69*(1-Constants!$H87)</f>
        <v>425533018.58758587</v>
      </c>
      <c r="Z72" s="22">
        <f>Z11*Constants!$H69*(1-Constants!$H87)</f>
        <v>426911090.30441302</v>
      </c>
      <c r="AA72" s="22">
        <f>AA11*Constants!$H69*(1-Constants!$H87)</f>
        <v>425397152.36198318</v>
      </c>
      <c r="AB72" s="22">
        <f>AB11*Constants!$H69*(1-Constants!$H87)</f>
        <v>417167540.98262095</v>
      </c>
      <c r="AC72" s="22">
        <f>AC11*Constants!$H69*(1-Constants!$H87)</f>
        <v>413906751.56815672</v>
      </c>
      <c r="AD72" s="22">
        <f>AD11*Constants!$H69*(1-Constants!$H87)</f>
        <v>369127916.01140463</v>
      </c>
      <c r="AE72" s="22">
        <f>AE11*Constants!$H69*(1-Constants!$H87)</f>
        <v>369335463.24428785</v>
      </c>
      <c r="AF72" s="22">
        <f>AF11*Constants!$H69*(1-Constants!$H87)</f>
        <v>369788960.21946454</v>
      </c>
      <c r="AG72" s="22">
        <f>AG11*Constants!$H69*(1-Constants!$H87)</f>
        <v>370476288.8487339</v>
      </c>
      <c r="AH72" s="22">
        <f>AH11*Constants!$H69*(1-Constants!$H87)</f>
        <v>371390618.71943957</v>
      </c>
      <c r="AI72" s="22">
        <f>AI11*Constants!$H69*(1-Constants!$H87)</f>
        <v>372539654.0689714</v>
      </c>
      <c r="AJ72" s="22">
        <f>AJ11*Constants!$H69*(1-Constants!$H87)</f>
        <v>373821479.43670857</v>
      </c>
      <c r="AK72" s="22">
        <f>AK11*Constants!$H69*(1-Constants!$H87)</f>
        <v>375232568.37589467</v>
      </c>
      <c r="AL72" s="22">
        <f>AL11*Constants!$H69*(1-Constants!$H87)</f>
        <v>376533469.31151038</v>
      </c>
      <c r="AM72" s="22">
        <f>AM11*Constants!$H69*(1-Constants!$H87)</f>
        <v>377510604.47104985</v>
      </c>
      <c r="AN72" s="22">
        <f>AN11*Constants!$H69*(1-Constants!$H87)</f>
        <v>378357853.90539157</v>
      </c>
      <c r="AO72" s="22">
        <f>AO11*Constants!$H69*(1-Constants!$H87)</f>
        <v>379070001.23994011</v>
      </c>
      <c r="AP72" s="22">
        <f>AP11*Constants!$H69*(1-Constants!$H87)</f>
        <v>379785048.6016596</v>
      </c>
      <c r="AQ72" s="22">
        <f>AQ11*Constants!$H69*(1-Constants!$H87)</f>
        <v>380492870.38078237</v>
      </c>
      <c r="AR72" s="22">
        <f>AR11*Constants!$H69*(1-Constants!$H87)</f>
        <v>381197276.38271576</v>
      </c>
      <c r="AS72" s="22">
        <f>AS11*Constants!$H69*(1-Constants!$H87)</f>
        <v>381887218.15148354</v>
      </c>
      <c r="AT72" s="22">
        <f>AT11*Constants!$H69*(1-Constants!$H87)</f>
        <v>382559391.40478492</v>
      </c>
      <c r="AU72" s="22">
        <f>AU11*Constants!$H69*(1-Constants!$H87)</f>
        <v>383226405.55590034</v>
      </c>
      <c r="AV72" s="22">
        <f>AV11*Constants!$H69*(1-Constants!$H87)</f>
        <v>383871280.69391996</v>
      </c>
      <c r="AW72" s="22">
        <f>AW11*Constants!$H69*(1-Constants!$H87)</f>
        <v>384517421.52151179</v>
      </c>
      <c r="AX72" s="22">
        <f>AX11*Constants!$H69*(1-Constants!$H87)</f>
        <v>385147524.49076658</v>
      </c>
      <c r="AY72" s="22">
        <f>AY11*Constants!$H69*(1-Constants!$H87)</f>
        <v>385759120.26483226</v>
      </c>
      <c r="AZ72" s="22">
        <f>AZ11*Constants!$H69*(1-Constants!$H87)</f>
        <v>386349264.41159737</v>
      </c>
      <c r="BA72" s="22">
        <f>BA11*Constants!$H69*(1-Constants!$H87)</f>
        <v>386922927.26449728</v>
      </c>
      <c r="BB72" s="22">
        <f>BB11*Constants!$H69*(1-Constants!$H87)</f>
        <v>387477811.84093046</v>
      </c>
      <c r="BC72" s="22">
        <f>BC11*Constants!$H69*(1-Constants!$H87)</f>
        <v>388010217.69447619</v>
      </c>
      <c r="BD72" s="22">
        <f>BD11*Constants!$H69*(1-Constants!$H87)</f>
        <v>388514152.61482108</v>
      </c>
      <c r="BE72" s="22">
        <f>BE11*Constants!$H69*(1-Constants!$H87)</f>
        <v>388997002.06524962</v>
      </c>
      <c r="BF72" s="22">
        <f>BF11*Constants!$H69*(1-Constants!$H87)</f>
        <v>389459284.22861242</v>
      </c>
      <c r="BG72" s="22">
        <f>BG11*Constants!$H69*(1-Constants!$H87)</f>
        <v>389898172.19687665</v>
      </c>
      <c r="BH72" s="22">
        <f>BH11*Constants!$H69*(1-Constants!$H87)</f>
        <v>390311684.95997518</v>
      </c>
      <c r="BI72" s="22">
        <f>BI11*Constants!$H69*(1-Constants!$H87)</f>
        <v>390698435.53273308</v>
      </c>
      <c r="BJ72" s="22">
        <f>BJ11*Constants!$H69*(1-Constants!$H87)</f>
        <v>391057214.34617686</v>
      </c>
      <c r="BK72" s="22">
        <f>BK11*Constants!$H69*(1-Constants!$H87)</f>
        <v>391387583.98796976</v>
      </c>
      <c r="BL72" s="22">
        <f>BL11*Constants!$H69*(1-Constants!$H87)</f>
        <v>391676722.41599596</v>
      </c>
      <c r="BM72" s="22">
        <f>BM11*Constants!$H69*(1-Constants!$H87)</f>
        <v>391934458.16945791</v>
      </c>
      <c r="BN72" s="22">
        <f>BN11*Constants!$H69*(1-Constants!$H87)</f>
        <v>392160506.44417119</v>
      </c>
      <c r="BO72" s="22">
        <f>BO11*Constants!$H69*(1-Constants!$H87)</f>
        <v>392353497.36452156</v>
      </c>
      <c r="BP72" s="22">
        <f>BP11*Constants!$H69*(1-Constants!$H87)</f>
        <v>392515124.36318946</v>
      </c>
    </row>
    <row r="73" spans="1:68" x14ac:dyDescent="0.25">
      <c r="A73" t="str">
        <f t="shared" si="25"/>
        <v>3C Aggregated and non-CO2 emissions on land</v>
      </c>
      <c r="B73" t="str">
        <f t="shared" si="26"/>
        <v>3C4 Direct N2O from managed soils (N2O)</v>
      </c>
      <c r="C73" t="s">
        <v>410</v>
      </c>
      <c r="D73" t="str">
        <f t="shared" si="27"/>
        <v xml:space="preserve"> - Subsistence sheep</v>
      </c>
      <c r="E73" t="str">
        <f t="shared" si="28"/>
        <v>Urine &amp; dung - Subsistence sheep</v>
      </c>
      <c r="F73" t="str">
        <f t="shared" si="29"/>
        <v>kg N</v>
      </c>
      <c r="H73" s="22">
        <f>H12*Constants!$H70*(1-Constants!$H88)</f>
        <v>60666073.386478163</v>
      </c>
      <c r="I73" s="22">
        <f>I12*Constants!$H70*(1-Constants!$H88)</f>
        <v>57938235.002110019</v>
      </c>
      <c r="J73" s="22">
        <f>J12*Constants!$H70*(1-Constants!$H88)</f>
        <v>55544293.74935963</v>
      </c>
      <c r="K73" s="22">
        <f>K12*Constants!$H70*(1-Constants!$H88)</f>
        <v>51946299.203805812</v>
      </c>
      <c r="L73" s="22">
        <f>L12*Constants!$H70*(1-Constants!$H88)</f>
        <v>52312574.239095598</v>
      </c>
      <c r="M73" s="22">
        <f>M12*Constants!$H70*(1-Constants!$H88)</f>
        <v>51563835.216680013</v>
      </c>
      <c r="N73" s="22">
        <f>N12*Constants!$H70*(1-Constants!$H88)</f>
        <v>51735842.829937644</v>
      </c>
      <c r="O73" s="22">
        <f>O12*Constants!$H70*(1-Constants!$H88)</f>
        <v>50610710.677334763</v>
      </c>
      <c r="P73" s="22">
        <f>P12*Constants!$H70*(1-Constants!$H88)</f>
        <v>50750340.386920534</v>
      </c>
      <c r="Q73" s="22">
        <f>Q12*Constants!$H70*(1-Constants!$H88)</f>
        <v>49503791.095547549</v>
      </c>
      <c r="R73" s="22">
        <f>R12*Constants!$H70*(1-Constants!$H88)</f>
        <v>47729077.250524655</v>
      </c>
      <c r="S73" s="22">
        <f>S12*Constants!$H70*(1-Constants!$H88)</f>
        <v>46539189.29057771</v>
      </c>
      <c r="T73" s="22">
        <f>T12*Constants!$H70*(1-Constants!$H88)</f>
        <v>45762119.602449097</v>
      </c>
      <c r="U73" s="22">
        <f>U12*Constants!$H70*(1-Constants!$H88)</f>
        <v>45921985.501829728</v>
      </c>
      <c r="V73" s="22">
        <f>V12*Constants!$H70*(1-Constants!$H88)</f>
        <v>45104443.434111074</v>
      </c>
      <c r="W73" s="22">
        <f>W12*Constants!$H70*(1-Constants!$H88)</f>
        <v>44997191.628197499</v>
      </c>
      <c r="X73" s="22">
        <f>X12*Constants!$H70*(1-Constants!$H88)</f>
        <v>44408318.50516253</v>
      </c>
      <c r="Y73" s="22">
        <f>Y12*Constants!$H70*(1-Constants!$H88)</f>
        <v>44365822.506592996</v>
      </c>
      <c r="Z73" s="22">
        <f>Z12*Constants!$H70*(1-Constants!$H88)</f>
        <v>44509499.454137608</v>
      </c>
      <c r="AA73" s="22">
        <f>AA12*Constants!$H70*(1-Constants!$H88)</f>
        <v>44351657.173736483</v>
      </c>
      <c r="AB73" s="22">
        <f>AB12*Constants!$H70*(1-Constants!$H88)</f>
        <v>43493642.726427816</v>
      </c>
      <c r="AC73" s="22">
        <f>AC12*Constants!$H70*(1-Constants!$H88)</f>
        <v>43153674.737871543</v>
      </c>
      <c r="AD73" s="22">
        <f>AD12*Constants!$H70*(1-Constants!$H88)</f>
        <v>41205574.635263316</v>
      </c>
      <c r="AE73" s="22">
        <f>AE12*Constants!$H70*(1-Constants!$H88)</f>
        <v>41228743.034682475</v>
      </c>
      <c r="AF73" s="22">
        <f>AF12*Constants!$H70*(1-Constants!$H88)</f>
        <v>41279366.687478572</v>
      </c>
      <c r="AG73" s="22">
        <f>AG12*Constants!$H70*(1-Constants!$H88)</f>
        <v>41356092.857198656</v>
      </c>
      <c r="AH73" s="22">
        <f>AH12*Constants!$H70*(1-Constants!$H88)</f>
        <v>41458159.068109266</v>
      </c>
      <c r="AI73" s="22">
        <f>AI12*Constants!$H70*(1-Constants!$H88)</f>
        <v>41586425.340585455</v>
      </c>
      <c r="AJ73" s="22">
        <f>AJ12*Constants!$H70*(1-Constants!$H88)</f>
        <v>41729514.899972871</v>
      </c>
      <c r="AK73" s="22">
        <f>AK12*Constants!$H70*(1-Constants!$H88)</f>
        <v>41887034.090688407</v>
      </c>
      <c r="AL73" s="22">
        <f>AL12*Constants!$H70*(1-Constants!$H88)</f>
        <v>42032253.046693727</v>
      </c>
      <c r="AM73" s="22">
        <f>AM12*Constants!$H70*(1-Constants!$H88)</f>
        <v>42141330.182284579</v>
      </c>
      <c r="AN73" s="22">
        <f>AN12*Constants!$H70*(1-Constants!$H88)</f>
        <v>42235908.235818669</v>
      </c>
      <c r="AO73" s="22">
        <f>AO12*Constants!$H70*(1-Constants!$H88)</f>
        <v>42315404.905867688</v>
      </c>
      <c r="AP73" s="22">
        <f>AP12*Constants!$H70*(1-Constants!$H88)</f>
        <v>42395225.304577857</v>
      </c>
      <c r="AQ73" s="22">
        <f>AQ12*Constants!$H70*(1-Constants!$H88)</f>
        <v>42474239.114921063</v>
      </c>
      <c r="AR73" s="22">
        <f>AR12*Constants!$H70*(1-Constants!$H88)</f>
        <v>42552871.623672567</v>
      </c>
      <c r="AS73" s="22">
        <f>AS12*Constants!$H70*(1-Constants!$H88)</f>
        <v>42629889.496918634</v>
      </c>
      <c r="AT73" s="22">
        <f>AT12*Constants!$H70*(1-Constants!$H88)</f>
        <v>42704923.879189201</v>
      </c>
      <c r="AU73" s="22">
        <f>AU12*Constants!$H70*(1-Constants!$H88)</f>
        <v>42779382.353323437</v>
      </c>
      <c r="AV73" s="22">
        <f>AV12*Constants!$H70*(1-Constants!$H88)</f>
        <v>42851369.459899455</v>
      </c>
      <c r="AW73" s="22">
        <f>AW12*Constants!$H70*(1-Constants!$H88)</f>
        <v>42923497.854803622</v>
      </c>
      <c r="AX73" s="22">
        <f>AX12*Constants!$H70*(1-Constants!$H88)</f>
        <v>42993835.951168917</v>
      </c>
      <c r="AY73" s="22">
        <f>AY12*Constants!$H70*(1-Constants!$H88)</f>
        <v>43062108.098090723</v>
      </c>
      <c r="AZ73" s="22">
        <f>AZ12*Constants!$H70*(1-Constants!$H88)</f>
        <v>43127985.610005438</v>
      </c>
      <c r="BA73" s="22">
        <f>BA12*Constants!$H70*(1-Constants!$H88)</f>
        <v>43192023.322883047</v>
      </c>
      <c r="BB73" s="22">
        <f>BB12*Constants!$H70*(1-Constants!$H88)</f>
        <v>43253964.825642407</v>
      </c>
      <c r="BC73" s="22">
        <f>BC12*Constants!$H70*(1-Constants!$H88)</f>
        <v>43313397.039200187</v>
      </c>
      <c r="BD73" s="22">
        <f>BD12*Constants!$H70*(1-Constants!$H88)</f>
        <v>43369651.055953935</v>
      </c>
      <c r="BE73" s="22">
        <f>BE12*Constants!$H70*(1-Constants!$H88)</f>
        <v>43423551.311676174</v>
      </c>
      <c r="BF73" s="22">
        <f>BF12*Constants!$H70*(1-Constants!$H88)</f>
        <v>43475155.650873348</v>
      </c>
      <c r="BG73" s="22">
        <f>BG12*Constants!$H70*(1-Constants!$H88)</f>
        <v>43524148.507139124</v>
      </c>
      <c r="BH73" s="22">
        <f>BH12*Constants!$H70*(1-Constants!$H88)</f>
        <v>43570308.741256885</v>
      </c>
      <c r="BI73" s="22">
        <f>BI12*Constants!$H70*(1-Constants!$H88)</f>
        <v>43613481.524727724</v>
      </c>
      <c r="BJ73" s="22">
        <f>BJ12*Constants!$H70*(1-Constants!$H88)</f>
        <v>43653531.833939388</v>
      </c>
      <c r="BK73" s="22">
        <f>BK12*Constants!$H70*(1-Constants!$H88)</f>
        <v>43690410.840759613</v>
      </c>
      <c r="BL73" s="22">
        <f>BL12*Constants!$H70*(1-Constants!$H88)</f>
        <v>43722687.226692967</v>
      </c>
      <c r="BM73" s="22">
        <f>BM12*Constants!$H70*(1-Constants!$H88)</f>
        <v>43751458.146920867</v>
      </c>
      <c r="BN73" s="22">
        <f>BN12*Constants!$H70*(1-Constants!$H88)</f>
        <v>43776691.808886915</v>
      </c>
      <c r="BO73" s="22">
        <f>BO12*Constants!$H70*(1-Constants!$H88)</f>
        <v>43798235.294024415</v>
      </c>
      <c r="BP73" s="22">
        <f>BP12*Constants!$H70*(1-Constants!$H88)</f>
        <v>43816277.639422312</v>
      </c>
    </row>
    <row r="74" spans="1:68" x14ac:dyDescent="0.25">
      <c r="A74" t="str">
        <f t="shared" si="25"/>
        <v>3C Aggregated and non-CO2 emissions on land</v>
      </c>
      <c r="B74" t="str">
        <f t="shared" si="26"/>
        <v>3C4 Direct N2O from managed soils (N2O)</v>
      </c>
      <c r="C74" t="s">
        <v>410</v>
      </c>
      <c r="D74" t="str">
        <f t="shared" si="27"/>
        <v xml:space="preserve"> - Commercial goats</v>
      </c>
      <c r="E74" t="str">
        <f t="shared" si="28"/>
        <v>Urine &amp; dung - Commercial goats</v>
      </c>
      <c r="F74" t="str">
        <f t="shared" si="29"/>
        <v>kg N</v>
      </c>
      <c r="H74" s="22">
        <f>H13*Constants!$H71*(1-Constants!$H89)</f>
        <v>61206867.799308397</v>
      </c>
      <c r="I74" s="22">
        <f>I13*Constants!$H71*(1-Constants!$H89)</f>
        <v>54124169.686987571</v>
      </c>
      <c r="J74" s="22">
        <f>J13*Constants!$H71*(1-Constants!$H89)</f>
        <v>50417337.030071966</v>
      </c>
      <c r="K74" s="22">
        <f>K13*Constants!$H71*(1-Constants!$H89)</f>
        <v>47637212.537385285</v>
      </c>
      <c r="L74" s="22">
        <f>L13*Constants!$H71*(1-Constants!$H89)</f>
        <v>51564689.995307736</v>
      </c>
      <c r="M74" s="22">
        <f>M13*Constants!$H71*(1-Constants!$H89)</f>
        <v>52270753.358529769</v>
      </c>
      <c r="N74" s="22">
        <f>N13*Constants!$H71*(1-Constants!$H89)</f>
        <v>53087139.122255206</v>
      </c>
      <c r="O74" s="22">
        <f>O13*Constants!$H71*(1-Constants!$H89)</f>
        <v>52822365.361046962</v>
      </c>
      <c r="P74" s="22">
        <f>P13*Constants!$H71*(1-Constants!$H89)</f>
        <v>52072173.037623577</v>
      </c>
      <c r="Q74" s="22">
        <f>Q13*Constants!$H71*(1-Constants!$H89)</f>
        <v>51299916.234099507</v>
      </c>
      <c r="R74" s="22">
        <f>R13*Constants!$H71*(1-Constants!$H89)</f>
        <v>51961850.637120128</v>
      </c>
      <c r="S74" s="22">
        <f>S13*Constants!$H71*(1-Constants!$H89)</f>
        <v>53550493.204369679</v>
      </c>
      <c r="T74" s="22">
        <f>T13*Constants!$H71*(1-Constants!$H89)</f>
        <v>48894887.903124519</v>
      </c>
      <c r="U74" s="22">
        <f>U13*Constants!$H71*(1-Constants!$H89)</f>
        <v>47659277.017485984</v>
      </c>
      <c r="V74" s="22">
        <f>V13*Constants!$H71*(1-Constants!$H89)</f>
        <v>47747534.937888749</v>
      </c>
      <c r="W74" s="22">
        <f>W13*Constants!$H71*(1-Constants!$H89)</f>
        <v>47129729.495069467</v>
      </c>
      <c r="X74" s="22">
        <f>X13*Constants!$H71*(1-Constants!$H89)</f>
        <v>48122631.099600427</v>
      </c>
      <c r="Y74" s="22">
        <f>Y13*Constants!$H71*(1-Constants!$H89)</f>
        <v>46688439.893055715</v>
      </c>
      <c r="Z74" s="22">
        <f>Z13*Constants!$H71*(1-Constants!$H89)</f>
        <v>46644310.932854347</v>
      </c>
      <c r="AA74" s="22">
        <f>AA13*Constants!$H71*(1-Constants!$H89)</f>
        <v>45827925.16912888</v>
      </c>
      <c r="AB74" s="22">
        <f>AB13*Constants!$H71*(1-Constants!$H89)</f>
        <v>45276313.166611686</v>
      </c>
      <c r="AC74" s="22">
        <f>AC13*Constants!$H71*(1-Constants!$H89)</f>
        <v>44857088.044698618</v>
      </c>
      <c r="AD74" s="22">
        <f>AD13*Constants!$H71*(1-Constants!$H89)</f>
        <v>45628308.391563818</v>
      </c>
      <c r="AE74" s="22">
        <f>AE13*Constants!$H71*(1-Constants!$H89)</f>
        <v>45748493.826083556</v>
      </c>
      <c r="AF74" s="22">
        <f>AF13*Constants!$H71*(1-Constants!$H89)</f>
        <v>45907503.383737214</v>
      </c>
      <c r="AG74" s="22">
        <f>AG13*Constants!$H71*(1-Constants!$H89)</f>
        <v>46103692.289399281</v>
      </c>
      <c r="AH74" s="22">
        <f>AH13*Constants!$H71*(1-Constants!$H89)</f>
        <v>46336304.341675237</v>
      </c>
      <c r="AI74" s="22">
        <f>AI13*Constants!$H71*(1-Constants!$H89)</f>
        <v>46607278.186159663</v>
      </c>
      <c r="AJ74" s="22">
        <f>AJ13*Constants!$H71*(1-Constants!$H89)</f>
        <v>46897313.198695771</v>
      </c>
      <c r="AK74" s="22">
        <f>AK13*Constants!$H71*(1-Constants!$H89)</f>
        <v>47206149.325923555</v>
      </c>
      <c r="AL74" s="22">
        <f>AL13*Constants!$H71*(1-Constants!$H89)</f>
        <v>47488249.970379606</v>
      </c>
      <c r="AM74" s="22">
        <f>AM13*Constants!$H71*(1-Constants!$H89)</f>
        <v>47703439.478401169</v>
      </c>
      <c r="AN74" s="22">
        <f>AN13*Constants!$H71*(1-Constants!$H89)</f>
        <v>47889564.341380611</v>
      </c>
      <c r="AO74" s="22">
        <f>AO13*Constants!$H71*(1-Constants!$H89)</f>
        <v>48046166.357444011</v>
      </c>
      <c r="AP74" s="22">
        <f>AP13*Constants!$H71*(1-Constants!$H89)</f>
        <v>48199916.636266969</v>
      </c>
      <c r="AQ74" s="22">
        <f>AQ13*Constants!$H71*(1-Constants!$H89)</f>
        <v>48349159.137339801</v>
      </c>
      <c r="AR74" s="22">
        <f>AR13*Constants!$H71*(1-Constants!$H89)</f>
        <v>48494857.616393551</v>
      </c>
      <c r="AS74" s="22">
        <f>AS13*Constants!$H71*(1-Constants!$H89)</f>
        <v>48635144.00416442</v>
      </c>
      <c r="AT74" s="22">
        <f>AT13*Constants!$H71*(1-Constants!$H89)</f>
        <v>48769602.363104708</v>
      </c>
      <c r="AU74" s="22">
        <f>AU13*Constants!$H71*(1-Constants!$H89)</f>
        <v>48900787.690299831</v>
      </c>
      <c r="AV74" s="22">
        <f>AV13*Constants!$H71*(1-Constants!$H89)</f>
        <v>49025678.407753587</v>
      </c>
      <c r="AW74" s="22">
        <f>AW13*Constants!$H71*(1-Constants!$H89)</f>
        <v>49148808.983017892</v>
      </c>
      <c r="AX74" s="22">
        <f>AX13*Constants!$H71*(1-Constants!$H89)</f>
        <v>49267075.238188937</v>
      </c>
      <c r="AY74" s="22">
        <f>AY13*Constants!$H71*(1-Constants!$H89)</f>
        <v>49380147.768903024</v>
      </c>
      <c r="AZ74" s="22">
        <f>AZ13*Constants!$H71*(1-Constants!$H89)</f>
        <v>49487602.020630561</v>
      </c>
      <c r="BA74" s="22">
        <f>BA13*Constants!$H71*(1-Constants!$H89)</f>
        <v>49590475.071235731</v>
      </c>
      <c r="BB74" s="22">
        <f>BB13*Constants!$H71*(1-Constants!$H89)</f>
        <v>49688444.072295822</v>
      </c>
      <c r="BC74" s="22">
        <f>BC13*Constants!$H71*(1-Constants!$H89)</f>
        <v>49780922.70843447</v>
      </c>
      <c r="BD74" s="22">
        <f>BD13*Constants!$H71*(1-Constants!$H89)</f>
        <v>49866900.501901567</v>
      </c>
      <c r="BE74" s="22">
        <f>BE13*Constants!$H71*(1-Constants!$H89)</f>
        <v>49947829.691999912</v>
      </c>
      <c r="BF74" s="22">
        <f>BF13*Constants!$H71*(1-Constants!$H89)</f>
        <v>50023885.850346774</v>
      </c>
      <c r="BG74" s="22">
        <f>BG13*Constants!$H71*(1-Constants!$H89)</f>
        <v>50094625.584912725</v>
      </c>
      <c r="BH74" s="22">
        <f>BH13*Constants!$H71*(1-Constants!$H89)</f>
        <v>50159759.276156135</v>
      </c>
      <c r="BI74" s="22">
        <f>BI13*Constants!$H71*(1-Constants!$H89)</f>
        <v>50219104.013971783</v>
      </c>
      <c r="BJ74" s="22">
        <f>BJ13*Constants!$H71*(1-Constants!$H89)</f>
        <v>50272506.984159686</v>
      </c>
      <c r="BK74" s="22">
        <f>BK13*Constants!$H71*(1-Constants!$H89)</f>
        <v>50319953.750123464</v>
      </c>
      <c r="BL74" s="22">
        <f>BL13*Constants!$H71*(1-Constants!$H89)</f>
        <v>50359175.988100827</v>
      </c>
      <c r="BM74" s="22">
        <f>BM13*Constants!$H71*(1-Constants!$H89)</f>
        <v>50392027.66555766</v>
      </c>
      <c r="BN74" s="22">
        <f>BN13*Constants!$H71*(1-Constants!$H89)</f>
        <v>50418515.811534777</v>
      </c>
      <c r="BO74" s="22">
        <f>BO13*Constants!$H71*(1-Constants!$H89)</f>
        <v>50438448.78244102</v>
      </c>
      <c r="BP74" s="22">
        <f>BP13*Constants!$H71*(1-Constants!$H89)</f>
        <v>50452187.174999297</v>
      </c>
    </row>
    <row r="75" spans="1:68" x14ac:dyDescent="0.25">
      <c r="A75" t="str">
        <f t="shared" si="25"/>
        <v>3C Aggregated and non-CO2 emissions on land</v>
      </c>
      <c r="B75" t="str">
        <f t="shared" si="26"/>
        <v>3C4 Direct N2O from managed soils (N2O)</v>
      </c>
      <c r="C75" t="s">
        <v>410</v>
      </c>
      <c r="D75" t="str">
        <f t="shared" si="27"/>
        <v xml:space="preserve"> - Subsistence goats</v>
      </c>
      <c r="E75" t="str">
        <f t="shared" si="28"/>
        <v>Urine &amp; dung - Subsistence goats</v>
      </c>
      <c r="F75" t="str">
        <f t="shared" si="29"/>
        <v>kg N</v>
      </c>
      <c r="H75" s="22">
        <f>H14*Constants!$H72*(1-Constants!$H90)</f>
        <v>103073074.7293009</v>
      </c>
      <c r="I75" s="22">
        <f>I14*Constants!$H72*(1-Constants!$H90)</f>
        <v>91145729.023422912</v>
      </c>
      <c r="J75" s="22">
        <f>J14*Constants!$H72*(1-Constants!$H90)</f>
        <v>84903379.868944705</v>
      </c>
      <c r="K75" s="22">
        <f>K14*Constants!$H72*(1-Constants!$H90)</f>
        <v>80221618.003086045</v>
      </c>
      <c r="L75" s="22">
        <f>L14*Constants!$H72*(1-Constants!$H90)</f>
        <v>86835535.559616521</v>
      </c>
      <c r="M75" s="22">
        <f>M14*Constants!$H72*(1-Constants!$H90)</f>
        <v>88024554.446183816</v>
      </c>
      <c r="N75" s="22">
        <f>N14*Constants!$H72*(1-Constants!$H90)</f>
        <v>89399357.533777222</v>
      </c>
      <c r="O75" s="22">
        <f>O14*Constants!$H72*(1-Constants!$H90)</f>
        <v>88953475.451314494</v>
      </c>
      <c r="P75" s="22">
        <f>P14*Constants!$H72*(1-Constants!$H90)</f>
        <v>87690142.884336755</v>
      </c>
      <c r="Q75" s="22">
        <f>Q14*Constants!$H72*(1-Constants!$H90)</f>
        <v>86389653.477153808</v>
      </c>
      <c r="R75" s="22">
        <f>R14*Constants!$H72*(1-Constants!$H90)</f>
        <v>87504358.683310628</v>
      </c>
      <c r="S75" s="22">
        <f>S14*Constants!$H72*(1-Constants!$H90)</f>
        <v>90179651.178086996</v>
      </c>
      <c r="T75" s="22">
        <f>T14*Constants!$H72*(1-Constants!$H90)</f>
        <v>82339557.894784003</v>
      </c>
      <c r="U75" s="22">
        <f>U14*Constants!$H72*(1-Constants!$H90)</f>
        <v>80258774.843291268</v>
      </c>
      <c r="V75" s="22">
        <f>V14*Constants!$H72*(1-Constants!$H90)</f>
        <v>80407402.204112172</v>
      </c>
      <c r="W75" s="22">
        <f>W14*Constants!$H72*(1-Constants!$H90)</f>
        <v>79367010.678365812</v>
      </c>
      <c r="X75" s="22">
        <f>X14*Constants!$H72*(1-Constants!$H90)</f>
        <v>81039068.487601057</v>
      </c>
      <c r="Y75" s="22">
        <f>Y14*Constants!$H72*(1-Constants!$H90)</f>
        <v>78623873.874261275</v>
      </c>
      <c r="Z75" s="22">
        <f>Z14*Constants!$H72*(1-Constants!$H90)</f>
        <v>78549560.1938508</v>
      </c>
      <c r="AA75" s="22">
        <f>AA14*Constants!$H72*(1-Constants!$H90)</f>
        <v>77174757.106257394</v>
      </c>
      <c r="AB75" s="22">
        <f>AB14*Constants!$H72*(1-Constants!$H90)</f>
        <v>76245836.101126716</v>
      </c>
      <c r="AC75" s="22">
        <f>AC14*Constants!$H72*(1-Constants!$H90)</f>
        <v>75539856.137227386</v>
      </c>
      <c r="AD75" s="22">
        <f>AD14*Constants!$H72*(1-Constants!$H90)</f>
        <v>75513923.557383135</v>
      </c>
      <c r="AE75" s="22">
        <f>AE14*Constants!$H72*(1-Constants!$H90)</f>
        <v>75712828.010231808</v>
      </c>
      <c r="AF75" s="22">
        <f>AF14*Constants!$H72*(1-Constants!$H90)</f>
        <v>75975985.598247305</v>
      </c>
      <c r="AG75" s="22">
        <f>AG14*Constants!$H72*(1-Constants!$H90)</f>
        <v>76300674.252006635</v>
      </c>
      <c r="AH75" s="22">
        <f>AH14*Constants!$H72*(1-Constants!$H90)</f>
        <v>76685642.473562241</v>
      </c>
      <c r="AI75" s="22">
        <f>AI14*Constants!$H72*(1-Constants!$H90)</f>
        <v>77134098.681994259</v>
      </c>
      <c r="AJ75" s="22">
        <f>AJ14*Constants!$H72*(1-Constants!$H90)</f>
        <v>77614100.736369476</v>
      </c>
      <c r="AK75" s="22">
        <f>AK14*Constants!$H72*(1-Constants!$H90)</f>
        <v>78125218.253659457</v>
      </c>
      <c r="AL75" s="22">
        <f>AL14*Constants!$H72*(1-Constants!$H90)</f>
        <v>78592089.09003</v>
      </c>
      <c r="AM75" s="22">
        <f>AM14*Constants!$H72*(1-Constants!$H90)</f>
        <v>78948223.354742199</v>
      </c>
      <c r="AN75" s="22">
        <f>AN14*Constants!$H72*(1-Constants!$H90)</f>
        <v>79256256.222288892</v>
      </c>
      <c r="AO75" s="22">
        <f>AO14*Constants!$H72*(1-Constants!$H90)</f>
        <v>79515429.377875999</v>
      </c>
      <c r="AP75" s="22">
        <f>AP14*Constants!$H72*(1-Constants!$H90)</f>
        <v>79769882.966256469</v>
      </c>
      <c r="AQ75" s="22">
        <f>AQ14*Constants!$H72*(1-Constants!$H90)</f>
        <v>80016876.274025247</v>
      </c>
      <c r="AR75" s="22">
        <f>AR14*Constants!$H72*(1-Constants!$H90)</f>
        <v>80258004.29734084</v>
      </c>
      <c r="AS75" s="22">
        <f>AS14*Constants!$H72*(1-Constants!$H90)</f>
        <v>80490175.419517025</v>
      </c>
      <c r="AT75" s="22">
        <f>AT14*Constants!$H72*(1-Constants!$H90)</f>
        <v>80712701.272361159</v>
      </c>
      <c r="AU75" s="22">
        <f>AU14*Constants!$H72*(1-Constants!$H90)</f>
        <v>80929810.32415092</v>
      </c>
      <c r="AV75" s="22">
        <f>AV14*Constants!$H72*(1-Constants!$H90)</f>
        <v>81136501.924678758</v>
      </c>
      <c r="AW75" s="22">
        <f>AW14*Constants!$H72*(1-Constants!$H90)</f>
        <v>81340280.525636137</v>
      </c>
      <c r="AX75" s="22">
        <f>AX14*Constants!$H72*(1-Constants!$H90)</f>
        <v>81536008.775646299</v>
      </c>
      <c r="AY75" s="22">
        <f>AY14*Constants!$H72*(1-Constants!$H90)</f>
        <v>81723141.517178357</v>
      </c>
      <c r="AZ75" s="22">
        <f>AZ14*Constants!$H72*(1-Constants!$H90)</f>
        <v>81900976.121109635</v>
      </c>
      <c r="BA75" s="22">
        <f>BA14*Constants!$H72*(1-Constants!$H90)</f>
        <v>82071228.930239648</v>
      </c>
      <c r="BB75" s="22">
        <f>BB14*Constants!$H72*(1-Constants!$H90)</f>
        <v>82233365.636986643</v>
      </c>
      <c r="BC75" s="22">
        <f>BC14*Constants!$H72*(1-Constants!$H90)</f>
        <v>82386415.901312381</v>
      </c>
      <c r="BD75" s="22">
        <f>BD14*Constants!$H72*(1-Constants!$H90)</f>
        <v>82528707.40306586</v>
      </c>
      <c r="BE75" s="22">
        <f>BE14*Constants!$H72*(1-Constants!$H90)</f>
        <v>82662643.568794459</v>
      </c>
      <c r="BF75" s="22">
        <f>BF14*Constants!$H72*(1-Constants!$H90)</f>
        <v>82788514.965958387</v>
      </c>
      <c r="BG75" s="22">
        <f>BG14*Constants!$H72*(1-Constants!$H90)</f>
        <v>82905587.789755434</v>
      </c>
      <c r="BH75" s="22">
        <f>BH14*Constants!$H72*(1-Constants!$H90)</f>
        <v>83013382.725727111</v>
      </c>
      <c r="BI75" s="22">
        <f>BI14*Constants!$H72*(1-Constants!$H90)</f>
        <v>83111597.061364695</v>
      </c>
      <c r="BJ75" s="22">
        <f>BJ14*Constants!$H72*(1-Constants!$H90)</f>
        <v>83199977.89227125</v>
      </c>
      <c r="BK75" s="22">
        <f>BK14*Constants!$H72*(1-Constants!$H90)</f>
        <v>83278501.326172993</v>
      </c>
      <c r="BL75" s="22">
        <f>BL14*Constants!$H72*(1-Constants!$H90)</f>
        <v>83343413.333318964</v>
      </c>
      <c r="BM75" s="22">
        <f>BM14*Constants!$H72*(1-Constants!$H90)</f>
        <v>83397782.192206249</v>
      </c>
      <c r="BN75" s="22">
        <f>BN14*Constants!$H72*(1-Constants!$H90)</f>
        <v>83441619.535754651</v>
      </c>
      <c r="BO75" s="22">
        <f>BO14*Constants!$H72*(1-Constants!$H90)</f>
        <v>83474608.197713539</v>
      </c>
      <c r="BP75" s="22">
        <f>BP14*Constants!$H72*(1-Constants!$H90)</f>
        <v>83497344.958334714</v>
      </c>
    </row>
    <row r="76" spans="1:68" x14ac:dyDescent="0.25">
      <c r="A76" t="str">
        <f t="shared" si="25"/>
        <v>3C Aggregated and non-CO2 emissions on land</v>
      </c>
      <c r="B76" t="str">
        <f t="shared" si="26"/>
        <v>3C4 Direct N2O from managed soils (N2O)</v>
      </c>
      <c r="C76" t="s">
        <v>410</v>
      </c>
      <c r="D76" t="str">
        <f t="shared" si="27"/>
        <v xml:space="preserve"> - Horses</v>
      </c>
      <c r="E76" t="str">
        <f t="shared" si="28"/>
        <v>Urine &amp; dung - Horses</v>
      </c>
      <c r="F76" t="str">
        <f t="shared" si="29"/>
        <v>kg N</v>
      </c>
      <c r="H76" s="22">
        <f>H15*Constants!$H73*(1-Constants!$H91)</f>
        <v>9085000</v>
      </c>
      <c r="I76" s="22">
        <f>I15*Constants!$H73*(1-Constants!$H91)</f>
        <v>9085000</v>
      </c>
      <c r="J76" s="22">
        <f>J15*Constants!$H73*(1-Constants!$H91)</f>
        <v>9085000</v>
      </c>
      <c r="K76" s="22">
        <f>K15*Constants!$H73*(1-Constants!$H91)</f>
        <v>9282500</v>
      </c>
      <c r="L76" s="22">
        <f>L15*Constants!$H73*(1-Constants!$H91)</f>
        <v>9480000</v>
      </c>
      <c r="M76" s="22">
        <f>M15*Constants!$H73*(1-Constants!$H91)</f>
        <v>9677500</v>
      </c>
      <c r="N76" s="22">
        <f>N15*Constants!$H73*(1-Constants!$H91)</f>
        <v>9875000</v>
      </c>
      <c r="O76" s="22">
        <f>O15*Constants!$H73*(1-Constants!$H91)</f>
        <v>10072500</v>
      </c>
      <c r="P76" s="22">
        <f>P15*Constants!$H73*(1-Constants!$H91)</f>
        <v>10270000</v>
      </c>
      <c r="Q76" s="22">
        <f>Q15*Constants!$H73*(1-Constants!$H91)</f>
        <v>10191000</v>
      </c>
      <c r="R76" s="22">
        <f>R15*Constants!$H73*(1-Constants!$H91)</f>
        <v>10665000</v>
      </c>
      <c r="S76" s="22">
        <f>S15*Constants!$H73*(1-Constants!$H91)</f>
        <v>10665000</v>
      </c>
      <c r="T76" s="22">
        <f>T15*Constants!$H73*(1-Constants!$H91)</f>
        <v>10665000</v>
      </c>
      <c r="U76" s="22">
        <f>U15*Constants!$H73*(1-Constants!$H91)</f>
        <v>10665000</v>
      </c>
      <c r="V76" s="22">
        <f>V15*Constants!$H73*(1-Constants!$H91)</f>
        <v>10665000</v>
      </c>
      <c r="W76" s="22">
        <f>W15*Constants!$H73*(1-Constants!$H91)</f>
        <v>10665000</v>
      </c>
      <c r="X76" s="22">
        <f>X15*Constants!$H73*(1-Constants!$H91)</f>
        <v>11060000</v>
      </c>
      <c r="Y76" s="22">
        <f>Y15*Constants!$H73*(1-Constants!$H91)</f>
        <v>11455000</v>
      </c>
      <c r="Z76" s="22">
        <f>Z15*Constants!$H73*(1-Constants!$H91)</f>
        <v>11771000</v>
      </c>
      <c r="AA76" s="22">
        <f>AA15*Constants!$H73*(1-Constants!$H91)</f>
        <v>11850000</v>
      </c>
      <c r="AB76" s="22">
        <f>AB15*Constants!$H73*(1-Constants!$H91)</f>
        <v>11850000</v>
      </c>
      <c r="AC76" s="22">
        <f>AC15*Constants!$H73*(1-Constants!$H91)</f>
        <v>12047500</v>
      </c>
      <c r="AD76" s="22">
        <f>AD15*Constants!$H73*(1-Constants!$H91)</f>
        <v>12207702.720463309</v>
      </c>
      <c r="AE76" s="22">
        <f>AE15*Constants!$H73*(1-Constants!$H91)</f>
        <v>12299817.392010299</v>
      </c>
      <c r="AF76" s="22">
        <f>AF15*Constants!$H73*(1-Constants!$H91)</f>
        <v>12324549.03794004</v>
      </c>
      <c r="AG76" s="22">
        <f>AG15*Constants!$H73*(1-Constants!$H91)</f>
        <v>12294880.787340369</v>
      </c>
      <c r="AH76" s="22">
        <f>AH15*Constants!$H73*(1-Constants!$H91)</f>
        <v>12229721.556434898</v>
      </c>
      <c r="AI76" s="22">
        <f>AI15*Constants!$H73*(1-Constants!$H91)</f>
        <v>12184430.877781376</v>
      </c>
      <c r="AJ76" s="22">
        <f>AJ15*Constants!$H73*(1-Constants!$H91)</f>
        <v>12152364.955538422</v>
      </c>
      <c r="AK76" s="22">
        <f>AK15*Constants!$H73*(1-Constants!$H91)</f>
        <v>12116186.369575145</v>
      </c>
      <c r="AL76" s="22">
        <f>AL15*Constants!$H73*(1-Constants!$H91)</f>
        <v>11371809.387208089</v>
      </c>
      <c r="AM76" s="22">
        <f>AM15*Constants!$H73*(1-Constants!$H91)</f>
        <v>11438499.02970602</v>
      </c>
      <c r="AN76" s="22">
        <f>AN15*Constants!$H73*(1-Constants!$H91)</f>
        <v>11510449.943065505</v>
      </c>
      <c r="AO76" s="22">
        <f>AO15*Constants!$H73*(1-Constants!$H91)</f>
        <v>11602175.354863469</v>
      </c>
      <c r="AP76" s="22">
        <f>AP15*Constants!$H73*(1-Constants!$H91)</f>
        <v>11704230.898609705</v>
      </c>
      <c r="AQ76" s="22">
        <f>AQ15*Constants!$H73*(1-Constants!$H91)</f>
        <v>11803878.509387489</v>
      </c>
      <c r="AR76" s="22">
        <f>AR15*Constants!$H73*(1-Constants!$H91)</f>
        <v>11928081.834303573</v>
      </c>
      <c r="AS76" s="22">
        <f>AS15*Constants!$H73*(1-Constants!$H91)</f>
        <v>12058694.271465361</v>
      </c>
      <c r="AT76" s="22">
        <f>AT15*Constants!$H73*(1-Constants!$H91)</f>
        <v>12199332.18152524</v>
      </c>
      <c r="AU76" s="22">
        <f>AU15*Constants!$H73*(1-Constants!$H91)</f>
        <v>12345520.332637832</v>
      </c>
      <c r="AV76" s="22">
        <f>AV15*Constants!$H73*(1-Constants!$H91)</f>
        <v>12458944.523211703</v>
      </c>
      <c r="AW76" s="22">
        <f>AW15*Constants!$H73*(1-Constants!$H91)</f>
        <v>12616893.962472867</v>
      </c>
      <c r="AX76" s="22">
        <f>AX15*Constants!$H73*(1-Constants!$H91)</f>
        <v>12778589.375828609</v>
      </c>
      <c r="AY76" s="22">
        <f>AY15*Constants!$H73*(1-Constants!$H91)</f>
        <v>12945498.006954905</v>
      </c>
      <c r="AZ76" s="22">
        <f>AZ15*Constants!$H73*(1-Constants!$H91)</f>
        <v>13102380.427811436</v>
      </c>
      <c r="BA76" s="22">
        <f>BA15*Constants!$H73*(1-Constants!$H91)</f>
        <v>13270631.545260366</v>
      </c>
      <c r="BB76" s="22">
        <f>BB15*Constants!$H73*(1-Constants!$H91)</f>
        <v>13450491.856551602</v>
      </c>
      <c r="BC76" s="22">
        <f>BC15*Constants!$H73*(1-Constants!$H91)</f>
        <v>13637887.914013715</v>
      </c>
      <c r="BD76" s="22">
        <f>BD15*Constants!$H73*(1-Constants!$H91)</f>
        <v>13822056.720428342</v>
      </c>
      <c r="BE76" s="22">
        <f>BE15*Constants!$H73*(1-Constants!$H91)</f>
        <v>14013812.046587119</v>
      </c>
      <c r="BF76" s="22">
        <f>BF15*Constants!$H73*(1-Constants!$H91)</f>
        <v>14219705.781099515</v>
      </c>
      <c r="BG76" s="22">
        <f>BG15*Constants!$H73*(1-Constants!$H91)</f>
        <v>14436696.698338635</v>
      </c>
      <c r="BH76" s="22">
        <f>BH15*Constants!$H73*(1-Constants!$H91)</f>
        <v>14663859.789034471</v>
      </c>
      <c r="BI76" s="22">
        <f>BI15*Constants!$H73*(1-Constants!$H91)</f>
        <v>14901677.7130564</v>
      </c>
      <c r="BJ76" s="22">
        <f>BJ15*Constants!$H73*(1-Constants!$H91)</f>
        <v>15150271.624588137</v>
      </c>
      <c r="BK76" s="22">
        <f>BK15*Constants!$H73*(1-Constants!$H91)</f>
        <v>15412280.970825963</v>
      </c>
      <c r="BL76" s="22">
        <f>BL15*Constants!$H73*(1-Constants!$H91)</f>
        <v>15656311.33594765</v>
      </c>
      <c r="BM76" s="22">
        <f>BM15*Constants!$H73*(1-Constants!$H91)</f>
        <v>15912752.066942252</v>
      </c>
      <c r="BN76" s="22">
        <f>BN15*Constants!$H73*(1-Constants!$H91)</f>
        <v>16184059.118861673</v>
      </c>
      <c r="BO76" s="22">
        <f>BO15*Constants!$H73*(1-Constants!$H91)</f>
        <v>16471591.081840731</v>
      </c>
      <c r="BP76" s="22">
        <f>BP15*Constants!$H73*(1-Constants!$H91)</f>
        <v>16782825.631211624</v>
      </c>
    </row>
    <row r="77" spans="1:68" x14ac:dyDescent="0.25">
      <c r="A77" t="str">
        <f t="shared" si="25"/>
        <v>3C Aggregated and non-CO2 emissions on land</v>
      </c>
      <c r="B77" t="str">
        <f t="shared" si="26"/>
        <v>3C4 Direct N2O from managed soils (N2O)</v>
      </c>
      <c r="C77" t="s">
        <v>410</v>
      </c>
      <c r="D77" t="str">
        <f t="shared" si="27"/>
        <v xml:space="preserve"> - Mules &amp; Asses</v>
      </c>
      <c r="E77" t="str">
        <f t="shared" si="28"/>
        <v>Urine &amp; dung - Mules &amp; Asses</v>
      </c>
      <c r="F77" t="str">
        <f t="shared" si="29"/>
        <v>kg N</v>
      </c>
      <c r="H77" s="22">
        <f>H16*Constants!$H74*(1-Constants!$H92)</f>
        <v>2956800</v>
      </c>
      <c r="I77" s="22">
        <f>I16*Constants!$H74*(1-Constants!$H92)</f>
        <v>2956800</v>
      </c>
      <c r="J77" s="22">
        <f>J16*Constants!$H74*(1-Constants!$H92)</f>
        <v>2956800</v>
      </c>
      <c r="K77" s="22">
        <f>K16*Constants!$H74*(1-Constants!$H92)</f>
        <v>2956800</v>
      </c>
      <c r="L77" s="22">
        <f>L16*Constants!$H74*(1-Constants!$H92)</f>
        <v>2956800</v>
      </c>
      <c r="M77" s="22">
        <f>M16*Constants!$H74*(1-Constants!$H92)</f>
        <v>2956800</v>
      </c>
      <c r="N77" s="22">
        <f>N16*Constants!$H74*(1-Constants!$H92)</f>
        <v>2956800</v>
      </c>
      <c r="O77" s="22">
        <f>O16*Constants!$H74*(1-Constants!$H92)</f>
        <v>2956800</v>
      </c>
      <c r="P77" s="22">
        <f>P16*Constants!$H74*(1-Constants!$H92)</f>
        <v>2956800</v>
      </c>
      <c r="Q77" s="22">
        <f>Q16*Constants!$H74*(1-Constants!$H92)</f>
        <v>2956800</v>
      </c>
      <c r="R77" s="22">
        <f>R16*Constants!$H74*(1-Constants!$H92)</f>
        <v>2164800</v>
      </c>
      <c r="S77" s="22">
        <f>S16*Constants!$H74*(1-Constants!$H92)</f>
        <v>2164800</v>
      </c>
      <c r="T77" s="22">
        <f>T16*Constants!$H74*(1-Constants!$H92)</f>
        <v>2164800</v>
      </c>
      <c r="U77" s="22">
        <f>U16*Constants!$H74*(1-Constants!$H92)</f>
        <v>2164800</v>
      </c>
      <c r="V77" s="22">
        <f>V16*Constants!$H74*(1-Constants!$H92)</f>
        <v>2164800</v>
      </c>
      <c r="W77" s="22">
        <f>W16*Constants!$H74*(1-Constants!$H92)</f>
        <v>2164800</v>
      </c>
      <c r="X77" s="22">
        <f>X16*Constants!$H74*(1-Constants!$H92)</f>
        <v>2165460</v>
      </c>
      <c r="Y77" s="22">
        <f>Y16*Constants!$H74*(1-Constants!$H92)</f>
        <v>2172720</v>
      </c>
      <c r="Z77" s="22">
        <f>Z16*Constants!$H74*(1-Constants!$H92)</f>
        <v>2174040</v>
      </c>
      <c r="AA77" s="22">
        <f>AA16*Constants!$H74*(1-Constants!$H92)</f>
        <v>2175360</v>
      </c>
      <c r="AB77" s="22">
        <f>AB16*Constants!$H74*(1-Constants!$H92)</f>
        <v>2195160</v>
      </c>
      <c r="AC77" s="22">
        <f>AC16*Constants!$H74*(1-Constants!$H92)</f>
        <v>2204400</v>
      </c>
      <c r="AD77" s="22">
        <f>AD16*Constants!$H74*(1-Constants!$H92)</f>
        <v>2204400</v>
      </c>
      <c r="AE77" s="22">
        <f>AE16*Constants!$H74*(1-Constants!$H92)</f>
        <v>2204400</v>
      </c>
      <c r="AF77" s="22">
        <f>AF16*Constants!$H74*(1-Constants!$H92)</f>
        <v>2204400</v>
      </c>
      <c r="AG77" s="22">
        <f>AG16*Constants!$H74*(1-Constants!$H92)</f>
        <v>2204400</v>
      </c>
      <c r="AH77" s="22">
        <f>AH16*Constants!$H74*(1-Constants!$H92)</f>
        <v>2204400</v>
      </c>
      <c r="AI77" s="22">
        <f>AI16*Constants!$H74*(1-Constants!$H92)</f>
        <v>2204400</v>
      </c>
      <c r="AJ77" s="22">
        <f>AJ16*Constants!$H74*(1-Constants!$H92)</f>
        <v>2204400</v>
      </c>
      <c r="AK77" s="22">
        <f>AK16*Constants!$H74*(1-Constants!$H92)</f>
        <v>2204400</v>
      </c>
      <c r="AL77" s="22">
        <f>AL16*Constants!$H74*(1-Constants!$H92)</f>
        <v>2204400</v>
      </c>
      <c r="AM77" s="22">
        <f>AM16*Constants!$H74*(1-Constants!$H92)</f>
        <v>2204400</v>
      </c>
      <c r="AN77" s="22">
        <f>AN16*Constants!$H74*(1-Constants!$H92)</f>
        <v>2204400</v>
      </c>
      <c r="AO77" s="22">
        <f>AO16*Constants!$H74*(1-Constants!$H92)</f>
        <v>2204400</v>
      </c>
      <c r="AP77" s="22">
        <f>AP16*Constants!$H74*(1-Constants!$H92)</f>
        <v>2204400</v>
      </c>
      <c r="AQ77" s="22">
        <f>AQ16*Constants!$H74*(1-Constants!$H92)</f>
        <v>2204400</v>
      </c>
      <c r="AR77" s="22">
        <f>AR16*Constants!$H74*(1-Constants!$H92)</f>
        <v>2204400</v>
      </c>
      <c r="AS77" s="22">
        <f>AS16*Constants!$H74*(1-Constants!$H92)</f>
        <v>2204400</v>
      </c>
      <c r="AT77" s="22">
        <f>AT16*Constants!$H74*(1-Constants!$H92)</f>
        <v>2204400</v>
      </c>
      <c r="AU77" s="22">
        <f>AU16*Constants!$H74*(1-Constants!$H92)</f>
        <v>2204400</v>
      </c>
      <c r="AV77" s="22">
        <f>AV16*Constants!$H74*(1-Constants!$H92)</f>
        <v>2204400</v>
      </c>
      <c r="AW77" s="22">
        <f>AW16*Constants!$H74*(1-Constants!$H92)</f>
        <v>2204400</v>
      </c>
      <c r="AX77" s="22">
        <f>AX16*Constants!$H74*(1-Constants!$H92)</f>
        <v>2204400</v>
      </c>
      <c r="AY77" s="22">
        <f>AY16*Constants!$H74*(1-Constants!$H92)</f>
        <v>2204400</v>
      </c>
      <c r="AZ77" s="22">
        <f>AZ16*Constants!$H74*(1-Constants!$H92)</f>
        <v>2204400</v>
      </c>
      <c r="BA77" s="22">
        <f>BA16*Constants!$H74*(1-Constants!$H92)</f>
        <v>2204400</v>
      </c>
      <c r="BB77" s="22">
        <f>BB16*Constants!$H74*(1-Constants!$H92)</f>
        <v>2204400</v>
      </c>
      <c r="BC77" s="22">
        <f>BC16*Constants!$H74*(1-Constants!$H92)</f>
        <v>2204400</v>
      </c>
      <c r="BD77" s="22">
        <f>BD16*Constants!$H74*(1-Constants!$H92)</f>
        <v>2204400</v>
      </c>
      <c r="BE77" s="22">
        <f>BE16*Constants!$H74*(1-Constants!$H92)</f>
        <v>2204400</v>
      </c>
      <c r="BF77" s="22">
        <f>BF16*Constants!$H74*(1-Constants!$H92)</f>
        <v>2204400</v>
      </c>
      <c r="BG77" s="22">
        <f>BG16*Constants!$H74*(1-Constants!$H92)</f>
        <v>2204400</v>
      </c>
      <c r="BH77" s="22">
        <f>BH16*Constants!$H74*(1-Constants!$H92)</f>
        <v>2204400</v>
      </c>
      <c r="BI77" s="22">
        <f>BI16*Constants!$H74*(1-Constants!$H92)</f>
        <v>2204400</v>
      </c>
      <c r="BJ77" s="22">
        <f>BJ16*Constants!$H74*(1-Constants!$H92)</f>
        <v>2204400</v>
      </c>
      <c r="BK77" s="22">
        <f>BK16*Constants!$H74*(1-Constants!$H92)</f>
        <v>2204400</v>
      </c>
      <c r="BL77" s="22">
        <f>BL16*Constants!$H74*(1-Constants!$H92)</f>
        <v>2204400</v>
      </c>
      <c r="BM77" s="22">
        <f>BM16*Constants!$H74*(1-Constants!$H92)</f>
        <v>2204400</v>
      </c>
      <c r="BN77" s="22">
        <f>BN16*Constants!$H74*(1-Constants!$H92)</f>
        <v>2204400</v>
      </c>
      <c r="BO77" s="22">
        <f>BO16*Constants!$H74*(1-Constants!$H92)</f>
        <v>2204400</v>
      </c>
      <c r="BP77" s="22">
        <f>BP16*Constants!$H74*(1-Constants!$H92)</f>
        <v>2204400</v>
      </c>
    </row>
    <row r="78" spans="1:68" x14ac:dyDescent="0.25">
      <c r="A78" t="str">
        <f t="shared" si="25"/>
        <v>3C Aggregated and non-CO2 emissions on land</v>
      </c>
      <c r="B78" t="str">
        <f t="shared" si="26"/>
        <v>3C4 Direct N2O from managed soils (N2O)</v>
      </c>
      <c r="C78" t="s">
        <v>410</v>
      </c>
      <c r="D78" t="str">
        <f t="shared" si="27"/>
        <v xml:space="preserve"> - Commercial swine</v>
      </c>
      <c r="E78" t="str">
        <f t="shared" si="28"/>
        <v>Urine &amp; dung - Commercial swine</v>
      </c>
      <c r="F78" t="str">
        <f t="shared" si="29"/>
        <v>kg N</v>
      </c>
      <c r="H78" s="22">
        <f>H17*Constants!$H75*(1-Constants!$H93)</f>
        <v>0</v>
      </c>
      <c r="I78" s="22">
        <f>I17*Constants!$H75*(1-Constants!$H93)</f>
        <v>0</v>
      </c>
      <c r="J78" s="22">
        <f>J17*Constants!$H75*(1-Constants!$H93)</f>
        <v>0</v>
      </c>
      <c r="K78" s="22">
        <f>K17*Constants!$H75*(1-Constants!$H93)</f>
        <v>0</v>
      </c>
      <c r="L78" s="22">
        <f>L17*Constants!$H75*(1-Constants!$H93)</f>
        <v>0</v>
      </c>
      <c r="M78" s="22">
        <f>M17*Constants!$H75*(1-Constants!$H93)</f>
        <v>0</v>
      </c>
      <c r="N78" s="22">
        <f>N17*Constants!$H75*(1-Constants!$H93)</f>
        <v>0</v>
      </c>
      <c r="O78" s="22">
        <f>O17*Constants!$H75*(1-Constants!$H93)</f>
        <v>0</v>
      </c>
      <c r="P78" s="22">
        <f>P17*Constants!$H75*(1-Constants!$H93)</f>
        <v>0</v>
      </c>
      <c r="Q78" s="22">
        <f>Q17*Constants!$H75*(1-Constants!$H93)</f>
        <v>0</v>
      </c>
      <c r="R78" s="22">
        <f>R17*Constants!$H75*(1-Constants!$H93)</f>
        <v>0</v>
      </c>
      <c r="S78" s="22">
        <f>S17*Constants!$H75*(1-Constants!$H93)</f>
        <v>0</v>
      </c>
      <c r="T78" s="22">
        <f>T17*Constants!$H75*(1-Constants!$H93)</f>
        <v>0</v>
      </c>
      <c r="U78" s="22">
        <f>U17*Constants!$H75*(1-Constants!$H93)</f>
        <v>0</v>
      </c>
      <c r="V78" s="22">
        <f>V17*Constants!$H75*(1-Constants!$H93)</f>
        <v>0</v>
      </c>
      <c r="W78" s="22">
        <f>W17*Constants!$H75*(1-Constants!$H93)</f>
        <v>0</v>
      </c>
      <c r="X78" s="22">
        <f>X17*Constants!$H75*(1-Constants!$H93)</f>
        <v>0</v>
      </c>
      <c r="Y78" s="22">
        <f>Y17*Constants!$H75*(1-Constants!$H93)</f>
        <v>0</v>
      </c>
      <c r="Z78" s="22">
        <f>Z17*Constants!$H75*(1-Constants!$H93)</f>
        <v>0</v>
      </c>
      <c r="AA78" s="22">
        <f>AA17*Constants!$H75*(1-Constants!$H93)</f>
        <v>0</v>
      </c>
      <c r="AB78" s="22">
        <f>AB17*Constants!$H75*(1-Constants!$H93)</f>
        <v>0</v>
      </c>
      <c r="AC78" s="22">
        <f>AC17*Constants!$H75*(1-Constants!$H93)</f>
        <v>0</v>
      </c>
      <c r="AD78" s="22">
        <f>AD17*Constants!$H75*(1-Constants!$H93)</f>
        <v>0</v>
      </c>
      <c r="AE78" s="22">
        <f>AE17*Constants!$H75*(1-Constants!$H93)</f>
        <v>0</v>
      </c>
      <c r="AF78" s="22">
        <f>AF17*Constants!$H75*(1-Constants!$H93)</f>
        <v>0</v>
      </c>
      <c r="AG78" s="22">
        <f>AG17*Constants!$H75*(1-Constants!$H93)</f>
        <v>0</v>
      </c>
      <c r="AH78" s="22">
        <f>AH17*Constants!$H75*(1-Constants!$H93)</f>
        <v>0</v>
      </c>
      <c r="AI78" s="22">
        <f>AI17*Constants!$H75*(1-Constants!$H93)</f>
        <v>0</v>
      </c>
      <c r="AJ78" s="22">
        <f>AJ17*Constants!$H75*(1-Constants!$H93)</f>
        <v>0</v>
      </c>
      <c r="AK78" s="22">
        <f>AK17*Constants!$H75*(1-Constants!$H93)</f>
        <v>0</v>
      </c>
      <c r="AL78" s="22">
        <f>AL17*Constants!$H75*(1-Constants!$H93)</f>
        <v>0</v>
      </c>
      <c r="AM78" s="22">
        <f>AM17*Constants!$H75*(1-Constants!$H93)</f>
        <v>0</v>
      </c>
      <c r="AN78" s="22">
        <f>AN17*Constants!$H75*(1-Constants!$H93)</f>
        <v>0</v>
      </c>
      <c r="AO78" s="22">
        <f>AO17*Constants!$H75*(1-Constants!$H93)</f>
        <v>0</v>
      </c>
      <c r="AP78" s="22">
        <f>AP17*Constants!$H75*(1-Constants!$H93)</f>
        <v>0</v>
      </c>
      <c r="AQ78" s="22">
        <f>AQ17*Constants!$H75*(1-Constants!$H93)</f>
        <v>0</v>
      </c>
      <c r="AR78" s="22">
        <f>AR17*Constants!$H75*(1-Constants!$H93)</f>
        <v>0</v>
      </c>
      <c r="AS78" s="22">
        <f>AS17*Constants!$H75*(1-Constants!$H93)</f>
        <v>0</v>
      </c>
      <c r="AT78" s="22">
        <f>AT17*Constants!$H75*(1-Constants!$H93)</f>
        <v>0</v>
      </c>
      <c r="AU78" s="22">
        <f>AU17*Constants!$H75*(1-Constants!$H93)</f>
        <v>0</v>
      </c>
      <c r="AV78" s="22">
        <f>AV17*Constants!$H75*(1-Constants!$H93)</f>
        <v>0</v>
      </c>
      <c r="AW78" s="22">
        <f>AW17*Constants!$H75*(1-Constants!$H93)</f>
        <v>0</v>
      </c>
      <c r="AX78" s="22">
        <f>AX17*Constants!$H75*(1-Constants!$H93)</f>
        <v>0</v>
      </c>
      <c r="AY78" s="22">
        <f>AY17*Constants!$H75*(1-Constants!$H93)</f>
        <v>0</v>
      </c>
      <c r="AZ78" s="22">
        <f>AZ17*Constants!$H75*(1-Constants!$H93)</f>
        <v>0</v>
      </c>
      <c r="BA78" s="22">
        <f>BA17*Constants!$H75*(1-Constants!$H93)</f>
        <v>0</v>
      </c>
      <c r="BB78" s="22">
        <f>BB17*Constants!$H75*(1-Constants!$H93)</f>
        <v>0</v>
      </c>
      <c r="BC78" s="22">
        <f>BC17*Constants!$H75*(1-Constants!$H93)</f>
        <v>0</v>
      </c>
      <c r="BD78" s="22">
        <f>BD17*Constants!$H75*(1-Constants!$H93)</f>
        <v>0</v>
      </c>
      <c r="BE78" s="22">
        <f>BE17*Constants!$H75*(1-Constants!$H93)</f>
        <v>0</v>
      </c>
      <c r="BF78" s="22">
        <f>BF17*Constants!$H75*(1-Constants!$H93)</f>
        <v>0</v>
      </c>
      <c r="BG78" s="22">
        <f>BG17*Constants!$H75*(1-Constants!$H93)</f>
        <v>0</v>
      </c>
      <c r="BH78" s="22">
        <f>BH17*Constants!$H75*(1-Constants!$H93)</f>
        <v>0</v>
      </c>
      <c r="BI78" s="22">
        <f>BI17*Constants!$H75*(1-Constants!$H93)</f>
        <v>0</v>
      </c>
      <c r="BJ78" s="22">
        <f>BJ17*Constants!$H75*(1-Constants!$H93)</f>
        <v>0</v>
      </c>
      <c r="BK78" s="22">
        <f>BK17*Constants!$H75*(1-Constants!$H93)</f>
        <v>0</v>
      </c>
      <c r="BL78" s="22">
        <f>BL17*Constants!$H75*(1-Constants!$H93)</f>
        <v>0</v>
      </c>
      <c r="BM78" s="22">
        <f>BM17*Constants!$H75*(1-Constants!$H93)</f>
        <v>0</v>
      </c>
      <c r="BN78" s="22">
        <f>BN17*Constants!$H75*(1-Constants!$H93)</f>
        <v>0</v>
      </c>
      <c r="BO78" s="22">
        <f>BO17*Constants!$H75*(1-Constants!$H93)</f>
        <v>0</v>
      </c>
      <c r="BP78" s="22">
        <f>BP17*Constants!$H75*(1-Constants!$H93)</f>
        <v>0</v>
      </c>
    </row>
    <row r="79" spans="1:68" x14ac:dyDescent="0.25">
      <c r="A79" t="str">
        <f t="shared" si="25"/>
        <v>3C Aggregated and non-CO2 emissions on land</v>
      </c>
      <c r="B79" t="str">
        <f t="shared" si="26"/>
        <v>3C4 Direct N2O from managed soils (N2O)</v>
      </c>
      <c r="C79" t="s">
        <v>410</v>
      </c>
      <c r="D79" t="str">
        <f>D63</f>
        <v xml:space="preserve"> - Subsistence swine</v>
      </c>
      <c r="E79" t="str">
        <f t="shared" si="28"/>
        <v>Urine &amp; dung - Subsistence swine</v>
      </c>
      <c r="F79" t="str">
        <f t="shared" si="29"/>
        <v>kg N</v>
      </c>
      <c r="H79" s="22">
        <f>H18*Constants!$H76*(1-Constants!$H94)</f>
        <v>0</v>
      </c>
      <c r="I79" s="22">
        <f>I18*Constants!$H76*(1-Constants!$H94)</f>
        <v>0</v>
      </c>
      <c r="J79" s="22">
        <f>J18*Constants!$H76*(1-Constants!$H94)</f>
        <v>0</v>
      </c>
      <c r="K79" s="22">
        <f>K18*Constants!$H76*(1-Constants!$H94)</f>
        <v>0</v>
      </c>
      <c r="L79" s="22">
        <f>L18*Constants!$H76*(1-Constants!$H94)</f>
        <v>0</v>
      </c>
      <c r="M79" s="22">
        <f>M18*Constants!$H76*(1-Constants!$H94)</f>
        <v>0</v>
      </c>
      <c r="N79" s="22">
        <f>N18*Constants!$H76*(1-Constants!$H94)</f>
        <v>0</v>
      </c>
      <c r="O79" s="22">
        <f>O18*Constants!$H76*(1-Constants!$H94)</f>
        <v>0</v>
      </c>
      <c r="P79" s="22">
        <f>P18*Constants!$H76*(1-Constants!$H94)</f>
        <v>0</v>
      </c>
      <c r="Q79" s="22">
        <f>Q18*Constants!$H76*(1-Constants!$H94)</f>
        <v>0</v>
      </c>
      <c r="R79" s="22">
        <f>R18*Constants!$H76*(1-Constants!$H94)</f>
        <v>0</v>
      </c>
      <c r="S79" s="22">
        <f>S18*Constants!$H76*(1-Constants!$H94)</f>
        <v>0</v>
      </c>
      <c r="T79" s="22">
        <f>T18*Constants!$H76*(1-Constants!$H94)</f>
        <v>0</v>
      </c>
      <c r="U79" s="22">
        <f>U18*Constants!$H76*(1-Constants!$H94)</f>
        <v>0</v>
      </c>
      <c r="V79" s="22">
        <f>V18*Constants!$H76*(1-Constants!$H94)</f>
        <v>0</v>
      </c>
      <c r="W79" s="22">
        <f>W18*Constants!$H76*(1-Constants!$H94)</f>
        <v>0</v>
      </c>
      <c r="X79" s="22">
        <f>X18*Constants!$H76*(1-Constants!$H94)</f>
        <v>0</v>
      </c>
      <c r="Y79" s="22">
        <f>Y18*Constants!$H76*(1-Constants!$H94)</f>
        <v>0</v>
      </c>
      <c r="Z79" s="22">
        <f>Z18*Constants!$H76*(1-Constants!$H94)</f>
        <v>0</v>
      </c>
      <c r="AA79" s="22">
        <f>AA18*Constants!$H76*(1-Constants!$H94)</f>
        <v>0</v>
      </c>
      <c r="AB79" s="22">
        <f>AB18*Constants!$H76*(1-Constants!$H94)</f>
        <v>0</v>
      </c>
      <c r="AC79" s="22">
        <f>AC18*Constants!$H76*(1-Constants!$H94)</f>
        <v>0</v>
      </c>
      <c r="AD79" s="22">
        <f>AD18*Constants!$H76*(1-Constants!$H94)</f>
        <v>0</v>
      </c>
      <c r="AE79" s="22">
        <f>AE18*Constants!$H76*(1-Constants!$H94)</f>
        <v>0</v>
      </c>
      <c r="AF79" s="22">
        <f>AF18*Constants!$H76*(1-Constants!$H94)</f>
        <v>0</v>
      </c>
      <c r="AG79" s="22">
        <f>AG18*Constants!$H76*(1-Constants!$H94)</f>
        <v>0</v>
      </c>
      <c r="AH79" s="22">
        <f>AH18*Constants!$H76*(1-Constants!$H94)</f>
        <v>0</v>
      </c>
      <c r="AI79" s="22">
        <f>AI18*Constants!$H76*(1-Constants!$H94)</f>
        <v>0</v>
      </c>
      <c r="AJ79" s="22">
        <f>AJ18*Constants!$H76*(1-Constants!$H94)</f>
        <v>0</v>
      </c>
      <c r="AK79" s="22">
        <f>AK18*Constants!$H76*(1-Constants!$H94)</f>
        <v>0</v>
      </c>
      <c r="AL79" s="22">
        <f>AL18*Constants!$H76*(1-Constants!$H94)</f>
        <v>0</v>
      </c>
      <c r="AM79" s="22">
        <f>AM18*Constants!$H76*(1-Constants!$H94)</f>
        <v>0</v>
      </c>
      <c r="AN79" s="22">
        <f>AN18*Constants!$H76*(1-Constants!$H94)</f>
        <v>0</v>
      </c>
      <c r="AO79" s="22">
        <f>AO18*Constants!$H76*(1-Constants!$H94)</f>
        <v>0</v>
      </c>
      <c r="AP79" s="22">
        <f>AP18*Constants!$H76*(1-Constants!$H94)</f>
        <v>0</v>
      </c>
      <c r="AQ79" s="22">
        <f>AQ18*Constants!$H76*(1-Constants!$H94)</f>
        <v>0</v>
      </c>
      <c r="AR79" s="22">
        <f>AR18*Constants!$H76*(1-Constants!$H94)</f>
        <v>0</v>
      </c>
      <c r="AS79" s="22">
        <f>AS18*Constants!$H76*(1-Constants!$H94)</f>
        <v>0</v>
      </c>
      <c r="AT79" s="22">
        <f>AT18*Constants!$H76*(1-Constants!$H94)</f>
        <v>0</v>
      </c>
      <c r="AU79" s="22">
        <f>AU18*Constants!$H76*(1-Constants!$H94)</f>
        <v>0</v>
      </c>
      <c r="AV79" s="22">
        <f>AV18*Constants!$H76*(1-Constants!$H94)</f>
        <v>0</v>
      </c>
      <c r="AW79" s="22">
        <f>AW18*Constants!$H76*(1-Constants!$H94)</f>
        <v>0</v>
      </c>
      <c r="AX79" s="22">
        <f>AX18*Constants!$H76*(1-Constants!$H94)</f>
        <v>0</v>
      </c>
      <c r="AY79" s="22">
        <f>AY18*Constants!$H76*(1-Constants!$H94)</f>
        <v>0</v>
      </c>
      <c r="AZ79" s="22">
        <f>AZ18*Constants!$H76*(1-Constants!$H94)</f>
        <v>0</v>
      </c>
      <c r="BA79" s="22">
        <f>BA18*Constants!$H76*(1-Constants!$H94)</f>
        <v>0</v>
      </c>
      <c r="BB79" s="22">
        <f>BB18*Constants!$H76*(1-Constants!$H94)</f>
        <v>0</v>
      </c>
      <c r="BC79" s="22">
        <f>BC18*Constants!$H76*(1-Constants!$H94)</f>
        <v>0</v>
      </c>
      <c r="BD79" s="22">
        <f>BD18*Constants!$H76*(1-Constants!$H94)</f>
        <v>0</v>
      </c>
      <c r="BE79" s="22">
        <f>BE18*Constants!$H76*(1-Constants!$H94)</f>
        <v>0</v>
      </c>
      <c r="BF79" s="22">
        <f>BF18*Constants!$H76*(1-Constants!$H94)</f>
        <v>0</v>
      </c>
      <c r="BG79" s="22">
        <f>BG18*Constants!$H76*(1-Constants!$H94)</f>
        <v>0</v>
      </c>
      <c r="BH79" s="22">
        <f>BH18*Constants!$H76*(1-Constants!$H94)</f>
        <v>0</v>
      </c>
      <c r="BI79" s="22">
        <f>BI18*Constants!$H76*(1-Constants!$H94)</f>
        <v>0</v>
      </c>
      <c r="BJ79" s="22">
        <f>BJ18*Constants!$H76*(1-Constants!$H94)</f>
        <v>0</v>
      </c>
      <c r="BK79" s="22">
        <f>BK18*Constants!$H76*(1-Constants!$H94)</f>
        <v>0</v>
      </c>
      <c r="BL79" s="22">
        <f>BL18*Constants!$H76*(1-Constants!$H94)</f>
        <v>0</v>
      </c>
      <c r="BM79" s="22">
        <f>BM18*Constants!$H76*(1-Constants!$H94)</f>
        <v>0</v>
      </c>
      <c r="BN79" s="22">
        <f>BN18*Constants!$H76*(1-Constants!$H94)</f>
        <v>0</v>
      </c>
      <c r="BO79" s="22">
        <f>BO18*Constants!$H76*(1-Constants!$H94)</f>
        <v>0</v>
      </c>
      <c r="BP79" s="22">
        <f>BP18*Constants!$H76*(1-Constants!$H94)</f>
        <v>0</v>
      </c>
    </row>
    <row r="80" spans="1:68" x14ac:dyDescent="0.25">
      <c r="A80" t="str">
        <f t="shared" si="25"/>
        <v>3C Aggregated and non-CO2 emissions on land</v>
      </c>
      <c r="B80" t="str">
        <f t="shared" si="26"/>
        <v>3C4 Direct N2O from managed soils (N2O)</v>
      </c>
      <c r="C80" t="s">
        <v>410</v>
      </c>
      <c r="D80" t="str">
        <f t="shared" si="27"/>
        <v xml:space="preserve"> - Commercial layers</v>
      </c>
      <c r="E80" t="str">
        <f t="shared" ref="E80:E81" si="30">C80&amp;D80</f>
        <v>Urine &amp; dung - Commercial layers</v>
      </c>
      <c r="F80" t="str">
        <f t="shared" ref="F80:F81" si="31">F79</f>
        <v>kg N</v>
      </c>
      <c r="H80" s="22">
        <f>H19*Constants!$H77*(1-Constants!$H95)</f>
        <v>0</v>
      </c>
      <c r="I80" s="22">
        <f>I19*Constants!$H77*(1-Constants!$H95)</f>
        <v>0</v>
      </c>
      <c r="J80" s="22">
        <f>J19*Constants!$H77*(1-Constants!$H95)</f>
        <v>0</v>
      </c>
      <c r="K80" s="22">
        <f>K19*Constants!$H77*(1-Constants!$H95)</f>
        <v>0</v>
      </c>
      <c r="L80" s="22">
        <f>L19*Constants!$H77*(1-Constants!$H95)</f>
        <v>0</v>
      </c>
      <c r="M80" s="22">
        <f>M19*Constants!$H77*(1-Constants!$H95)</f>
        <v>0</v>
      </c>
      <c r="N80" s="22">
        <f>N19*Constants!$H77*(1-Constants!$H95)</f>
        <v>0</v>
      </c>
      <c r="O80" s="22">
        <f>O19*Constants!$H77*(1-Constants!$H95)</f>
        <v>0</v>
      </c>
      <c r="P80" s="22">
        <f>P19*Constants!$H77*(1-Constants!$H95)</f>
        <v>0</v>
      </c>
      <c r="Q80" s="22">
        <f>Q19*Constants!$H77*(1-Constants!$H95)</f>
        <v>0</v>
      </c>
      <c r="R80" s="22">
        <f>R19*Constants!$H77*(1-Constants!$H95)</f>
        <v>0</v>
      </c>
      <c r="S80" s="22">
        <f>S19*Constants!$H77*(1-Constants!$H95)</f>
        <v>0</v>
      </c>
      <c r="T80" s="22">
        <f>T19*Constants!$H77*(1-Constants!$H95)</f>
        <v>0</v>
      </c>
      <c r="U80" s="22">
        <f>U19*Constants!$H77*(1-Constants!$H95)</f>
        <v>0</v>
      </c>
      <c r="V80" s="22">
        <f>V19*Constants!$H77*(1-Constants!$H95)</f>
        <v>0</v>
      </c>
      <c r="W80" s="22">
        <f>W19*Constants!$H77*(1-Constants!$H95)</f>
        <v>0</v>
      </c>
      <c r="X80" s="22">
        <f>X19*Constants!$H77*(1-Constants!$H95)</f>
        <v>0</v>
      </c>
      <c r="Y80" s="22">
        <f>Y19*Constants!$H77*(1-Constants!$H95)</f>
        <v>0</v>
      </c>
      <c r="Z80" s="22">
        <f>Z19*Constants!$H77*(1-Constants!$H95)</f>
        <v>0</v>
      </c>
      <c r="AA80" s="22">
        <f>AA19*Constants!$H77*(1-Constants!$H95)</f>
        <v>0</v>
      </c>
      <c r="AB80" s="22">
        <f>AB19*Constants!$H77*(1-Constants!$H95)</f>
        <v>0</v>
      </c>
      <c r="AC80" s="22">
        <f>AC19*Constants!$H77*(1-Constants!$H95)</f>
        <v>0</v>
      </c>
      <c r="AD80" s="22">
        <f>AD19*Constants!$H77*(1-Constants!$H95)</f>
        <v>0</v>
      </c>
      <c r="AE80" s="22">
        <f>AE19*Constants!$H77*(1-Constants!$H95)</f>
        <v>0</v>
      </c>
      <c r="AF80" s="22">
        <f>AF19*Constants!$H77*(1-Constants!$H95)</f>
        <v>0</v>
      </c>
      <c r="AG80" s="22">
        <f>AG19*Constants!$H77*(1-Constants!$H95)</f>
        <v>0</v>
      </c>
      <c r="AH80" s="22">
        <f>AH19*Constants!$H77*(1-Constants!$H95)</f>
        <v>0</v>
      </c>
      <c r="AI80" s="22">
        <f>AI19*Constants!$H77*(1-Constants!$H95)</f>
        <v>0</v>
      </c>
      <c r="AJ80" s="22">
        <f>AJ19*Constants!$H77*(1-Constants!$H95)</f>
        <v>0</v>
      </c>
      <c r="AK80" s="22">
        <f>AK19*Constants!$H77*(1-Constants!$H95)</f>
        <v>0</v>
      </c>
      <c r="AL80" s="22">
        <f>AL19*Constants!$H77*(1-Constants!$H95)</f>
        <v>0</v>
      </c>
      <c r="AM80" s="22">
        <f>AM19*Constants!$H77*(1-Constants!$H95)</f>
        <v>0</v>
      </c>
      <c r="AN80" s="22">
        <f>AN19*Constants!$H77*(1-Constants!$H95)</f>
        <v>0</v>
      </c>
      <c r="AO80" s="22">
        <f>AO19*Constants!$H77*(1-Constants!$H95)</f>
        <v>0</v>
      </c>
      <c r="AP80" s="22">
        <f>AP19*Constants!$H77*(1-Constants!$H95)</f>
        <v>0</v>
      </c>
      <c r="AQ80" s="22">
        <f>AQ19*Constants!$H77*(1-Constants!$H95)</f>
        <v>0</v>
      </c>
      <c r="AR80" s="22">
        <f>AR19*Constants!$H77*(1-Constants!$H95)</f>
        <v>0</v>
      </c>
      <c r="AS80" s="22">
        <f>AS19*Constants!$H77*(1-Constants!$H95)</f>
        <v>0</v>
      </c>
      <c r="AT80" s="22">
        <f>AT19*Constants!$H77*(1-Constants!$H95)</f>
        <v>0</v>
      </c>
      <c r="AU80" s="22">
        <f>AU19*Constants!$H77*(1-Constants!$H95)</f>
        <v>0</v>
      </c>
      <c r="AV80" s="22">
        <f>AV19*Constants!$H77*(1-Constants!$H95)</f>
        <v>0</v>
      </c>
      <c r="AW80" s="22">
        <f>AW19*Constants!$H77*(1-Constants!$H95)</f>
        <v>0</v>
      </c>
      <c r="AX80" s="22">
        <f>AX19*Constants!$H77*(1-Constants!$H95)</f>
        <v>0</v>
      </c>
      <c r="AY80" s="22">
        <f>AY19*Constants!$H77*(1-Constants!$H95)</f>
        <v>0</v>
      </c>
      <c r="AZ80" s="22">
        <f>AZ19*Constants!$H77*(1-Constants!$H95)</f>
        <v>0</v>
      </c>
      <c r="BA80" s="22">
        <f>BA19*Constants!$H77*(1-Constants!$H95)</f>
        <v>0</v>
      </c>
      <c r="BB80" s="22">
        <f>BB19*Constants!$H77*(1-Constants!$H95)</f>
        <v>0</v>
      </c>
      <c r="BC80" s="22">
        <f>BC19*Constants!$H77*(1-Constants!$H95)</f>
        <v>0</v>
      </c>
      <c r="BD80" s="22">
        <f>BD19*Constants!$H77*(1-Constants!$H95)</f>
        <v>0</v>
      </c>
      <c r="BE80" s="22">
        <f>BE19*Constants!$H77*(1-Constants!$H95)</f>
        <v>0</v>
      </c>
      <c r="BF80" s="22">
        <f>BF19*Constants!$H77*(1-Constants!$H95)</f>
        <v>0</v>
      </c>
      <c r="BG80" s="22">
        <f>BG19*Constants!$H77*(1-Constants!$H95)</f>
        <v>0</v>
      </c>
      <c r="BH80" s="22">
        <f>BH19*Constants!$H77*(1-Constants!$H95)</f>
        <v>0</v>
      </c>
      <c r="BI80" s="22">
        <f>BI19*Constants!$H77*(1-Constants!$H95)</f>
        <v>0</v>
      </c>
      <c r="BJ80" s="22">
        <f>BJ19*Constants!$H77*(1-Constants!$H95)</f>
        <v>0</v>
      </c>
      <c r="BK80" s="22">
        <f>BK19*Constants!$H77*(1-Constants!$H95)</f>
        <v>0</v>
      </c>
      <c r="BL80" s="22">
        <f>BL19*Constants!$H77*(1-Constants!$H95)</f>
        <v>0</v>
      </c>
      <c r="BM80" s="22">
        <f>BM19*Constants!$H77*(1-Constants!$H95)</f>
        <v>0</v>
      </c>
      <c r="BN80" s="22">
        <f>BN19*Constants!$H77*(1-Constants!$H95)</f>
        <v>0</v>
      </c>
      <c r="BO80" s="22">
        <f>BO19*Constants!$H77*(1-Constants!$H95)</f>
        <v>0</v>
      </c>
      <c r="BP80" s="22">
        <f>BP19*Constants!$H77*(1-Constants!$H95)</f>
        <v>0</v>
      </c>
    </row>
    <row r="81" spans="1:72" x14ac:dyDescent="0.25">
      <c r="A81" t="str">
        <f t="shared" si="25"/>
        <v>3C Aggregated and non-CO2 emissions on land</v>
      </c>
      <c r="B81" t="str">
        <f t="shared" si="26"/>
        <v>3C4 Direct N2O from managed soils (N2O)</v>
      </c>
      <c r="C81" t="s">
        <v>410</v>
      </c>
      <c r="D81" t="str">
        <f t="shared" si="27"/>
        <v xml:space="preserve"> - Commercial broilers</v>
      </c>
      <c r="E81" t="str">
        <f t="shared" si="30"/>
        <v>Urine &amp; dung - Commercial broilers</v>
      </c>
      <c r="F81" t="str">
        <f t="shared" si="31"/>
        <v>kg N</v>
      </c>
      <c r="H81" s="22">
        <f>H20*Constants!$H78*(1-Constants!$H96)</f>
        <v>0</v>
      </c>
      <c r="I81" s="22">
        <f>I20*Constants!$H78*(1-Constants!$H96)</f>
        <v>0</v>
      </c>
      <c r="J81" s="22">
        <f>J20*Constants!$H78*(1-Constants!$H96)</f>
        <v>0</v>
      </c>
      <c r="K81" s="22">
        <f>K20*Constants!$H78*(1-Constants!$H96)</f>
        <v>0</v>
      </c>
      <c r="L81" s="22">
        <f>L20*Constants!$H78*(1-Constants!$H96)</f>
        <v>0</v>
      </c>
      <c r="M81" s="22">
        <f>M20*Constants!$H78*(1-Constants!$H96)</f>
        <v>0</v>
      </c>
      <c r="N81" s="22">
        <f>N20*Constants!$H78*(1-Constants!$H96)</f>
        <v>0</v>
      </c>
      <c r="O81" s="22">
        <f>O20*Constants!$H78*(1-Constants!$H96)</f>
        <v>0</v>
      </c>
      <c r="P81" s="22">
        <f>P20*Constants!$H78*(1-Constants!$H96)</f>
        <v>0</v>
      </c>
      <c r="Q81" s="22">
        <f>Q20*Constants!$H78*(1-Constants!$H96)</f>
        <v>0</v>
      </c>
      <c r="R81" s="22">
        <f>R20*Constants!$H78*(1-Constants!$H96)</f>
        <v>0</v>
      </c>
      <c r="S81" s="22">
        <f>S20*Constants!$H78*(1-Constants!$H96)</f>
        <v>0</v>
      </c>
      <c r="T81" s="22">
        <f>T20*Constants!$H78*(1-Constants!$H96)</f>
        <v>0</v>
      </c>
      <c r="U81" s="22">
        <f>U20*Constants!$H78*(1-Constants!$H96)</f>
        <v>0</v>
      </c>
      <c r="V81" s="22">
        <f>V20*Constants!$H78*(1-Constants!$H96)</f>
        <v>0</v>
      </c>
      <c r="W81" s="22">
        <f>W20*Constants!$H78*(1-Constants!$H96)</f>
        <v>0</v>
      </c>
      <c r="X81" s="22">
        <f>X20*Constants!$H78*(1-Constants!$H96)</f>
        <v>0</v>
      </c>
      <c r="Y81" s="22">
        <f>Y20*Constants!$H78*(1-Constants!$H96)</f>
        <v>0</v>
      </c>
      <c r="Z81" s="22">
        <f>Z20*Constants!$H78*(1-Constants!$H96)</f>
        <v>0</v>
      </c>
      <c r="AA81" s="22">
        <f>AA20*Constants!$H78*(1-Constants!$H96)</f>
        <v>0</v>
      </c>
      <c r="AB81" s="22">
        <f>AB20*Constants!$H78*(1-Constants!$H96)</f>
        <v>0</v>
      </c>
      <c r="AC81" s="22">
        <f>AC20*Constants!$H78*(1-Constants!$H96)</f>
        <v>0</v>
      </c>
      <c r="AD81" s="22">
        <f>AD20*Constants!$H78*(1-Constants!$H96)</f>
        <v>0</v>
      </c>
      <c r="AE81" s="22">
        <f>AE20*Constants!$H78*(1-Constants!$H96)</f>
        <v>0</v>
      </c>
      <c r="AF81" s="22">
        <f>AF20*Constants!$H78*(1-Constants!$H96)</f>
        <v>0</v>
      </c>
      <c r="AG81" s="22">
        <f>AG20*Constants!$H78*(1-Constants!$H96)</f>
        <v>0</v>
      </c>
      <c r="AH81" s="22">
        <f>AH20*Constants!$H78*(1-Constants!$H96)</f>
        <v>0</v>
      </c>
      <c r="AI81" s="22">
        <f>AI20*Constants!$H78*(1-Constants!$H96)</f>
        <v>0</v>
      </c>
      <c r="AJ81" s="22">
        <f>AJ20*Constants!$H78*(1-Constants!$H96)</f>
        <v>0</v>
      </c>
      <c r="AK81" s="22">
        <f>AK20*Constants!$H78*(1-Constants!$H96)</f>
        <v>0</v>
      </c>
      <c r="AL81" s="22">
        <f>AL20*Constants!$H78*(1-Constants!$H96)</f>
        <v>0</v>
      </c>
      <c r="AM81" s="22">
        <f>AM20*Constants!$H78*(1-Constants!$H96)</f>
        <v>0</v>
      </c>
      <c r="AN81" s="22">
        <f>AN20*Constants!$H78*(1-Constants!$H96)</f>
        <v>0</v>
      </c>
      <c r="AO81" s="22">
        <f>AO20*Constants!$H78*(1-Constants!$H96)</f>
        <v>0</v>
      </c>
      <c r="AP81" s="22">
        <f>AP20*Constants!$H78*(1-Constants!$H96)</f>
        <v>0</v>
      </c>
      <c r="AQ81" s="22">
        <f>AQ20*Constants!$H78*(1-Constants!$H96)</f>
        <v>0</v>
      </c>
      <c r="AR81" s="22">
        <f>AR20*Constants!$H78*(1-Constants!$H96)</f>
        <v>0</v>
      </c>
      <c r="AS81" s="22">
        <f>AS20*Constants!$H78*(1-Constants!$H96)</f>
        <v>0</v>
      </c>
      <c r="AT81" s="22">
        <f>AT20*Constants!$H78*(1-Constants!$H96)</f>
        <v>0</v>
      </c>
      <c r="AU81" s="22">
        <f>AU20*Constants!$H78*(1-Constants!$H96)</f>
        <v>0</v>
      </c>
      <c r="AV81" s="22">
        <f>AV20*Constants!$H78*(1-Constants!$H96)</f>
        <v>0</v>
      </c>
      <c r="AW81" s="22">
        <f>AW20*Constants!$H78*(1-Constants!$H96)</f>
        <v>0</v>
      </c>
      <c r="AX81" s="22">
        <f>AX20*Constants!$H78*(1-Constants!$H96)</f>
        <v>0</v>
      </c>
      <c r="AY81" s="22">
        <f>AY20*Constants!$H78*(1-Constants!$H96)</f>
        <v>0</v>
      </c>
      <c r="AZ81" s="22">
        <f>AZ20*Constants!$H78*(1-Constants!$H96)</f>
        <v>0</v>
      </c>
      <c r="BA81" s="22">
        <f>BA20*Constants!$H78*(1-Constants!$H96)</f>
        <v>0</v>
      </c>
      <c r="BB81" s="22">
        <f>BB20*Constants!$H78*(1-Constants!$H96)</f>
        <v>0</v>
      </c>
      <c r="BC81" s="22">
        <f>BC20*Constants!$H78*(1-Constants!$H96)</f>
        <v>0</v>
      </c>
      <c r="BD81" s="22">
        <f>BD20*Constants!$H78*(1-Constants!$H96)</f>
        <v>0</v>
      </c>
      <c r="BE81" s="22">
        <f>BE20*Constants!$H78*(1-Constants!$H96)</f>
        <v>0</v>
      </c>
      <c r="BF81" s="22">
        <f>BF20*Constants!$H78*(1-Constants!$H96)</f>
        <v>0</v>
      </c>
      <c r="BG81" s="22">
        <f>BG20*Constants!$H78*(1-Constants!$H96)</f>
        <v>0</v>
      </c>
      <c r="BH81" s="22">
        <f>BH20*Constants!$H78*(1-Constants!$H96)</f>
        <v>0</v>
      </c>
      <c r="BI81" s="22">
        <f>BI20*Constants!$H78*(1-Constants!$H96)</f>
        <v>0</v>
      </c>
      <c r="BJ81" s="22">
        <f>BJ20*Constants!$H78*(1-Constants!$H96)</f>
        <v>0</v>
      </c>
      <c r="BK81" s="22">
        <f>BK20*Constants!$H78*(1-Constants!$H96)</f>
        <v>0</v>
      </c>
      <c r="BL81" s="22">
        <f>BL20*Constants!$H78*(1-Constants!$H96)</f>
        <v>0</v>
      </c>
      <c r="BM81" s="22">
        <f>BM20*Constants!$H78*(1-Constants!$H96)</f>
        <v>0</v>
      </c>
      <c r="BN81" s="22">
        <f>BN20*Constants!$H78*(1-Constants!$H96)</f>
        <v>0</v>
      </c>
      <c r="BO81" s="22">
        <f>BO20*Constants!$H78*(1-Constants!$H96)</f>
        <v>0</v>
      </c>
      <c r="BP81" s="22">
        <f>BP20*Constants!$H78*(1-Constants!$H96)</f>
        <v>0</v>
      </c>
    </row>
    <row r="82" spans="1:72" x14ac:dyDescent="0.25">
      <c r="A82" t="str">
        <f>A81</f>
        <v>3C Aggregated and non-CO2 emissions on land</v>
      </c>
      <c r="B82" t="str">
        <f t="shared" si="26"/>
        <v>3C4 Direct N2O from managed soils (N2O)</v>
      </c>
      <c r="C82" t="s">
        <v>661</v>
      </c>
      <c r="D82" t="s">
        <v>444</v>
      </c>
      <c r="E82" t="str">
        <f t="shared" ref="E82:E85" si="32">C82&amp;D82</f>
        <v>Crop residue N - maize</v>
      </c>
      <c r="F82" t="str">
        <f t="shared" ref="F82:F85" si="33">F81</f>
        <v>kg N</v>
      </c>
      <c r="H82" s="22">
        <v>169222719.81423381</v>
      </c>
      <c r="I82" s="22">
        <v>146469055.03045925</v>
      </c>
      <c r="J82" s="22">
        <v>159221366.84252763</v>
      </c>
      <c r="K82" s="22">
        <v>166361838.74906701</v>
      </c>
      <c r="L82" s="22">
        <v>177207855.24554062</v>
      </c>
      <c r="M82" s="22">
        <v>134194234.50025843</v>
      </c>
      <c r="N82" s="22">
        <v>143395687.73539102</v>
      </c>
      <c r="O82" s="22">
        <v>154135462.82738763</v>
      </c>
      <c r="P82" s="22">
        <v>135980324.06223202</v>
      </c>
      <c r="Q82" s="22">
        <v>136205316.98976544</v>
      </c>
      <c r="R82" s="22">
        <v>153316816.86155123</v>
      </c>
      <c r="S82" s="22">
        <v>121680505.97819223</v>
      </c>
      <c r="T82" s="22">
        <v>134754504.74286324</v>
      </c>
      <c r="U82" s="22">
        <v>139005050.45193782</v>
      </c>
      <c r="V82" s="22">
        <v>122072648.78867763</v>
      </c>
      <c r="W82" s="22">
        <v>122727616.37001581</v>
      </c>
      <c r="X82" s="22">
        <v>76773886.659184024</v>
      </c>
      <c r="Y82" s="22">
        <v>110722449.64123464</v>
      </c>
      <c r="Z82" s="22">
        <v>126740304.25230721</v>
      </c>
      <c r="AA82" s="22">
        <v>112126055.04929921</v>
      </c>
      <c r="AB82" s="22">
        <v>127466246.79321264</v>
      </c>
      <c r="AC82" s="22">
        <v>113245894.01580001</v>
      </c>
      <c r="AD82" s="22">
        <f>((AD41*Constants!$H$45*Constants!$H$48)*(1+Constants!$H$51))*Constants!$H$54*Constants!$H$42*Constants!$H$57*Constants!$H$58*ttokg</f>
        <v>100346378.06238909</v>
      </c>
      <c r="AE82" s="22">
        <f>((AE41*Constants!$H$45*Constants!$H$48)*(1+Constants!$H$51))*Constants!$H$54*Constants!$H$42*Constants!$H$57*Constants!$H$58*ttokg</f>
        <v>100584692.01197273</v>
      </c>
      <c r="AF82" s="22">
        <f>((AF41*Constants!$H$45*Constants!$H$48)*(1+Constants!$H$51))*Constants!$H$54*Constants!$H$42*Constants!$H$57*Constants!$H$58*ttokg</f>
        <v>100994397.76136011</v>
      </c>
      <c r="AG82" s="22">
        <f>((AG41*Constants!$H$45*Constants!$H$48)*(1+Constants!$H$51))*Constants!$H$54*Constants!$H$42*Constants!$H$57*Constants!$H$58*ttokg</f>
        <v>101276473.49018945</v>
      </c>
      <c r="AH82" s="22">
        <f>((AH41*Constants!$H$45*Constants!$H$48)*(1+Constants!$H$51))*Constants!$H$54*Constants!$H$42*Constants!$H$57*Constants!$H$58*ttokg</f>
        <v>101456157.42173456</v>
      </c>
      <c r="AI82" s="22">
        <f>((AI41*Constants!$H$45*Constants!$H$48)*(1+Constants!$H$51))*Constants!$H$54*Constants!$H$42*Constants!$H$57*Constants!$H$58*ttokg</f>
        <v>101569520.54477434</v>
      </c>
      <c r="AJ82" s="22">
        <f>((AJ41*Constants!$H$45*Constants!$H$48)*(1+Constants!$H$51))*Constants!$H$54*Constants!$H$42*Constants!$H$57*Constants!$H$58*ttokg</f>
        <v>101727851.2129533</v>
      </c>
      <c r="AK82" s="22">
        <f>((AK41*Constants!$H$45*Constants!$H$48)*(1+Constants!$H$51))*Constants!$H$54*Constants!$H$42*Constants!$H$57*Constants!$H$58*ttokg</f>
        <v>101912672.65045621</v>
      </c>
      <c r="AL82" s="22">
        <f>((AL41*Constants!$H$45*Constants!$H$48)*(1+Constants!$H$51))*Constants!$H$54*Constants!$H$42*Constants!$H$57*Constants!$H$58*ttokg</f>
        <v>102089305.75922483</v>
      </c>
      <c r="AM82" s="22">
        <f>((AM41*Constants!$H$45*Constants!$H$48)*(1+Constants!$H$51))*Constants!$H$54*Constants!$H$42*Constants!$H$57*Constants!$H$58*ttokg</f>
        <v>100730589.54087853</v>
      </c>
      <c r="AN82" s="22">
        <f>((AN41*Constants!$H$45*Constants!$H$48)*(1+Constants!$H$51))*Constants!$H$54*Constants!$H$42*Constants!$H$57*Constants!$H$58*ttokg</f>
        <v>101083088.95883061</v>
      </c>
      <c r="AO82" s="22">
        <f>((AO41*Constants!$H$45*Constants!$H$48)*(1+Constants!$H$51))*Constants!$H$54*Constants!$H$42*Constants!$H$57*Constants!$H$58*ttokg</f>
        <v>101434055.17348638</v>
      </c>
      <c r="AP82" s="22">
        <f>((AP41*Constants!$H$45*Constants!$H$48)*(1+Constants!$H$51))*Constants!$H$54*Constants!$H$42*Constants!$H$57*Constants!$H$58*ttokg</f>
        <v>101815252.49953969</v>
      </c>
      <c r="AQ82" s="22">
        <f>((AQ41*Constants!$H$45*Constants!$H$48)*(1+Constants!$H$51))*Constants!$H$54*Constants!$H$42*Constants!$H$57*Constants!$H$58*ttokg</f>
        <v>102214085.58280413</v>
      </c>
      <c r="AR82" s="22">
        <f>((AR41*Constants!$H$45*Constants!$H$48)*(1+Constants!$H$51))*Constants!$H$54*Constants!$H$42*Constants!$H$57*Constants!$H$58*ttokg</f>
        <v>102602101.39025025</v>
      </c>
      <c r="AS82" s="22">
        <f>((AS41*Constants!$H$45*Constants!$H$48)*(1+Constants!$H$51))*Constants!$H$54*Constants!$H$42*Constants!$H$57*Constants!$H$58*ttokg</f>
        <v>103037798.49275298</v>
      </c>
      <c r="AT82" s="22">
        <f>((AT41*Constants!$H$45*Constants!$H$48)*(1+Constants!$H$51))*Constants!$H$54*Constants!$H$42*Constants!$H$57*Constants!$H$58*ttokg</f>
        <v>103480668.94497679</v>
      </c>
      <c r="AU82" s="22">
        <f>((AU41*Constants!$H$45*Constants!$H$48)*(1+Constants!$H$51))*Constants!$H$54*Constants!$H$42*Constants!$H$57*Constants!$H$58*ttokg</f>
        <v>103937870.69954062</v>
      </c>
      <c r="AV82" s="22">
        <f>((AV41*Constants!$H$45*Constants!$H$48)*(1+Constants!$H$51))*Constants!$H$54*Constants!$H$42*Constants!$H$57*Constants!$H$58*ttokg</f>
        <v>104400375.40345663</v>
      </c>
      <c r="AW82" s="22">
        <f>((AW41*Constants!$H$45*Constants!$H$48)*(1+Constants!$H$51))*Constants!$H$54*Constants!$H$42*Constants!$H$57*Constants!$H$58*ttokg</f>
        <v>104788174.06723097</v>
      </c>
      <c r="AX82" s="22">
        <f>((AX41*Constants!$H$45*Constants!$H$48)*(1+Constants!$H$51))*Constants!$H$54*Constants!$H$42*Constants!$H$57*Constants!$H$58*ttokg</f>
        <v>105262261.39413977</v>
      </c>
      <c r="AY82" s="22">
        <f>((AY41*Constants!$H$45*Constants!$H$48)*(1+Constants!$H$51))*Constants!$H$54*Constants!$H$42*Constants!$H$57*Constants!$H$58*ttokg</f>
        <v>105736612.55824319</v>
      </c>
      <c r="AZ82" s="22">
        <f>((AZ41*Constants!$H$45*Constants!$H$48)*(1+Constants!$H$51))*Constants!$H$54*Constants!$H$42*Constants!$H$57*Constants!$H$58*ttokg</f>
        <v>106213851.35696521</v>
      </c>
      <c r="BA82" s="22">
        <f>((BA41*Constants!$H$45*Constants!$H$48)*(1+Constants!$H$51))*Constants!$H$54*Constants!$H$42*Constants!$H$57*Constants!$H$58*ttokg</f>
        <v>106663778.04400994</v>
      </c>
      <c r="BB82" s="22">
        <f>((BB41*Constants!$H$45*Constants!$H$48)*(1+Constants!$H$51))*Constants!$H$54*Constants!$H$42*Constants!$H$57*Constants!$H$58*ttokg</f>
        <v>107128896.80845004</v>
      </c>
      <c r="BC82" s="22">
        <f>((BC41*Constants!$H$45*Constants!$H$48)*(1+Constants!$H$51))*Constants!$H$54*Constants!$H$42*Constants!$H$57*Constants!$H$58*ttokg</f>
        <v>107608796.46477385</v>
      </c>
      <c r="BD82" s="22">
        <f>((BD41*Constants!$H$45*Constants!$H$48)*(1+Constants!$H$51))*Constants!$H$54*Constants!$H$42*Constants!$H$57*Constants!$H$58*ttokg</f>
        <v>108094834.89184254</v>
      </c>
      <c r="BE82" s="22">
        <f>((BE41*Constants!$H$45*Constants!$H$48)*(1+Constants!$H$51))*Constants!$H$54*Constants!$H$42*Constants!$H$57*Constants!$H$58*ttokg</f>
        <v>108566315.20311496</v>
      </c>
      <c r="BF82" s="22">
        <f>((BF41*Constants!$H$45*Constants!$H$48)*(1+Constants!$H$51))*Constants!$H$54*Constants!$H$42*Constants!$H$57*Constants!$H$58*ttokg</f>
        <v>109043819.95413168</v>
      </c>
      <c r="BG82" s="22">
        <f>((BG41*Constants!$H$45*Constants!$H$48)*(1+Constants!$H$51))*Constants!$H$54*Constants!$H$42*Constants!$H$57*Constants!$H$58*ttokg</f>
        <v>109538675.29040144</v>
      </c>
      <c r="BH82" s="22">
        <f>((BH41*Constants!$H$45*Constants!$H$48)*(1+Constants!$H$51))*Constants!$H$54*Constants!$H$42*Constants!$H$57*Constants!$H$58*ttokg</f>
        <v>110044331.82589914</v>
      </c>
      <c r="BI82" s="22">
        <f>((BI41*Constants!$H$45*Constants!$H$48)*(1+Constants!$H$51))*Constants!$H$54*Constants!$H$42*Constants!$H$57*Constants!$H$58*ttokg</f>
        <v>110558301.06793413</v>
      </c>
      <c r="BJ82" s="22">
        <f>((BJ41*Constants!$H$45*Constants!$H$48)*(1+Constants!$H$51))*Constants!$H$54*Constants!$H$42*Constants!$H$57*Constants!$H$58*ttokg</f>
        <v>111080636.2213809</v>
      </c>
      <c r="BK82" s="22">
        <f>((BK41*Constants!$H$45*Constants!$H$48)*(1+Constants!$H$51))*Constants!$H$54*Constants!$H$42*Constants!$H$57*Constants!$H$58*ttokg</f>
        <v>111610742.81370299</v>
      </c>
      <c r="BL82" s="22">
        <f>((BL41*Constants!$H$45*Constants!$H$48)*(1+Constants!$H$51))*Constants!$H$54*Constants!$H$42*Constants!$H$57*Constants!$H$58*ttokg</f>
        <v>112152191.29744811</v>
      </c>
      <c r="BM82" s="22">
        <f>((BM41*Constants!$H$45*Constants!$H$48)*(1+Constants!$H$51))*Constants!$H$54*Constants!$H$42*Constants!$H$57*Constants!$H$58*ttokg</f>
        <v>112652737.22282153</v>
      </c>
      <c r="BN82" s="22">
        <f>((BN41*Constants!$H$45*Constants!$H$48)*(1+Constants!$H$51))*Constants!$H$54*Constants!$H$42*Constants!$H$57*Constants!$H$58*ttokg</f>
        <v>113162859.17557277</v>
      </c>
      <c r="BO82" s="22">
        <f>((BO41*Constants!$H$45*Constants!$H$48)*(1+Constants!$H$51))*Constants!$H$54*Constants!$H$42*Constants!$H$57*Constants!$H$58*ttokg</f>
        <v>113685531.47238453</v>
      </c>
      <c r="BP82" s="22">
        <f>((BP41*Constants!$H$45*Constants!$H$48)*(1+Constants!$H$51))*Constants!$H$54*Constants!$H$42*Constants!$H$57*Constants!$H$58*ttokg</f>
        <v>114221699.99554178</v>
      </c>
    </row>
    <row r="83" spans="1:72" x14ac:dyDescent="0.25">
      <c r="A83" t="str">
        <f>A82</f>
        <v>3C Aggregated and non-CO2 emissions on land</v>
      </c>
      <c r="B83" t="str">
        <f t="shared" ref="B83:C83" si="34">B82</f>
        <v>3C4 Direct N2O from managed soils (N2O)</v>
      </c>
      <c r="C83" t="str">
        <f t="shared" si="34"/>
        <v>Crop residue N</v>
      </c>
      <c r="D83" t="s">
        <v>374</v>
      </c>
      <c r="E83" t="str">
        <f t="shared" si="32"/>
        <v>Crop residue N - wheat</v>
      </c>
      <c r="F83" t="str">
        <f t="shared" si="33"/>
        <v>kg N</v>
      </c>
      <c r="H83" s="22">
        <v>12027674.492947873</v>
      </c>
      <c r="I83" s="22">
        <v>15073733.727081215</v>
      </c>
      <c r="J83" s="22">
        <v>9317109.7170359995</v>
      </c>
      <c r="K83" s="22">
        <v>13960385.955568802</v>
      </c>
      <c r="L83" s="22">
        <v>12951268.598936448</v>
      </c>
      <c r="M83" s="22">
        <v>13915210.572107857</v>
      </c>
      <c r="N83" s="22">
        <v>19086964.362997342</v>
      </c>
      <c r="O83" s="22">
        <v>17104848.961899597</v>
      </c>
      <c r="P83" s="22">
        <v>13260858.352196401</v>
      </c>
      <c r="Q83" s="22">
        <v>12195250.161865054</v>
      </c>
      <c r="R83" s="22">
        <v>17086357.776156764</v>
      </c>
      <c r="S83" s="22">
        <v>17620050.867103875</v>
      </c>
      <c r="T83" s="22">
        <v>17154163.058715936</v>
      </c>
      <c r="U83" s="22">
        <v>10885377.79194624</v>
      </c>
      <c r="V83" s="22">
        <v>11871375.563916</v>
      </c>
      <c r="W83" s="22">
        <v>13405603.487245198</v>
      </c>
      <c r="X83" s="22">
        <v>14812335.740283838</v>
      </c>
      <c r="Y83" s="22">
        <v>13404854.889448704</v>
      </c>
      <c r="Z83" s="22">
        <v>14988421.865818368</v>
      </c>
      <c r="AA83" s="22">
        <v>13767379.251199199</v>
      </c>
      <c r="AB83" s="22">
        <v>10061071.645942945</v>
      </c>
      <c r="AC83" s="22">
        <v>14115618.755591758</v>
      </c>
      <c r="AD83" s="22">
        <f>((AD42*Constants!$H$47*Constants!$H$50)*(1+Constants!$H$53))*Constants!$H$56*Constants!$H$44*Constants!$H$57*Constants!$H$58*ttokg</f>
        <v>12131728.127999999</v>
      </c>
      <c r="AE83" s="22">
        <f>((AE42*Constants!$H$47*Constants!$H$50)*(1+Constants!$H$53))*Constants!$H$56*Constants!$H$44*Constants!$H$57*Constants!$H$58*ttokg</f>
        <v>12131728.127999999</v>
      </c>
      <c r="AF83" s="22">
        <f>((AF42*Constants!$H$47*Constants!$H$50)*(1+Constants!$H$53))*Constants!$H$56*Constants!$H$44*Constants!$H$57*Constants!$H$58*ttokg</f>
        <v>12131728.127999999</v>
      </c>
      <c r="AG83" s="22">
        <f>((AG42*Constants!$H$47*Constants!$H$50)*(1+Constants!$H$53))*Constants!$H$56*Constants!$H$44*Constants!$H$57*Constants!$H$58*ttokg</f>
        <v>12131728.127999999</v>
      </c>
      <c r="AH83" s="22">
        <f>((AH42*Constants!$H$47*Constants!$H$50)*(1+Constants!$H$53))*Constants!$H$56*Constants!$H$44*Constants!$H$57*Constants!$H$58*ttokg</f>
        <v>12131728.127999999</v>
      </c>
      <c r="AI83" s="22">
        <f>((AI42*Constants!$H$47*Constants!$H$50)*(1+Constants!$H$53))*Constants!$H$56*Constants!$H$44*Constants!$H$57*Constants!$H$58*ttokg</f>
        <v>12131728.127999999</v>
      </c>
      <c r="AJ83" s="22">
        <f>((AJ42*Constants!$H$47*Constants!$H$50)*(1+Constants!$H$53))*Constants!$H$56*Constants!$H$44*Constants!$H$57*Constants!$H$58*ttokg</f>
        <v>12131728.127999999</v>
      </c>
      <c r="AK83" s="22">
        <f>((AK42*Constants!$H$47*Constants!$H$50)*(1+Constants!$H$53))*Constants!$H$56*Constants!$H$44*Constants!$H$57*Constants!$H$58*ttokg</f>
        <v>12131728.127999999</v>
      </c>
      <c r="AL83" s="22">
        <f>((AL42*Constants!$H$47*Constants!$H$50)*(1+Constants!$H$53))*Constants!$H$56*Constants!$H$44*Constants!$H$57*Constants!$H$58*ttokg</f>
        <v>12131728.127999999</v>
      </c>
      <c r="AM83" s="22">
        <f>((AM42*Constants!$H$47*Constants!$H$50)*(1+Constants!$H$53))*Constants!$H$56*Constants!$H$44*Constants!$H$57*Constants!$H$58*ttokg</f>
        <v>12131728.127999999</v>
      </c>
      <c r="AN83" s="22">
        <f>((AN42*Constants!$H$47*Constants!$H$50)*(1+Constants!$H$53))*Constants!$H$56*Constants!$H$44*Constants!$H$57*Constants!$H$58*ttokg</f>
        <v>12131728.127999999</v>
      </c>
      <c r="AO83" s="22">
        <f>((AO42*Constants!$H$47*Constants!$H$50)*(1+Constants!$H$53))*Constants!$H$56*Constants!$H$44*Constants!$H$57*Constants!$H$58*ttokg</f>
        <v>12131728.127999999</v>
      </c>
      <c r="AP83" s="22">
        <f>((AP42*Constants!$H$47*Constants!$H$50)*(1+Constants!$H$53))*Constants!$H$56*Constants!$H$44*Constants!$H$57*Constants!$H$58*ttokg</f>
        <v>12131728.127999999</v>
      </c>
      <c r="AQ83" s="22">
        <f>((AQ42*Constants!$H$47*Constants!$H$50)*(1+Constants!$H$53))*Constants!$H$56*Constants!$H$44*Constants!$H$57*Constants!$H$58*ttokg</f>
        <v>12131728.127999999</v>
      </c>
      <c r="AR83" s="22">
        <f>((AR42*Constants!$H$47*Constants!$H$50)*(1+Constants!$H$53))*Constants!$H$56*Constants!$H$44*Constants!$H$57*Constants!$H$58*ttokg</f>
        <v>12131728.127999999</v>
      </c>
      <c r="AS83" s="22">
        <f>((AS42*Constants!$H$47*Constants!$H$50)*(1+Constants!$H$53))*Constants!$H$56*Constants!$H$44*Constants!$H$57*Constants!$H$58*ttokg</f>
        <v>12131728.127999999</v>
      </c>
      <c r="AT83" s="22">
        <f>((AT42*Constants!$H$47*Constants!$H$50)*(1+Constants!$H$53))*Constants!$H$56*Constants!$H$44*Constants!$H$57*Constants!$H$58*ttokg</f>
        <v>12131728.127999999</v>
      </c>
      <c r="AU83" s="22">
        <f>((AU42*Constants!$H$47*Constants!$H$50)*(1+Constants!$H$53))*Constants!$H$56*Constants!$H$44*Constants!$H$57*Constants!$H$58*ttokg</f>
        <v>12131728.127999999</v>
      </c>
      <c r="AV83" s="22">
        <f>((AV42*Constants!$H$47*Constants!$H$50)*(1+Constants!$H$53))*Constants!$H$56*Constants!$H$44*Constants!$H$57*Constants!$H$58*ttokg</f>
        <v>12131728.127999999</v>
      </c>
      <c r="AW83" s="22">
        <f>((AW42*Constants!$H$47*Constants!$H$50)*(1+Constants!$H$53))*Constants!$H$56*Constants!$H$44*Constants!$H$57*Constants!$H$58*ttokg</f>
        <v>12131728.127999999</v>
      </c>
      <c r="AX83" s="22">
        <f>((AX42*Constants!$H$47*Constants!$H$50)*(1+Constants!$H$53))*Constants!$H$56*Constants!$H$44*Constants!$H$57*Constants!$H$58*ttokg</f>
        <v>12131728.127999999</v>
      </c>
      <c r="AY83" s="22">
        <f>((AY42*Constants!$H$47*Constants!$H$50)*(1+Constants!$H$53))*Constants!$H$56*Constants!$H$44*Constants!$H$57*Constants!$H$58*ttokg</f>
        <v>12131728.127999999</v>
      </c>
      <c r="AZ83" s="22">
        <f>((AZ42*Constants!$H$47*Constants!$H$50)*(1+Constants!$H$53))*Constants!$H$56*Constants!$H$44*Constants!$H$57*Constants!$H$58*ttokg</f>
        <v>12131728.127999999</v>
      </c>
      <c r="BA83" s="22">
        <f>((BA42*Constants!$H$47*Constants!$H$50)*(1+Constants!$H$53))*Constants!$H$56*Constants!$H$44*Constants!$H$57*Constants!$H$58*ttokg</f>
        <v>12131728.127999999</v>
      </c>
      <c r="BB83" s="22">
        <f>((BB42*Constants!$H$47*Constants!$H$50)*(1+Constants!$H$53))*Constants!$H$56*Constants!$H$44*Constants!$H$57*Constants!$H$58*ttokg</f>
        <v>12131728.127999999</v>
      </c>
      <c r="BC83" s="22">
        <f>((BC42*Constants!$H$47*Constants!$H$50)*(1+Constants!$H$53))*Constants!$H$56*Constants!$H$44*Constants!$H$57*Constants!$H$58*ttokg</f>
        <v>12131728.127999999</v>
      </c>
      <c r="BD83" s="22">
        <f>((BD42*Constants!$H$47*Constants!$H$50)*(1+Constants!$H$53))*Constants!$H$56*Constants!$H$44*Constants!$H$57*Constants!$H$58*ttokg</f>
        <v>12131728.127999999</v>
      </c>
      <c r="BE83" s="22">
        <f>((BE42*Constants!$H$47*Constants!$H$50)*(1+Constants!$H$53))*Constants!$H$56*Constants!$H$44*Constants!$H$57*Constants!$H$58*ttokg</f>
        <v>12131728.127999999</v>
      </c>
      <c r="BF83" s="22">
        <f>((BF42*Constants!$H$47*Constants!$H$50)*(1+Constants!$H$53))*Constants!$H$56*Constants!$H$44*Constants!$H$57*Constants!$H$58*ttokg</f>
        <v>12131728.127999999</v>
      </c>
      <c r="BG83" s="22">
        <f>((BG42*Constants!$H$47*Constants!$H$50)*(1+Constants!$H$53))*Constants!$H$56*Constants!$H$44*Constants!$H$57*Constants!$H$58*ttokg</f>
        <v>12131728.127999999</v>
      </c>
      <c r="BH83" s="22">
        <f>((BH42*Constants!$H$47*Constants!$H$50)*(1+Constants!$H$53))*Constants!$H$56*Constants!$H$44*Constants!$H$57*Constants!$H$58*ttokg</f>
        <v>12131728.127999999</v>
      </c>
      <c r="BI83" s="22">
        <f>((BI42*Constants!$H$47*Constants!$H$50)*(1+Constants!$H$53))*Constants!$H$56*Constants!$H$44*Constants!$H$57*Constants!$H$58*ttokg</f>
        <v>12131728.127999999</v>
      </c>
      <c r="BJ83" s="22">
        <f>((BJ42*Constants!$H$47*Constants!$H$50)*(1+Constants!$H$53))*Constants!$H$56*Constants!$H$44*Constants!$H$57*Constants!$H$58*ttokg</f>
        <v>12131728.127999999</v>
      </c>
      <c r="BK83" s="22">
        <f>((BK42*Constants!$H$47*Constants!$H$50)*(1+Constants!$H$53))*Constants!$H$56*Constants!$H$44*Constants!$H$57*Constants!$H$58*ttokg</f>
        <v>12131728.127999999</v>
      </c>
      <c r="BL83" s="22">
        <f>((BL42*Constants!$H$47*Constants!$H$50)*(1+Constants!$H$53))*Constants!$H$56*Constants!$H$44*Constants!$H$57*Constants!$H$58*ttokg</f>
        <v>12131728.127999999</v>
      </c>
      <c r="BM83" s="22">
        <f>((BM42*Constants!$H$47*Constants!$H$50)*(1+Constants!$H$53))*Constants!$H$56*Constants!$H$44*Constants!$H$57*Constants!$H$58*ttokg</f>
        <v>12131728.127999999</v>
      </c>
      <c r="BN83" s="22">
        <f>((BN42*Constants!$H$47*Constants!$H$50)*(1+Constants!$H$53))*Constants!$H$56*Constants!$H$44*Constants!$H$57*Constants!$H$58*ttokg</f>
        <v>12131728.127999999</v>
      </c>
      <c r="BO83" s="22">
        <f>((BO42*Constants!$H$47*Constants!$H$50)*(1+Constants!$H$53))*Constants!$H$56*Constants!$H$44*Constants!$H$57*Constants!$H$58*ttokg</f>
        <v>12131728.127999999</v>
      </c>
      <c r="BP83" s="22">
        <f>((BP42*Constants!$H$47*Constants!$H$50)*(1+Constants!$H$53))*Constants!$H$56*Constants!$H$44*Constants!$H$57*Constants!$H$58*ttokg</f>
        <v>12131728.127999999</v>
      </c>
    </row>
    <row r="84" spans="1:72" x14ac:dyDescent="0.25">
      <c r="A84" t="str">
        <f>A83</f>
        <v>3C Aggregated and non-CO2 emissions on land</v>
      </c>
      <c r="B84" t="str">
        <f t="shared" ref="B84" si="35">B83</f>
        <v>3C4 Direct N2O from managed soils (N2O)</v>
      </c>
      <c r="C84" t="str">
        <f t="shared" ref="C84" si="36">C83</f>
        <v>Crop residue N</v>
      </c>
      <c r="D84" t="s">
        <v>375</v>
      </c>
      <c r="E84" t="str">
        <f t="shared" si="32"/>
        <v>Crop residue N - sorghum</v>
      </c>
      <c r="F84" t="str">
        <f t="shared" si="33"/>
        <v>kg N</v>
      </c>
      <c r="H84" s="22">
        <v>390687.3631584</v>
      </c>
      <c r="I84" s="22">
        <v>361799.87719679996</v>
      </c>
      <c r="J84" s="22">
        <v>48092.127955199998</v>
      </c>
      <c r="K84" s="22">
        <v>731712.72642101767</v>
      </c>
      <c r="L84" s="22">
        <v>784820.45288404799</v>
      </c>
      <c r="M84" s="22">
        <v>388730.34895175043</v>
      </c>
      <c r="N84" s="22">
        <v>1085449.9899444769</v>
      </c>
      <c r="O84" s="22">
        <v>767913.6197730815</v>
      </c>
      <c r="P84" s="22">
        <v>644364.57901744312</v>
      </c>
      <c r="Q84" s="22">
        <v>332629.55174332805</v>
      </c>
      <c r="R84" s="22">
        <v>310743.09356160002</v>
      </c>
      <c r="S84" s="22">
        <v>135738.5035776</v>
      </c>
      <c r="T84" s="22">
        <v>169256.39976</v>
      </c>
      <c r="U84" s="22">
        <v>170266.89153600001</v>
      </c>
      <c r="V84" s="22">
        <v>245534.82844799999</v>
      </c>
      <c r="W84" s="22">
        <v>170159.33773440003</v>
      </c>
      <c r="X84" s="22">
        <v>62943.126489599999</v>
      </c>
      <c r="Y84" s="22">
        <v>115864.25639040001</v>
      </c>
      <c r="Z84" s="22">
        <v>168245.86927680002</v>
      </c>
      <c r="AA84" s="22">
        <v>183064.86347520002</v>
      </c>
      <c r="AB84" s="22">
        <v>129857.51237760003</v>
      </c>
      <c r="AC84" s="22">
        <v>101755.71665280001</v>
      </c>
      <c r="AD84" s="22">
        <f>((AD43*Constants!$H$46*Constants!$H$49)+(1+Constants!$H$52))*Constants!$H$55*Constants!$H$43*Constants!$H$57*Constants!$H$58*ttokg</f>
        <v>131877.44099999996</v>
      </c>
      <c r="AE84" s="22">
        <f>((AE43*Constants!$H$46*Constants!$H$49)+(1+Constants!$H$52))*Constants!$H$55*Constants!$H$43*Constants!$H$57*Constants!$H$58*ttokg</f>
        <v>131877.44099999996</v>
      </c>
      <c r="AF84" s="22">
        <f>((AF43*Constants!$H$46*Constants!$H$49)+(1+Constants!$H$52))*Constants!$H$55*Constants!$H$43*Constants!$H$57*Constants!$H$58*ttokg</f>
        <v>131877.44099999996</v>
      </c>
      <c r="AG84" s="22">
        <f>((AG43*Constants!$H$46*Constants!$H$49)+(1+Constants!$H$52))*Constants!$H$55*Constants!$H$43*Constants!$H$57*Constants!$H$58*ttokg</f>
        <v>131877.44099999996</v>
      </c>
      <c r="AH84" s="22">
        <f>((AH43*Constants!$H$46*Constants!$H$49)+(1+Constants!$H$52))*Constants!$H$55*Constants!$H$43*Constants!$H$57*Constants!$H$58*ttokg</f>
        <v>131877.44099999996</v>
      </c>
      <c r="AI84" s="22">
        <f>((AI43*Constants!$H$46*Constants!$H$49)+(1+Constants!$H$52))*Constants!$H$55*Constants!$H$43*Constants!$H$57*Constants!$H$58*ttokg</f>
        <v>131877.44099999996</v>
      </c>
      <c r="AJ84" s="22">
        <f>((AJ43*Constants!$H$46*Constants!$H$49)+(1+Constants!$H$52))*Constants!$H$55*Constants!$H$43*Constants!$H$57*Constants!$H$58*ttokg</f>
        <v>131877.44099999996</v>
      </c>
      <c r="AK84" s="22">
        <f>((AK43*Constants!$H$46*Constants!$H$49)+(1+Constants!$H$52))*Constants!$H$55*Constants!$H$43*Constants!$H$57*Constants!$H$58*ttokg</f>
        <v>131877.44099999996</v>
      </c>
      <c r="AL84" s="22">
        <f>((AL43*Constants!$H$46*Constants!$H$49)+(1+Constants!$H$52))*Constants!$H$55*Constants!$H$43*Constants!$H$57*Constants!$H$58*ttokg</f>
        <v>131877.44099999996</v>
      </c>
      <c r="AM84" s="22">
        <f>((AM43*Constants!$H$46*Constants!$H$49)+(1+Constants!$H$52))*Constants!$H$55*Constants!$H$43*Constants!$H$57*Constants!$H$58*ttokg</f>
        <v>131877.44099999996</v>
      </c>
      <c r="AN84" s="22">
        <f>((AN43*Constants!$H$46*Constants!$H$49)+(1+Constants!$H$52))*Constants!$H$55*Constants!$H$43*Constants!$H$57*Constants!$H$58*ttokg</f>
        <v>131877.44099999996</v>
      </c>
      <c r="AO84" s="22">
        <f>((AO43*Constants!$H$46*Constants!$H$49)+(1+Constants!$H$52))*Constants!$H$55*Constants!$H$43*Constants!$H$57*Constants!$H$58*ttokg</f>
        <v>131877.44099999996</v>
      </c>
      <c r="AP84" s="22">
        <f>((AP43*Constants!$H$46*Constants!$H$49)+(1+Constants!$H$52))*Constants!$H$55*Constants!$H$43*Constants!$H$57*Constants!$H$58*ttokg</f>
        <v>131877.44099999996</v>
      </c>
      <c r="AQ84" s="22">
        <f>((AQ43*Constants!$H$46*Constants!$H$49)+(1+Constants!$H$52))*Constants!$H$55*Constants!$H$43*Constants!$H$57*Constants!$H$58*ttokg</f>
        <v>131877.44099999996</v>
      </c>
      <c r="AR84" s="22">
        <f>((AR43*Constants!$H$46*Constants!$H$49)+(1+Constants!$H$52))*Constants!$H$55*Constants!$H$43*Constants!$H$57*Constants!$H$58*ttokg</f>
        <v>131877.44099999996</v>
      </c>
      <c r="AS84" s="22">
        <f>((AS43*Constants!$H$46*Constants!$H$49)+(1+Constants!$H$52))*Constants!$H$55*Constants!$H$43*Constants!$H$57*Constants!$H$58*ttokg</f>
        <v>131877.44099999996</v>
      </c>
      <c r="AT84" s="22">
        <f>((AT43*Constants!$H$46*Constants!$H$49)+(1+Constants!$H$52))*Constants!$H$55*Constants!$H$43*Constants!$H$57*Constants!$H$58*ttokg</f>
        <v>131877.44099999996</v>
      </c>
      <c r="AU84" s="22">
        <f>((AU43*Constants!$H$46*Constants!$H$49)+(1+Constants!$H$52))*Constants!$H$55*Constants!$H$43*Constants!$H$57*Constants!$H$58*ttokg</f>
        <v>131877.44099999996</v>
      </c>
      <c r="AV84" s="22">
        <f>((AV43*Constants!$H$46*Constants!$H$49)+(1+Constants!$H$52))*Constants!$H$55*Constants!$H$43*Constants!$H$57*Constants!$H$58*ttokg</f>
        <v>131877.44099999996</v>
      </c>
      <c r="AW84" s="22">
        <f>((AW43*Constants!$H$46*Constants!$H$49)+(1+Constants!$H$52))*Constants!$H$55*Constants!$H$43*Constants!$H$57*Constants!$H$58*ttokg</f>
        <v>131877.44099999996</v>
      </c>
      <c r="AX84" s="22">
        <f>((AX43*Constants!$H$46*Constants!$H$49)+(1+Constants!$H$52))*Constants!$H$55*Constants!$H$43*Constants!$H$57*Constants!$H$58*ttokg</f>
        <v>131877.44099999996</v>
      </c>
      <c r="AY84" s="22">
        <f>((AY43*Constants!$H$46*Constants!$H$49)+(1+Constants!$H$52))*Constants!$H$55*Constants!$H$43*Constants!$H$57*Constants!$H$58*ttokg</f>
        <v>131877.44099999996</v>
      </c>
      <c r="AZ84" s="22">
        <f>((AZ43*Constants!$H$46*Constants!$H$49)+(1+Constants!$H$52))*Constants!$H$55*Constants!$H$43*Constants!$H$57*Constants!$H$58*ttokg</f>
        <v>131877.44099999996</v>
      </c>
      <c r="BA84" s="22">
        <f>((BA43*Constants!$H$46*Constants!$H$49)+(1+Constants!$H$52))*Constants!$H$55*Constants!$H$43*Constants!$H$57*Constants!$H$58*ttokg</f>
        <v>131877.44099999996</v>
      </c>
      <c r="BB84" s="22">
        <f>((BB43*Constants!$H$46*Constants!$H$49)+(1+Constants!$H$52))*Constants!$H$55*Constants!$H$43*Constants!$H$57*Constants!$H$58*ttokg</f>
        <v>131877.44099999996</v>
      </c>
      <c r="BC84" s="22">
        <f>((BC43*Constants!$H$46*Constants!$H$49)+(1+Constants!$H$52))*Constants!$H$55*Constants!$H$43*Constants!$H$57*Constants!$H$58*ttokg</f>
        <v>131877.44099999996</v>
      </c>
      <c r="BD84" s="22">
        <f>((BD43*Constants!$H$46*Constants!$H$49)+(1+Constants!$H$52))*Constants!$H$55*Constants!$H$43*Constants!$H$57*Constants!$H$58*ttokg</f>
        <v>131877.44099999996</v>
      </c>
      <c r="BE84" s="22">
        <f>((BE43*Constants!$H$46*Constants!$H$49)+(1+Constants!$H$52))*Constants!$H$55*Constants!$H$43*Constants!$H$57*Constants!$H$58*ttokg</f>
        <v>131877.44099999996</v>
      </c>
      <c r="BF84" s="22">
        <f>((BF43*Constants!$H$46*Constants!$H$49)+(1+Constants!$H$52))*Constants!$H$55*Constants!$H$43*Constants!$H$57*Constants!$H$58*ttokg</f>
        <v>131877.44099999996</v>
      </c>
      <c r="BG84" s="22">
        <f>((BG43*Constants!$H$46*Constants!$H$49)+(1+Constants!$H$52))*Constants!$H$55*Constants!$H$43*Constants!$H$57*Constants!$H$58*ttokg</f>
        <v>131877.44099999996</v>
      </c>
      <c r="BH84" s="22">
        <f>((BH43*Constants!$H$46*Constants!$H$49)+(1+Constants!$H$52))*Constants!$H$55*Constants!$H$43*Constants!$H$57*Constants!$H$58*ttokg</f>
        <v>131877.44099999996</v>
      </c>
      <c r="BI84" s="22">
        <f>((BI43*Constants!$H$46*Constants!$H$49)+(1+Constants!$H$52))*Constants!$H$55*Constants!$H$43*Constants!$H$57*Constants!$H$58*ttokg</f>
        <v>131877.44099999996</v>
      </c>
      <c r="BJ84" s="22">
        <f>((BJ43*Constants!$H$46*Constants!$H$49)+(1+Constants!$H$52))*Constants!$H$55*Constants!$H$43*Constants!$H$57*Constants!$H$58*ttokg</f>
        <v>131877.44099999996</v>
      </c>
      <c r="BK84" s="22">
        <f>((BK43*Constants!$H$46*Constants!$H$49)+(1+Constants!$H$52))*Constants!$H$55*Constants!$H$43*Constants!$H$57*Constants!$H$58*ttokg</f>
        <v>131877.44099999996</v>
      </c>
      <c r="BL84" s="22">
        <f>((BL43*Constants!$H$46*Constants!$H$49)+(1+Constants!$H$52))*Constants!$H$55*Constants!$H$43*Constants!$H$57*Constants!$H$58*ttokg</f>
        <v>131877.44099999996</v>
      </c>
      <c r="BM84" s="22">
        <f>((BM43*Constants!$H$46*Constants!$H$49)+(1+Constants!$H$52))*Constants!$H$55*Constants!$H$43*Constants!$H$57*Constants!$H$58*ttokg</f>
        <v>131877.44099999996</v>
      </c>
      <c r="BN84" s="22">
        <f>((BN43*Constants!$H$46*Constants!$H$49)+(1+Constants!$H$52))*Constants!$H$55*Constants!$H$43*Constants!$H$57*Constants!$H$58*ttokg</f>
        <v>131877.44099999996</v>
      </c>
      <c r="BO84" s="22">
        <f>((BO43*Constants!$H$46*Constants!$H$49)+(1+Constants!$H$52))*Constants!$H$55*Constants!$H$43*Constants!$H$57*Constants!$H$58*ttokg</f>
        <v>131877.44099999996</v>
      </c>
      <c r="BP84" s="22">
        <f>((BP43*Constants!$H$46*Constants!$H$49)+(1+Constants!$H$52))*Constants!$H$55*Constants!$H$43*Constants!$H$57*Constants!$H$58*ttokg</f>
        <v>131877.44099999996</v>
      </c>
    </row>
    <row r="85" spans="1:72" x14ac:dyDescent="0.25">
      <c r="A85" t="str">
        <f>A84</f>
        <v>3C Aggregated and non-CO2 emissions on land</v>
      </c>
      <c r="B85" t="str">
        <f t="shared" ref="B85" si="37">B84</f>
        <v>3C4 Direct N2O from managed soils (N2O)</v>
      </c>
      <c r="C85" t="str">
        <f t="shared" ref="C85" si="38">C84</f>
        <v>Crop residue N</v>
      </c>
      <c r="D85" t="s">
        <v>376</v>
      </c>
      <c r="E85" t="str">
        <f t="shared" si="32"/>
        <v>Crop residue N - total</v>
      </c>
      <c r="F85" t="str">
        <f t="shared" si="33"/>
        <v>kg N</v>
      </c>
      <c r="H85" s="22">
        <f>SUM(H82:H84)/Constants!$H$41</f>
        <v>302735136.11723351</v>
      </c>
      <c r="I85" s="22">
        <f>SUM(I82:I84)/Constants!$H$41</f>
        <v>269840981.05789542</v>
      </c>
      <c r="J85" s="22">
        <f>SUM(J82:J84)/Constants!$H$41</f>
        <v>280977614.4791981</v>
      </c>
      <c r="K85" s="22">
        <f>SUM(K82:K84)/Constants!$H$41</f>
        <v>301756562.3850947</v>
      </c>
      <c r="L85" s="22">
        <f>SUM(L82:L84)/Constants!$H$41</f>
        <v>318239907.16226852</v>
      </c>
      <c r="M85" s="22">
        <f>SUM(M82:M84)/Constants!$H$41</f>
        <v>247496959.03553009</v>
      </c>
      <c r="N85" s="22">
        <f>SUM(N82:N84)/Constants!$H$41</f>
        <v>272613503.48055476</v>
      </c>
      <c r="O85" s="22">
        <f>SUM(O82:O84)/Constants!$H$41</f>
        <v>286680375.68176723</v>
      </c>
      <c r="P85" s="22">
        <f>SUM(P82:P84)/Constants!$H$41</f>
        <v>249809244.98907641</v>
      </c>
      <c r="Q85" s="22">
        <f>SUM(Q82:Q84)/Constants!$H$41</f>
        <v>247888661.1722897</v>
      </c>
      <c r="R85" s="22">
        <f>SUM(R82:R84)/Constants!$H$41</f>
        <v>284523196.2187826</v>
      </c>
      <c r="S85" s="22">
        <f>SUM(S82:S84)/Constants!$H$41</f>
        <v>232393825.58145612</v>
      </c>
      <c r="T85" s="22">
        <f>SUM(T82:T84)/Constants!$H$41</f>
        <v>253463207.00223199</v>
      </c>
      <c r="U85" s="22">
        <f>SUM(U82:U84)/Constants!$H$41</f>
        <v>250101158.55903342</v>
      </c>
      <c r="V85" s="22">
        <f>SUM(V82:V84)/Constants!$H$41</f>
        <v>223649265.30173606</v>
      </c>
      <c r="W85" s="22">
        <f>SUM(W82:W84)/Constants!$H$41</f>
        <v>227172298.65832567</v>
      </c>
      <c r="X85" s="22">
        <f>SUM(X82:X84)/Constants!$H$41</f>
        <v>152748609.20992908</v>
      </c>
      <c r="Y85" s="22">
        <f>SUM(Y82:Y84)/Constants!$H$41</f>
        <v>207071947.97845623</v>
      </c>
      <c r="Z85" s="22">
        <f>SUM(Z82:Z84)/Constants!$H$41</f>
        <v>236494953.31233731</v>
      </c>
      <c r="AA85" s="22">
        <f>SUM(AA82:AA84)/Constants!$H$41</f>
        <v>210127498.6066227</v>
      </c>
      <c r="AB85" s="22">
        <f>SUM(AB82:AB84)/Constants!$H$41</f>
        <v>229428626.58588862</v>
      </c>
      <c r="AC85" s="22">
        <f>SUM(AC82:AC84)/Constants!$H$41</f>
        <v>212438780.81340763</v>
      </c>
      <c r="AD85" s="22">
        <f>SUM(AD82:AD84)/Constants!$H$41</f>
        <v>187683306.05231518</v>
      </c>
      <c r="AE85" s="22">
        <f>SUM(AE82:AE84)/Constants!$H$41</f>
        <v>188080495.96828786</v>
      </c>
      <c r="AF85" s="22">
        <f>SUM(AF82:AF84)/Constants!$H$41</f>
        <v>188763338.88393351</v>
      </c>
      <c r="AG85" s="22">
        <f>SUM(AG82:AG84)/Constants!$H$41</f>
        <v>189233465.09864908</v>
      </c>
      <c r="AH85" s="22">
        <f>SUM(AH82:AH84)/Constants!$H$41</f>
        <v>189532938.31789094</v>
      </c>
      <c r="AI85" s="22">
        <f>SUM(AI82:AI84)/Constants!$H$41</f>
        <v>189721876.85629058</v>
      </c>
      <c r="AJ85" s="22">
        <f>SUM(AJ82:AJ84)/Constants!$H$41</f>
        <v>189985761.3032555</v>
      </c>
      <c r="AK85" s="22">
        <f>SUM(AK82:AK84)/Constants!$H$41</f>
        <v>190293797.03242701</v>
      </c>
      <c r="AL85" s="22">
        <f>SUM(AL82:AL84)/Constants!$H$41</f>
        <v>190588185.54704139</v>
      </c>
      <c r="AM85" s="22">
        <f>SUM(AM82:AM84)/Constants!$H$41</f>
        <v>188323658.5164642</v>
      </c>
      <c r="AN85" s="22">
        <f>SUM(AN82:AN84)/Constants!$H$41</f>
        <v>188911157.54638436</v>
      </c>
      <c r="AO85" s="22">
        <f>SUM(AO82:AO84)/Constants!$H$41</f>
        <v>189496101.2374773</v>
      </c>
      <c r="AP85" s="22">
        <f>SUM(AP82:AP84)/Constants!$H$41</f>
        <v>190131430.11423284</v>
      </c>
      <c r="AQ85" s="22">
        <f>SUM(AQ82:AQ84)/Constants!$H$41</f>
        <v>190796151.91967356</v>
      </c>
      <c r="AR85" s="22">
        <f>SUM(AR82:AR84)/Constants!$H$41</f>
        <v>191442844.93208376</v>
      </c>
      <c r="AS85" s="22">
        <f>SUM(AS82:AS84)/Constants!$H$41</f>
        <v>192169006.76958832</v>
      </c>
      <c r="AT85" s="22">
        <f>SUM(AT82:AT84)/Constants!$H$41</f>
        <v>192907124.18996134</v>
      </c>
      <c r="AU85" s="22">
        <f>SUM(AU82:AU84)/Constants!$H$41</f>
        <v>193669127.11423436</v>
      </c>
      <c r="AV85" s="22">
        <f>SUM(AV82:AV84)/Constants!$H$41</f>
        <v>194439968.28742769</v>
      </c>
      <c r="AW85" s="22">
        <f>SUM(AW82:AW84)/Constants!$H$41</f>
        <v>195086299.39371827</v>
      </c>
      <c r="AX85" s="22">
        <f>SUM(AX82:AX84)/Constants!$H$41</f>
        <v>195876444.93856627</v>
      </c>
      <c r="AY85" s="22">
        <f>SUM(AY82:AY84)/Constants!$H$41</f>
        <v>196667030.21207196</v>
      </c>
      <c r="AZ85" s="22">
        <f>SUM(AZ82:AZ84)/Constants!$H$41</f>
        <v>197462428.20994201</v>
      </c>
      <c r="BA85" s="22">
        <f>SUM(BA82:BA84)/Constants!$H$41</f>
        <v>198212306.02168325</v>
      </c>
      <c r="BB85" s="22">
        <f>SUM(BB82:BB84)/Constants!$H$41</f>
        <v>198987503.96241674</v>
      </c>
      <c r="BC85" s="22">
        <f>SUM(BC82:BC84)/Constants!$H$41</f>
        <v>199787336.72295642</v>
      </c>
      <c r="BD85" s="22">
        <f>SUM(BD82:BD84)/Constants!$H$41</f>
        <v>200597400.76807091</v>
      </c>
      <c r="BE85" s="22">
        <f>SUM(BE82:BE84)/Constants!$H$41</f>
        <v>201383201.28685826</v>
      </c>
      <c r="BF85" s="22">
        <f>SUM(BF82:BF84)/Constants!$H$41</f>
        <v>202179042.53855282</v>
      </c>
      <c r="BG85" s="22">
        <f>SUM(BG82:BG84)/Constants!$H$41</f>
        <v>203003801.43233576</v>
      </c>
      <c r="BH85" s="22">
        <f>SUM(BH82:BH84)/Constants!$H$41</f>
        <v>203846562.3248319</v>
      </c>
      <c r="BI85" s="22">
        <f>SUM(BI82:BI84)/Constants!$H$41</f>
        <v>204703177.72822353</v>
      </c>
      <c r="BJ85" s="22">
        <f>SUM(BJ82:BJ84)/Constants!$H$41</f>
        <v>205573736.31730151</v>
      </c>
      <c r="BK85" s="22">
        <f>SUM(BK82:BK84)/Constants!$H$41</f>
        <v>206457247.30450499</v>
      </c>
      <c r="BL85" s="22">
        <f>SUM(BL82:BL84)/Constants!$H$41</f>
        <v>207359661.4440802</v>
      </c>
      <c r="BM85" s="22">
        <f>SUM(BM82:BM84)/Constants!$H$41</f>
        <v>208193904.65303588</v>
      </c>
      <c r="BN85" s="22">
        <f>SUM(BN82:BN84)/Constants!$H$41</f>
        <v>209044107.90762129</v>
      </c>
      <c r="BO85" s="22">
        <f>SUM(BO82:BO84)/Constants!$H$41</f>
        <v>209915228.40230757</v>
      </c>
      <c r="BP85" s="22">
        <f>SUM(BP82:BP84)/Constants!$H$41</f>
        <v>210808842.60756963</v>
      </c>
    </row>
    <row r="86" spans="1:72" ht="18.75" customHeight="1" x14ac:dyDescent="0.25">
      <c r="A86" s="20" t="s">
        <v>60</v>
      </c>
      <c r="B86" s="20"/>
      <c r="C86" s="20"/>
      <c r="D86" s="15"/>
      <c r="E86" s="15"/>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c r="AF86" s="15"/>
      <c r="AG86" s="15"/>
      <c r="AH86" s="15"/>
      <c r="AI86" s="15"/>
      <c r="AJ86" s="15"/>
      <c r="AK86" s="15"/>
      <c r="AL86" s="15"/>
      <c r="AM86" s="15"/>
      <c r="AN86" s="15"/>
      <c r="AO86" s="15"/>
      <c r="AP86" s="15"/>
      <c r="AQ86" s="15"/>
      <c r="AR86" s="15"/>
      <c r="AS86" s="15"/>
      <c r="AT86" s="15"/>
      <c r="AU86" s="15"/>
      <c r="AV86" s="15"/>
      <c r="AW86" s="15"/>
      <c r="AX86" s="15"/>
      <c r="AY86" s="15"/>
      <c r="AZ86" s="15"/>
      <c r="BA86" s="15"/>
      <c r="BB86" s="15"/>
      <c r="BC86" s="15"/>
      <c r="BD86" s="15"/>
      <c r="BE86" s="15"/>
      <c r="BF86" s="15"/>
      <c r="BG86" s="15"/>
      <c r="BH86" s="15"/>
      <c r="BI86" s="15"/>
      <c r="BJ86" s="15"/>
      <c r="BK86" s="15"/>
      <c r="BL86" s="15"/>
      <c r="BM86" s="15"/>
      <c r="BN86" s="15"/>
      <c r="BO86" s="15"/>
      <c r="BP86" s="15"/>
      <c r="BQ86" s="23"/>
      <c r="BS86" s="16"/>
      <c r="BT86" s="15"/>
    </row>
    <row r="87" spans="1:72" x14ac:dyDescent="0.25">
      <c r="A87" t="str">
        <f>'IPCC Categories'!A59</f>
        <v>3C Aggregated and non-CO2 emissions on land</v>
      </c>
      <c r="B87" t="str">
        <f>'IPCC Categories'!B73</f>
        <v>3C4 Direct N2O from managed soils (N2O)</v>
      </c>
      <c r="C87" t="s">
        <v>60</v>
      </c>
      <c r="D87" t="s">
        <v>718</v>
      </c>
      <c r="F87" t="s">
        <v>719</v>
      </c>
      <c r="H87" s="83" t="s">
        <v>720</v>
      </c>
      <c r="I87" s="83" t="s">
        <v>720</v>
      </c>
      <c r="J87" s="83" t="s">
        <v>720</v>
      </c>
      <c r="K87" s="83" t="s">
        <v>720</v>
      </c>
      <c r="L87" s="83" t="s">
        <v>720</v>
      </c>
      <c r="M87" s="83" t="s">
        <v>720</v>
      </c>
      <c r="N87" s="83" t="s">
        <v>720</v>
      </c>
      <c r="O87" s="83" t="s">
        <v>720</v>
      </c>
      <c r="P87" s="83" t="s">
        <v>720</v>
      </c>
      <c r="Q87" s="83" t="s">
        <v>720</v>
      </c>
      <c r="R87" s="83" t="s">
        <v>720</v>
      </c>
      <c r="S87" s="83" t="s">
        <v>720</v>
      </c>
      <c r="T87" s="83" t="s">
        <v>720</v>
      </c>
      <c r="U87" s="83" t="s">
        <v>720</v>
      </c>
      <c r="V87" s="83" t="s">
        <v>720</v>
      </c>
      <c r="W87" s="83" t="s">
        <v>720</v>
      </c>
      <c r="X87" s="83" t="s">
        <v>720</v>
      </c>
      <c r="Y87" s="83" t="s">
        <v>720</v>
      </c>
      <c r="Z87" s="83" t="s">
        <v>720</v>
      </c>
      <c r="AA87" s="83" t="s">
        <v>720</v>
      </c>
      <c r="AB87" s="43" t="s">
        <v>720</v>
      </c>
      <c r="AC87" s="43" t="s">
        <v>720</v>
      </c>
      <c r="AD87" s="95" t="str">
        <f>IF('[2]Mitigation summary'!G11*CO2toC*Ggtot&gt;0,'[2]Mitigation summary'!G11*CO2toC*Ggtot,"NO")</f>
        <v>NO</v>
      </c>
      <c r="AE87" s="95" t="str">
        <f>IF('[2]Mitigation summary'!H11*CO2toC*Ggtot&gt;0,'[2]Mitigation summary'!H11*CO2toC*Ggtot,"NO")</f>
        <v>NO</v>
      </c>
      <c r="AF87" s="95" t="str">
        <f>IF('[2]Mitigation summary'!I11*CO2toC*Ggtot&gt;0,'[2]Mitigation summary'!I11*CO2toC*Ggtot,"NO")</f>
        <v>NO</v>
      </c>
      <c r="AG87" s="95" t="str">
        <f>IF('[2]Mitigation summary'!J11*CO2toC*Ggtot&gt;0,'[2]Mitigation summary'!J11*CO2toC*Ggtot,"NO")</f>
        <v>NO</v>
      </c>
      <c r="AH87" s="95" t="str">
        <f>IF('[2]Mitigation summary'!K11*CO2toC*Ggtot&gt;0,'[2]Mitigation summary'!K11*CO2toC*Ggtot,"NO")</f>
        <v>NO</v>
      </c>
      <c r="AI87" s="95" t="str">
        <f>IF('[2]Mitigation summary'!L11*CO2toC*Ggtot&gt;0,'[2]Mitigation summary'!L11*CO2toC*Ggtot,"NO")</f>
        <v>NO</v>
      </c>
      <c r="AJ87" s="95" t="str">
        <f>IF('[2]Mitigation summary'!M11*CO2toC*Ggtot&gt;0,'[2]Mitigation summary'!M11*CO2toC*Ggtot,"NO")</f>
        <v>NO</v>
      </c>
      <c r="AK87" s="95" t="str">
        <f>IF('[2]Mitigation summary'!N11*CO2toC*Ggtot&gt;0,'[2]Mitigation summary'!N11*CO2toC*Ggtot,"NO")</f>
        <v>NO</v>
      </c>
      <c r="AL87" s="95" t="str">
        <f>IF('[2]Mitigation summary'!O11*CO2toC*Ggtot&gt;0,'[2]Mitigation summary'!O11*CO2toC*Ggtot,"NO")</f>
        <v>NO</v>
      </c>
      <c r="AM87" s="95" t="str">
        <f>IF('[2]Mitigation summary'!P11*CO2toC*Ggtot&gt;0,'[2]Mitigation summary'!P11*CO2toC*Ggtot,"NO")</f>
        <v>NO</v>
      </c>
      <c r="AN87" s="95" t="str">
        <f>IF('[2]Mitigation summary'!Q11*CO2toC*Ggtot&gt;0,'[2]Mitigation summary'!Q11*CO2toC*Ggtot,"NO")</f>
        <v>NO</v>
      </c>
      <c r="AO87" s="95" t="str">
        <f>IF('[2]Mitigation summary'!R11*CO2toC*Ggtot&gt;0,'[2]Mitigation summary'!R11*CO2toC*Ggtot,"NO")</f>
        <v>NO</v>
      </c>
      <c r="AP87" s="95" t="str">
        <f>IF('[2]Mitigation summary'!S11*CO2toC*Ggtot&gt;0,'[2]Mitigation summary'!S11*CO2toC*Ggtot,"NO")</f>
        <v>NO</v>
      </c>
      <c r="AQ87" s="95" t="str">
        <f>IF('[2]Mitigation summary'!T11*CO2toC*Ggtot&gt;0,'[2]Mitigation summary'!T11*CO2toC*Ggtot,"NO")</f>
        <v>NO</v>
      </c>
      <c r="AR87" s="95" t="str">
        <f>IF('[2]Mitigation summary'!U11*CO2toC*Ggtot&gt;0,'[2]Mitigation summary'!U11*CO2toC*Ggtot,"NO")</f>
        <v>NO</v>
      </c>
      <c r="AS87" s="95" t="str">
        <f>IF('[2]Mitigation summary'!V11*CO2toC*Ggtot&gt;0,'[2]Mitigation summary'!V11*CO2toC*Ggtot,"NO")</f>
        <v>NO</v>
      </c>
      <c r="AT87" s="95" t="str">
        <f>IF('[2]Mitigation summary'!W11*CO2toC*Ggtot&gt;0,'[2]Mitigation summary'!W11*CO2toC*Ggtot,"NO")</f>
        <v>NO</v>
      </c>
      <c r="AU87" s="95" t="str">
        <f>IF('[2]Mitigation summary'!X11*CO2toC*Ggtot&gt;0,'[2]Mitigation summary'!X11*CO2toC*Ggtot,"NO")</f>
        <v>NO</v>
      </c>
      <c r="AV87" s="95" t="str">
        <f>IF('[2]Mitigation summary'!Y11*CO2toC*Ggtot&gt;0,'[2]Mitigation summary'!Y11*CO2toC*Ggtot,"NO")</f>
        <v>NO</v>
      </c>
      <c r="AW87" s="95" t="str">
        <f>IF('[2]Mitigation summary'!Z11*CO2toC*Ggtot&gt;0,'[2]Mitigation summary'!Z11*CO2toC*Ggtot,"NO")</f>
        <v>NO</v>
      </c>
      <c r="AX87" s="95" t="str">
        <f>IF('[2]Mitigation summary'!AA11*CO2toC*Ggtot&gt;0,'[2]Mitigation summary'!AA11*CO2toC*Ggtot,"NO")</f>
        <v>NO</v>
      </c>
      <c r="AY87" s="95" t="str">
        <f>IF('[2]Mitigation summary'!AB11*CO2toC*Ggtot&gt;0,'[2]Mitigation summary'!AB11*CO2toC*Ggtot,"NO")</f>
        <v>NO</v>
      </c>
      <c r="AZ87" s="95" t="str">
        <f>IF('[2]Mitigation summary'!AC11*CO2toC*Ggtot&gt;0,'[2]Mitigation summary'!AC11*CO2toC*Ggtot,"NO")</f>
        <v>NO</v>
      </c>
      <c r="BA87" s="95" t="str">
        <f>IF('[2]Mitigation summary'!AD11*CO2toC*Ggtot&gt;0,'[2]Mitigation summary'!AD11*CO2toC*Ggtot,"NO")</f>
        <v>NO</v>
      </c>
      <c r="BB87" s="95" t="str">
        <f>IF('[2]Mitigation summary'!AE11*CO2toC*Ggtot&gt;0,'[2]Mitigation summary'!AE11*CO2toC*Ggtot,"NO")</f>
        <v>NO</v>
      </c>
      <c r="BC87" s="95" t="str">
        <f>IF('[2]Mitigation summary'!AF11*CO2toC*Ggtot&gt;0,'[2]Mitigation summary'!AF11*CO2toC*Ggtot,"NO")</f>
        <v>NO</v>
      </c>
      <c r="BD87" s="95" t="str">
        <f>IF('[2]Mitigation summary'!AG11*CO2toC*Ggtot&gt;0,'[2]Mitigation summary'!AG11*CO2toC*Ggtot,"NO")</f>
        <v>NO</v>
      </c>
      <c r="BE87" s="95" t="str">
        <f>IF('[2]Mitigation summary'!AH11*CO2toC*Ggtot&gt;0,'[2]Mitigation summary'!AH11*CO2toC*Ggtot,"NO")</f>
        <v>NO</v>
      </c>
      <c r="BF87" s="95" t="str">
        <f>IF('[2]Mitigation summary'!AI11*CO2toC*Ggtot&gt;0,'[2]Mitigation summary'!AI11*CO2toC*Ggtot,"NO")</f>
        <v>NO</v>
      </c>
      <c r="BG87" s="95" t="str">
        <f>IF('[2]Mitigation summary'!AJ11*CO2toC*Ggtot&gt;0,'[2]Mitigation summary'!AJ11*CO2toC*Ggtot,"NO")</f>
        <v>NO</v>
      </c>
      <c r="BH87" s="95" t="str">
        <f>IF('[2]Mitigation summary'!AK11*CO2toC*Ggtot&gt;0,'[2]Mitigation summary'!AK11*CO2toC*Ggtot,"NO")</f>
        <v>NO</v>
      </c>
      <c r="BI87" s="95" t="str">
        <f>IF('[2]Mitigation summary'!AL11*CO2toC*Ggtot&gt;0,'[2]Mitigation summary'!AL11*CO2toC*Ggtot,"NO")</f>
        <v>NO</v>
      </c>
      <c r="BJ87" s="95" t="str">
        <f>IF('[2]Mitigation summary'!AM11*CO2toC*Ggtot&gt;0,'[2]Mitigation summary'!AM11*CO2toC*Ggtot,"NO")</f>
        <v>NO</v>
      </c>
      <c r="BK87" s="95" t="str">
        <f>IF('[2]Mitigation summary'!AN11*CO2toC*Ggtot&gt;0,'[2]Mitigation summary'!AN11*CO2toC*Ggtot,"NO")</f>
        <v>NO</v>
      </c>
      <c r="BL87" s="95" t="str">
        <f>IF('[2]Mitigation summary'!AO11*CO2toC*Ggtot&gt;0,'[2]Mitigation summary'!AO11*CO2toC*Ggtot,"NO")</f>
        <v>NO</v>
      </c>
      <c r="BM87" s="95" t="str">
        <f>IF('[2]Mitigation summary'!AP11*CO2toC*Ggtot&gt;0,'[2]Mitigation summary'!AP11*CO2toC*Ggtot,"NO")</f>
        <v>NO</v>
      </c>
      <c r="BN87" s="95" t="str">
        <f>IF('[2]Mitigation summary'!AQ11*CO2toC*Ggtot&gt;0,'[2]Mitigation summary'!AQ11*CO2toC*Ggtot,"NO")</f>
        <v>NO</v>
      </c>
      <c r="BO87" s="95" t="str">
        <f>IF('[2]Mitigation summary'!AR11*CO2toC*Ggtot&gt;0,'[2]Mitigation summary'!AR11*CO2toC*Ggtot,"NO")</f>
        <v>NO</v>
      </c>
      <c r="BP87" s="95" t="str">
        <f>IF('[2]Mitigation summary'!AS11*CO2toC*Ggtot&gt;0,'[2]Mitigation summary'!AS11*CO2toC*Ggtot,"NO")</f>
        <v>NO</v>
      </c>
      <c r="BQ87" s="82"/>
    </row>
    <row r="88" spans="1:72" x14ac:dyDescent="0.25">
      <c r="C88" t="s">
        <v>60</v>
      </c>
      <c r="D88" t="s">
        <v>101</v>
      </c>
      <c r="F88" t="s">
        <v>719</v>
      </c>
      <c r="H88" s="21" t="s">
        <v>720</v>
      </c>
      <c r="I88" s="21" t="s">
        <v>720</v>
      </c>
      <c r="J88" s="21" t="s">
        <v>720</v>
      </c>
      <c r="K88" s="21" t="s">
        <v>720</v>
      </c>
      <c r="L88" s="21" t="s">
        <v>720</v>
      </c>
      <c r="M88" s="21" t="s">
        <v>720</v>
      </c>
      <c r="N88" s="21" t="s">
        <v>720</v>
      </c>
      <c r="O88" s="21" t="s">
        <v>720</v>
      </c>
      <c r="P88" s="21" t="s">
        <v>720</v>
      </c>
      <c r="Q88" s="21" t="s">
        <v>720</v>
      </c>
      <c r="R88" s="21" t="s">
        <v>720</v>
      </c>
      <c r="S88" s="21" t="s">
        <v>720</v>
      </c>
      <c r="T88" s="21" t="s">
        <v>720</v>
      </c>
      <c r="U88" s="21" t="s">
        <v>720</v>
      </c>
      <c r="V88" s="21" t="s">
        <v>720</v>
      </c>
      <c r="W88" s="21" t="s">
        <v>720</v>
      </c>
      <c r="X88" s="21" t="s">
        <v>720</v>
      </c>
      <c r="Y88" s="21" t="s">
        <v>720</v>
      </c>
      <c r="Z88" s="21" t="s">
        <v>720</v>
      </c>
      <c r="AA88" s="21" t="s">
        <v>720</v>
      </c>
      <c r="AB88" s="43" t="s">
        <v>720</v>
      </c>
      <c r="AC88" s="43" t="s">
        <v>720</v>
      </c>
      <c r="AD88" s="95" t="str">
        <f>IF('[2]Mitigation summary'!G16*CO2toC*Ggtot&gt;0,'[2]Mitigation summary'!G16*CO2toC*Ggtot,"NO")</f>
        <v>NO</v>
      </c>
      <c r="AE88" s="95" t="str">
        <f>IF('[2]Mitigation summary'!H16*CO2toC*Ggtot&gt;0,'[2]Mitigation summary'!H16*CO2toC*Ggtot,"NO")</f>
        <v>NO</v>
      </c>
      <c r="AF88" s="95" t="str">
        <f>IF('[2]Mitigation summary'!I16*CO2toC*Ggtot&gt;0,'[2]Mitigation summary'!I16*CO2toC*Ggtot,"NO")</f>
        <v>NO</v>
      </c>
      <c r="AG88" s="95" t="str">
        <f>IF('[2]Mitigation summary'!J16*CO2toC*Ggtot&gt;0,'[2]Mitigation summary'!J16*CO2toC*Ggtot,"NO")</f>
        <v>NO</v>
      </c>
      <c r="AH88" s="95" t="str">
        <f>IF('[2]Mitigation summary'!K16*CO2toC*Ggtot&gt;0,'[2]Mitigation summary'!K16*CO2toC*Ggtot,"NO")</f>
        <v>NO</v>
      </c>
      <c r="AI88" s="95" t="str">
        <f>IF('[2]Mitigation summary'!L16*CO2toC*Ggtot&gt;0,'[2]Mitigation summary'!L16*CO2toC*Ggtot,"NO")</f>
        <v>NO</v>
      </c>
      <c r="AJ88" s="95" t="str">
        <f>IF('[2]Mitigation summary'!M16*CO2toC*Ggtot&gt;0,'[2]Mitigation summary'!M16*CO2toC*Ggtot,"NO")</f>
        <v>NO</v>
      </c>
      <c r="AK88" s="95" t="str">
        <f>IF('[2]Mitigation summary'!N16*CO2toC*Ggtot&gt;0,'[2]Mitigation summary'!N16*CO2toC*Ggtot,"NO")</f>
        <v>NO</v>
      </c>
      <c r="AL88" s="95" t="str">
        <f>IF('[2]Mitigation summary'!O16*CO2toC*Ggtot&gt;0,'[2]Mitigation summary'!O16*CO2toC*Ggtot,"NO")</f>
        <v>NO</v>
      </c>
      <c r="AM88" s="95" t="str">
        <f>IF('[2]Mitigation summary'!P16*CO2toC*Ggtot&gt;0,'[2]Mitigation summary'!P16*CO2toC*Ggtot,"NO")</f>
        <v>NO</v>
      </c>
      <c r="AN88" s="95" t="str">
        <f>IF('[2]Mitigation summary'!Q16*CO2toC*Ggtot&gt;0,'[2]Mitigation summary'!Q16*CO2toC*Ggtot,"NO")</f>
        <v>NO</v>
      </c>
      <c r="AO88" s="95" t="str">
        <f>IF('[2]Mitigation summary'!R16*CO2toC*Ggtot&gt;0,'[2]Mitigation summary'!R16*CO2toC*Ggtot,"NO")</f>
        <v>NO</v>
      </c>
      <c r="AP88" s="95" t="str">
        <f>IF('[2]Mitigation summary'!S16*CO2toC*Ggtot&gt;0,'[2]Mitigation summary'!S16*CO2toC*Ggtot,"NO")</f>
        <v>NO</v>
      </c>
      <c r="AQ88" s="95" t="str">
        <f>IF('[2]Mitigation summary'!T16*CO2toC*Ggtot&gt;0,'[2]Mitigation summary'!T16*CO2toC*Ggtot,"NO")</f>
        <v>NO</v>
      </c>
      <c r="AR88" s="95" t="str">
        <f>IF('[2]Mitigation summary'!U16*CO2toC*Ggtot&gt;0,'[2]Mitigation summary'!U16*CO2toC*Ggtot,"NO")</f>
        <v>NO</v>
      </c>
      <c r="AS88" s="95" t="str">
        <f>IF('[2]Mitigation summary'!V16*CO2toC*Ggtot&gt;0,'[2]Mitigation summary'!V16*CO2toC*Ggtot,"NO")</f>
        <v>NO</v>
      </c>
      <c r="AT88" s="95" t="str">
        <f>IF('[2]Mitigation summary'!W16*CO2toC*Ggtot&gt;0,'[2]Mitigation summary'!W16*CO2toC*Ggtot,"NO")</f>
        <v>NO</v>
      </c>
      <c r="AU88" s="95" t="str">
        <f>IF('[2]Mitigation summary'!X16*CO2toC*Ggtot&gt;0,'[2]Mitigation summary'!X16*CO2toC*Ggtot,"NO")</f>
        <v>NO</v>
      </c>
      <c r="AV88" s="95" t="str">
        <f>IF('[2]Mitigation summary'!Y16*CO2toC*Ggtot&gt;0,'[2]Mitigation summary'!Y16*CO2toC*Ggtot,"NO")</f>
        <v>NO</v>
      </c>
      <c r="AW88" s="95" t="str">
        <f>IF('[2]Mitigation summary'!Z16*CO2toC*Ggtot&gt;0,'[2]Mitigation summary'!Z16*CO2toC*Ggtot,"NO")</f>
        <v>NO</v>
      </c>
      <c r="AX88" s="95" t="str">
        <f>IF('[2]Mitigation summary'!AA16*CO2toC*Ggtot&gt;0,'[2]Mitigation summary'!AA16*CO2toC*Ggtot,"NO")</f>
        <v>NO</v>
      </c>
      <c r="AY88" s="95" t="str">
        <f>IF('[2]Mitigation summary'!AB16*CO2toC*Ggtot&gt;0,'[2]Mitigation summary'!AB16*CO2toC*Ggtot,"NO")</f>
        <v>NO</v>
      </c>
      <c r="AZ88" s="95" t="str">
        <f>IF('[2]Mitigation summary'!AC16*CO2toC*Ggtot&gt;0,'[2]Mitigation summary'!AC16*CO2toC*Ggtot,"NO")</f>
        <v>NO</v>
      </c>
      <c r="BA88" s="95" t="str">
        <f>IF('[2]Mitigation summary'!AD16*CO2toC*Ggtot&gt;0,'[2]Mitigation summary'!AD16*CO2toC*Ggtot,"NO")</f>
        <v>NO</v>
      </c>
      <c r="BB88" s="95" t="str">
        <f>IF('[2]Mitigation summary'!AE16*CO2toC*Ggtot&gt;0,'[2]Mitigation summary'!AE16*CO2toC*Ggtot,"NO")</f>
        <v>NO</v>
      </c>
      <c r="BC88" s="95" t="str">
        <f>IF('[2]Mitigation summary'!AF16*CO2toC*Ggtot&gt;0,'[2]Mitigation summary'!AF16*CO2toC*Ggtot,"NO")</f>
        <v>NO</v>
      </c>
      <c r="BD88" s="95" t="str">
        <f>IF('[2]Mitigation summary'!AG16*CO2toC*Ggtot&gt;0,'[2]Mitigation summary'!AG16*CO2toC*Ggtot,"NO")</f>
        <v>NO</v>
      </c>
      <c r="BE88" s="95" t="str">
        <f>IF('[2]Mitigation summary'!AH16*CO2toC*Ggtot&gt;0,'[2]Mitigation summary'!AH16*CO2toC*Ggtot,"NO")</f>
        <v>NO</v>
      </c>
      <c r="BF88" s="95" t="str">
        <f>IF('[2]Mitigation summary'!AI16*CO2toC*Ggtot&gt;0,'[2]Mitigation summary'!AI16*CO2toC*Ggtot,"NO")</f>
        <v>NO</v>
      </c>
      <c r="BG88" s="95" t="str">
        <f>IF('[2]Mitigation summary'!AJ16*CO2toC*Ggtot&gt;0,'[2]Mitigation summary'!AJ16*CO2toC*Ggtot,"NO")</f>
        <v>NO</v>
      </c>
      <c r="BH88" s="95" t="str">
        <f>IF('[2]Mitigation summary'!AK16*CO2toC*Ggtot&gt;0,'[2]Mitigation summary'!AK16*CO2toC*Ggtot,"NO")</f>
        <v>NO</v>
      </c>
      <c r="BI88" s="95" t="str">
        <f>IF('[2]Mitigation summary'!AL16*CO2toC*Ggtot&gt;0,'[2]Mitigation summary'!AL16*CO2toC*Ggtot,"NO")</f>
        <v>NO</v>
      </c>
      <c r="BJ88" s="95" t="str">
        <f>IF('[2]Mitigation summary'!AM16*CO2toC*Ggtot&gt;0,'[2]Mitigation summary'!AM16*CO2toC*Ggtot,"NO")</f>
        <v>NO</v>
      </c>
      <c r="BK88" s="95" t="str">
        <f>IF('[2]Mitigation summary'!AN16*CO2toC*Ggtot&gt;0,'[2]Mitigation summary'!AN16*CO2toC*Ggtot,"NO")</f>
        <v>NO</v>
      </c>
      <c r="BL88" s="95" t="str">
        <f>IF('[2]Mitigation summary'!AO16*CO2toC*Ggtot&gt;0,'[2]Mitigation summary'!AO16*CO2toC*Ggtot,"NO")</f>
        <v>NO</v>
      </c>
      <c r="BM88" s="95" t="str">
        <f>IF('[2]Mitigation summary'!AP16*CO2toC*Ggtot&gt;0,'[2]Mitigation summary'!AP16*CO2toC*Ggtot,"NO")</f>
        <v>NO</v>
      </c>
      <c r="BN88" s="95" t="str">
        <f>IF('[2]Mitigation summary'!AQ16*CO2toC*Ggtot&gt;0,'[2]Mitigation summary'!AQ16*CO2toC*Ggtot,"NO")</f>
        <v>NO</v>
      </c>
      <c r="BO88" s="95" t="str">
        <f>IF('[2]Mitigation summary'!AR16*CO2toC*Ggtot&gt;0,'[2]Mitigation summary'!AR16*CO2toC*Ggtot,"NO")</f>
        <v>NO</v>
      </c>
      <c r="BP88" s="95" t="str">
        <f>IF('[2]Mitigation summary'!AS16*CO2toC*Ggtot&gt;0,'[2]Mitigation summary'!AS16*CO2toC*Ggtot,"NO")</f>
        <v>NO</v>
      </c>
      <c r="BQ88" s="82"/>
    </row>
    <row r="89" spans="1:72" x14ac:dyDescent="0.25">
      <c r="A89" t="str">
        <f>A87</f>
        <v>3C Aggregated and non-CO2 emissions on land</v>
      </c>
      <c r="B89" t="str">
        <f>B87</f>
        <v>3C4 Direct N2O from managed soils (N2O)</v>
      </c>
      <c r="C89" t="s">
        <v>60</v>
      </c>
      <c r="D89" t="s">
        <v>102</v>
      </c>
      <c r="F89" t="s">
        <v>719</v>
      </c>
      <c r="H89" s="21" t="s">
        <v>720</v>
      </c>
      <c r="I89" s="21">
        <v>423.91166750554424</v>
      </c>
      <c r="J89" s="21">
        <v>423.91166750554424</v>
      </c>
      <c r="K89" s="21">
        <v>423.91166750554424</v>
      </c>
      <c r="L89" s="21">
        <v>423.91166750554424</v>
      </c>
      <c r="M89" s="21">
        <v>423.91166750554424</v>
      </c>
      <c r="N89" s="21">
        <v>423.91166750554424</v>
      </c>
      <c r="O89" s="21">
        <v>423.91166750554424</v>
      </c>
      <c r="P89" s="21">
        <v>423.91166750554424</v>
      </c>
      <c r="Q89" s="21">
        <v>423.91166750554424</v>
      </c>
      <c r="R89" s="21">
        <v>423.91166750554424</v>
      </c>
      <c r="S89" s="21">
        <v>423.91166750554424</v>
      </c>
      <c r="T89" s="21">
        <v>423.91166750554424</v>
      </c>
      <c r="U89" s="21">
        <v>423.91166750554424</v>
      </c>
      <c r="V89" s="21">
        <v>423.91166750554424</v>
      </c>
      <c r="W89" s="21">
        <v>423.91166750554424</v>
      </c>
      <c r="X89" s="21">
        <v>423.91166750554424</v>
      </c>
      <c r="Y89" s="21">
        <v>423.91166750554424</v>
      </c>
      <c r="Z89" s="21">
        <v>423.91166750554424</v>
      </c>
      <c r="AA89" s="21">
        <v>423.91166750554424</v>
      </c>
      <c r="AB89" s="43">
        <v>423.91166750554424</v>
      </c>
      <c r="AC89" s="43">
        <v>423.91166750554424</v>
      </c>
      <c r="AD89" s="95">
        <f>IF('[2]Mitigation summary'!G24*CO2toC*Ggtot&gt;0,'[2]Mitigation summary'!G24*CO2toC*Ggtot,"NO")</f>
        <v>3283.5231445314134</v>
      </c>
      <c r="AE89" s="95">
        <f>IF('[2]Mitigation summary'!H24*CO2toC*Ggtot&gt;0,'[2]Mitigation summary'!H24*CO2toC*Ggtot,"NO")</f>
        <v>3279.6568877269606</v>
      </c>
      <c r="AF89" s="95">
        <f>IF('[2]Mitigation summary'!I24*CO2toC*Ggtot&gt;0,'[2]Mitigation summary'!I24*CO2toC*Ggtot,"NO")</f>
        <v>3275.7906309225073</v>
      </c>
      <c r="AG89" s="95">
        <f>IF('[2]Mitigation summary'!J24*CO2toC*Ggtot&gt;0,'[2]Mitigation summary'!J24*CO2toC*Ggtot,"NO")</f>
        <v>3271.9243741180535</v>
      </c>
      <c r="AH89" s="95">
        <f>IF('[2]Mitigation summary'!K24*CO2toC*Ggtot&gt;0,'[2]Mitigation summary'!K24*CO2toC*Ggtot,"NO")</f>
        <v>3268.0581173136006</v>
      </c>
      <c r="AI89" s="95">
        <f>IF('[2]Mitigation summary'!L24*CO2toC*Ggtot&gt;0,'[2]Mitigation summary'!L24*CO2toC*Ggtot,"NO")</f>
        <v>3264.1918605091473</v>
      </c>
      <c r="AJ89" s="95">
        <f>IF('[2]Mitigation summary'!M24*CO2toC*Ggtot&gt;0,'[2]Mitigation summary'!M24*CO2toC*Ggtot,"NO")</f>
        <v>3260.325603704694</v>
      </c>
      <c r="AK89" s="95">
        <f>IF('[2]Mitigation summary'!N24*CO2toC*Ggtot&gt;0,'[2]Mitigation summary'!N24*CO2toC*Ggtot,"NO")</f>
        <v>3256.4593469002416</v>
      </c>
      <c r="AL89" s="95">
        <f>IF('[2]Mitigation summary'!O24*CO2toC*Ggtot&gt;0,'[2]Mitigation summary'!O24*CO2toC*Ggtot,"NO")</f>
        <v>3252.5930900957883</v>
      </c>
      <c r="AM89" s="95">
        <f>IF('[2]Mitigation summary'!P24*CO2toC*Ggtot&gt;0,'[2]Mitigation summary'!P24*CO2toC*Ggtot,"NO")</f>
        <v>3248.7268332913354</v>
      </c>
      <c r="AN89" s="95">
        <f>IF('[2]Mitigation summary'!Q24*CO2toC*Ggtot&gt;0,'[2]Mitigation summary'!Q24*CO2toC*Ggtot,"NO")</f>
        <v>3244.8605764868817</v>
      </c>
      <c r="AO89" s="95">
        <f>IF('[2]Mitigation summary'!R24*CO2toC*Ggtot&gt;0,'[2]Mitigation summary'!R24*CO2toC*Ggtot,"NO")</f>
        <v>3240.9943196824288</v>
      </c>
      <c r="AP89" s="95">
        <f>IF('[2]Mitigation summary'!S24*CO2toC*Ggtot&gt;0,'[2]Mitigation summary'!S24*CO2toC*Ggtot,"NO")</f>
        <v>3237.1280628779759</v>
      </c>
      <c r="AQ89" s="95">
        <f>IF('[2]Mitigation summary'!T24*CO2toC*Ggtot&gt;0,'[2]Mitigation summary'!T24*CO2toC*Ggtot,"NO")</f>
        <v>3233.2618060735231</v>
      </c>
      <c r="AR89" s="95">
        <f>IF('[2]Mitigation summary'!U24*CO2toC*Ggtot&gt;0,'[2]Mitigation summary'!U24*CO2toC*Ggtot,"NO")</f>
        <v>3229.3955492690707</v>
      </c>
      <c r="AS89" s="95">
        <f>IF('[2]Mitigation summary'!V24*CO2toC*Ggtot&gt;0,'[2]Mitigation summary'!V24*CO2toC*Ggtot,"NO")</f>
        <v>3225.5292924646164</v>
      </c>
      <c r="AT89" s="95">
        <f>IF('[2]Mitigation summary'!W24*CO2toC*Ggtot&gt;0,'[2]Mitigation summary'!W24*CO2toC*Ggtot,"NO")</f>
        <v>3221.6630356601645</v>
      </c>
      <c r="AU89" s="95">
        <f>IF('[2]Mitigation summary'!X24*CO2toC*Ggtot&gt;0,'[2]Mitigation summary'!X24*CO2toC*Ggtot,"NO")</f>
        <v>3217.7967788557107</v>
      </c>
      <c r="AV89" s="95">
        <f>IF('[2]Mitigation summary'!Y24*CO2toC*Ggtot&gt;0,'[2]Mitigation summary'!Y24*CO2toC*Ggtot,"NO")</f>
        <v>3213.9305220512579</v>
      </c>
      <c r="AW89" s="95">
        <f>IF('[2]Mitigation summary'!Z24*CO2toC*Ggtot&gt;0,'[2]Mitigation summary'!Z24*CO2toC*Ggtot,"NO")</f>
        <v>3210.0642652468041</v>
      </c>
      <c r="AX89" s="95">
        <f>IF('[2]Mitigation summary'!AA24*CO2toC*Ggtot&gt;0,'[2]Mitigation summary'!AA24*CO2toC*Ggtot,"NO")</f>
        <v>3206.1980084423521</v>
      </c>
      <c r="AY89" s="95">
        <f>IF('[2]Mitigation summary'!AB24*CO2toC*Ggtot&gt;0,'[2]Mitigation summary'!AB24*CO2toC*Ggtot,"NO")</f>
        <v>3202.3317516378988</v>
      </c>
      <c r="AZ89" s="95">
        <f>IF('[2]Mitigation summary'!AC24*CO2toC*Ggtot&gt;0,'[2]Mitigation summary'!AC24*CO2toC*Ggtot,"NO")</f>
        <v>3198.4654948334455</v>
      </c>
      <c r="BA89" s="95">
        <f>IF('[2]Mitigation summary'!AD24*CO2toC*Ggtot&gt;0,'[2]Mitigation summary'!AD24*CO2toC*Ggtot,"NO")</f>
        <v>3194.5992380289917</v>
      </c>
      <c r="BB89" s="95">
        <f>IF('[2]Mitigation summary'!AE24*CO2toC*Ggtot&gt;0,'[2]Mitigation summary'!AE24*CO2toC*Ggtot,"NO")</f>
        <v>3190.7329812245389</v>
      </c>
      <c r="BC89" s="95">
        <f>IF('[2]Mitigation summary'!AF24*CO2toC*Ggtot&gt;0,'[2]Mitigation summary'!AF24*CO2toC*Ggtot,"NO")</f>
        <v>3186.866724420086</v>
      </c>
      <c r="BD89" s="95">
        <f>IF('[2]Mitigation summary'!AG24*CO2toC*Ggtot&gt;0,'[2]Mitigation summary'!AG24*CO2toC*Ggtot,"NO")</f>
        <v>3183.0004676156332</v>
      </c>
      <c r="BE89" s="95">
        <f>IF('[2]Mitigation summary'!AH24*CO2toC*Ggtot&gt;0,'[2]Mitigation summary'!AH24*CO2toC*Ggtot,"NO")</f>
        <v>3179.1342108111803</v>
      </c>
      <c r="BF89" s="95">
        <f>IF('[2]Mitigation summary'!AI24*CO2toC*Ggtot&gt;0,'[2]Mitigation summary'!AI24*CO2toC*Ggtot,"NO")</f>
        <v>3175.2679540067279</v>
      </c>
      <c r="BG89" s="95">
        <f>IF('[2]Mitigation summary'!AJ24*CO2toC*Ggtot&gt;0,'[2]Mitigation summary'!AJ24*CO2toC*Ggtot,"NO")</f>
        <v>3171.4016972022737</v>
      </c>
      <c r="BH89" s="95">
        <f>IF('[2]Mitigation summary'!AK24*CO2toC*Ggtot&gt;0,'[2]Mitigation summary'!AK24*CO2toC*Ggtot,"NO")</f>
        <v>3167.5354403978208</v>
      </c>
      <c r="BI89" s="95">
        <f>IF('[2]Mitigation summary'!AL24*CO2toC*Ggtot&gt;0,'[2]Mitigation summary'!AL24*CO2toC*Ggtot,"NO")</f>
        <v>3163.669183593368</v>
      </c>
      <c r="BJ89" s="95">
        <f>IF('[2]Mitigation summary'!AM24*CO2toC*Ggtot&gt;0,'[2]Mitigation summary'!AM24*CO2toC*Ggtot,"NO")</f>
        <v>3159.802926788916</v>
      </c>
      <c r="BK89" s="95">
        <f>IF('[2]Mitigation summary'!AN24*CO2toC*Ggtot&gt;0,'[2]Mitigation summary'!AN24*CO2toC*Ggtot,"NO")</f>
        <v>3155.9366699844613</v>
      </c>
      <c r="BL89" s="95">
        <f>IF('[2]Mitigation summary'!AO24*CO2toC*Ggtot&gt;0,'[2]Mitigation summary'!AO24*CO2toC*Ggtot,"NO")</f>
        <v>3152.0704131800094</v>
      </c>
      <c r="BM89" s="95">
        <f>IF('[2]Mitigation summary'!AP24*CO2toC*Ggtot&gt;0,'[2]Mitigation summary'!AP24*CO2toC*Ggtot,"NO")</f>
        <v>3148.2041563755556</v>
      </c>
      <c r="BN89" s="95">
        <f>IF('[2]Mitigation summary'!AQ24*CO2toC*Ggtot&gt;0,'[2]Mitigation summary'!AQ24*CO2toC*Ggtot,"NO")</f>
        <v>3144.3378995711018</v>
      </c>
      <c r="BO89" s="95">
        <f>IF('[2]Mitigation summary'!AR24*CO2toC*Ggtot&gt;0,'[2]Mitigation summary'!AR24*CO2toC*Ggtot,"NO")</f>
        <v>3140.471642766649</v>
      </c>
      <c r="BP89" s="95">
        <f>IF('[2]Mitigation summary'!AS24*CO2toC*Ggtot&gt;0,'[2]Mitigation summary'!AS24*CO2toC*Ggtot,"NO")</f>
        <v>3136.6053859621961</v>
      </c>
      <c r="BQ89" s="82"/>
    </row>
    <row r="90" spans="1:72" x14ac:dyDescent="0.25">
      <c r="C90" t="s">
        <v>60</v>
      </c>
      <c r="D90" t="s">
        <v>103</v>
      </c>
      <c r="F90" t="s">
        <v>719</v>
      </c>
      <c r="H90" s="21" t="s">
        <v>720</v>
      </c>
      <c r="I90" s="21">
        <v>44225.892697537653</v>
      </c>
      <c r="J90" s="21">
        <v>44225.892697537653</v>
      </c>
      <c r="K90" s="21">
        <v>44225.892697537653</v>
      </c>
      <c r="L90" s="21">
        <v>44225.892697537653</v>
      </c>
      <c r="M90" s="21">
        <v>44225.892697537653</v>
      </c>
      <c r="N90" s="21">
        <v>44225.892697537653</v>
      </c>
      <c r="O90" s="21">
        <v>44225.892697537653</v>
      </c>
      <c r="P90" s="21">
        <v>44225.892697537653</v>
      </c>
      <c r="Q90" s="21">
        <v>44225.892697537653</v>
      </c>
      <c r="R90" s="21">
        <v>44225.892697537653</v>
      </c>
      <c r="S90" s="21">
        <v>44225.892697537653</v>
      </c>
      <c r="T90" s="21">
        <v>44225.892697537653</v>
      </c>
      <c r="U90" s="21">
        <v>44225.892697537653</v>
      </c>
      <c r="V90" s="21">
        <v>44225.892697537653</v>
      </c>
      <c r="W90" s="21">
        <v>44225.892697537653</v>
      </c>
      <c r="X90" s="21">
        <v>44225.892697537653</v>
      </c>
      <c r="Y90" s="21">
        <v>44225.892697537653</v>
      </c>
      <c r="Z90" s="21">
        <v>44225.892697537653</v>
      </c>
      <c r="AA90" s="21">
        <v>44225.892697537653</v>
      </c>
      <c r="AB90" s="43">
        <v>44225.892697537653</v>
      </c>
      <c r="AC90" s="43">
        <v>44225.892697537653</v>
      </c>
      <c r="AD90" s="95">
        <f>IF('[2]Mitigation summary'!G29*CO2toC*Ggtot&gt;0,'[2]Mitigation summary'!G29*CO2toC*Ggtot,"NO")</f>
        <v>467927.3506762968</v>
      </c>
      <c r="AE90" s="95">
        <f>IF('[2]Mitigation summary'!H29*CO2toC*Ggtot&gt;0,'[2]Mitigation summary'!H29*CO2toC*Ggtot,"NO")</f>
        <v>469011.62465508078</v>
      </c>
      <c r="AF90" s="95">
        <f>IF('[2]Mitigation summary'!I29*CO2toC*Ggtot&gt;0,'[2]Mitigation summary'!I29*CO2toC*Ggtot,"NO")</f>
        <v>470095.89863386494</v>
      </c>
      <c r="AG90" s="95">
        <f>IF('[2]Mitigation summary'!J29*CO2toC*Ggtot&gt;0,'[2]Mitigation summary'!J29*CO2toC*Ggtot,"NO")</f>
        <v>471180.17261264892</v>
      </c>
      <c r="AH90" s="95">
        <f>IF('[2]Mitigation summary'!K29*CO2toC*Ggtot&gt;0,'[2]Mitigation summary'!K29*CO2toC*Ggtot,"NO")</f>
        <v>472264.44659143296</v>
      </c>
      <c r="AI90" s="95">
        <f>IF('[2]Mitigation summary'!L29*CO2toC*Ggtot&gt;0,'[2]Mitigation summary'!L29*CO2toC*Ggtot,"NO")</f>
        <v>473348.72057021694</v>
      </c>
      <c r="AJ90" s="95">
        <f>IF('[2]Mitigation summary'!M29*CO2toC*Ggtot&gt;0,'[2]Mitigation summary'!M29*CO2toC*Ggtot,"NO")</f>
        <v>474432.9945490011</v>
      </c>
      <c r="AK90" s="95">
        <f>IF('[2]Mitigation summary'!N29*CO2toC*Ggtot&gt;0,'[2]Mitigation summary'!N29*CO2toC*Ggtot,"NO")</f>
        <v>475517.26852778508</v>
      </c>
      <c r="AL90" s="95">
        <f>IF('[2]Mitigation summary'!O29*CO2toC*Ggtot&gt;0,'[2]Mitigation summary'!O29*CO2toC*Ggtot,"NO")</f>
        <v>476601.54250656907</v>
      </c>
      <c r="AM90" s="95">
        <f>IF('[2]Mitigation summary'!P29*CO2toC*Ggtot&gt;0,'[2]Mitigation summary'!P29*CO2toC*Ggtot,"NO")</f>
        <v>477685.81648535322</v>
      </c>
      <c r="AN90" s="95">
        <f>IF('[2]Mitigation summary'!Q29*CO2toC*Ggtot&gt;0,'[2]Mitigation summary'!Q29*CO2toC*Ggtot,"NO")</f>
        <v>478770.09046413715</v>
      </c>
      <c r="AO90" s="95">
        <f>IF('[2]Mitigation summary'!R29*CO2toC*Ggtot&gt;0,'[2]Mitigation summary'!R29*CO2toC*Ggtot,"NO")</f>
        <v>479854.36444292124</v>
      </c>
      <c r="AP90" s="95">
        <f>IF('[2]Mitigation summary'!S29*CO2toC*Ggtot&gt;0,'[2]Mitigation summary'!S29*CO2toC*Ggtot,"NO")</f>
        <v>480938.63842170528</v>
      </c>
      <c r="AQ90" s="95">
        <f>IF('[2]Mitigation summary'!T29*CO2toC*Ggtot&gt;0,'[2]Mitigation summary'!T29*CO2toC*Ggtot,"NO")</f>
        <v>482022.91240048944</v>
      </c>
      <c r="AR90" s="95">
        <f>IF('[2]Mitigation summary'!U29*CO2toC*Ggtot&gt;0,'[2]Mitigation summary'!U29*CO2toC*Ggtot,"NO")</f>
        <v>483107.18637927336</v>
      </c>
      <c r="AS90" s="95">
        <f>IF('[2]Mitigation summary'!V29*CO2toC*Ggtot&gt;0,'[2]Mitigation summary'!V29*CO2toC*Ggtot,"NO")</f>
        <v>484191.46035805752</v>
      </c>
      <c r="AT90" s="95">
        <f>IF('[2]Mitigation summary'!W29*CO2toC*Ggtot&gt;0,'[2]Mitigation summary'!W29*CO2toC*Ggtot,"NO")</f>
        <v>485275.73433684139</v>
      </c>
      <c r="AU90" s="95">
        <f>IF('[2]Mitigation summary'!X29*CO2toC*Ggtot&gt;0,'[2]Mitigation summary'!X29*CO2toC*Ggtot,"NO")</f>
        <v>486360.00831562548</v>
      </c>
      <c r="AV90" s="95">
        <f>IF('[2]Mitigation summary'!Y29*CO2toC*Ggtot&gt;0,'[2]Mitigation summary'!Y29*CO2toC*Ggtot,"NO")</f>
        <v>487444.28229440958</v>
      </c>
      <c r="AW90" s="95">
        <f>IF('[2]Mitigation summary'!Z29*CO2toC*Ggtot&gt;0,'[2]Mitigation summary'!Z29*CO2toC*Ggtot,"NO")</f>
        <v>488528.55627319368</v>
      </c>
      <c r="AX90" s="95">
        <f>IF('[2]Mitigation summary'!AA29*CO2toC*Ggtot&gt;0,'[2]Mitigation summary'!AA29*CO2toC*Ggtot,"NO")</f>
        <v>489612.83025197766</v>
      </c>
      <c r="AY90" s="95">
        <f>IF('[2]Mitigation summary'!AB29*CO2toC*Ggtot&gt;0,'[2]Mitigation summary'!AB29*CO2toC*Ggtot,"NO")</f>
        <v>490697.1042307617</v>
      </c>
      <c r="AZ90" s="95">
        <f>IF('[2]Mitigation summary'!AC29*CO2toC*Ggtot&gt;0,'[2]Mitigation summary'!AC29*CO2toC*Ggtot,"NO")</f>
        <v>491781.3782095458</v>
      </c>
      <c r="BA90" s="95">
        <f>IF('[2]Mitigation summary'!AD29*CO2toC*Ggtot&gt;0,'[2]Mitigation summary'!AD29*CO2toC*Ggtot,"NO")</f>
        <v>492865.65218832978</v>
      </c>
      <c r="BB90" s="95">
        <f>IF('[2]Mitigation summary'!AE29*CO2toC*Ggtot&gt;0,'[2]Mitigation summary'!AE29*CO2toC*Ggtot,"NO")</f>
        <v>493949.92616711388</v>
      </c>
      <c r="BC90" s="95">
        <f>IF('[2]Mitigation summary'!AF29*CO2toC*Ggtot&gt;0,'[2]Mitigation summary'!AF29*CO2toC*Ggtot,"NO")</f>
        <v>495034.20014589792</v>
      </c>
      <c r="BD90" s="95">
        <f>IF('[2]Mitigation summary'!AG29*CO2toC*Ggtot&gt;0,'[2]Mitigation summary'!AG29*CO2toC*Ggtot,"NO")</f>
        <v>496118.4741246819</v>
      </c>
      <c r="BE90" s="95">
        <f>IF('[2]Mitigation summary'!AH29*CO2toC*Ggtot&gt;0,'[2]Mitigation summary'!AH29*CO2toC*Ggtot,"NO")</f>
        <v>497202.74810346606</v>
      </c>
      <c r="BF90" s="95">
        <f>IF('[2]Mitigation summary'!AI29*CO2toC*Ggtot&gt;0,'[2]Mitigation summary'!AI29*CO2toC*Ggtot,"NO")</f>
        <v>498287.02208225004</v>
      </c>
      <c r="BG90" s="95">
        <f>IF('[2]Mitigation summary'!AJ29*CO2toC*Ggtot&gt;0,'[2]Mitigation summary'!AJ29*CO2toC*Ggtot,"NO")</f>
        <v>499371.29606103408</v>
      </c>
      <c r="BH90" s="95">
        <f>IF('[2]Mitigation summary'!AK29*CO2toC*Ggtot&gt;0,'[2]Mitigation summary'!AK29*CO2toC*Ggtot,"NO")</f>
        <v>500455.57003981812</v>
      </c>
      <c r="BI90" s="95">
        <f>IF('[2]Mitigation summary'!AL29*CO2toC*Ggtot&gt;0,'[2]Mitigation summary'!AL29*CO2toC*Ggtot,"NO")</f>
        <v>501539.84401860222</v>
      </c>
      <c r="BJ90" s="95">
        <f>IF('[2]Mitigation summary'!AM29*CO2toC*Ggtot&gt;0,'[2]Mitigation summary'!AM29*CO2toC*Ggtot,"NO")</f>
        <v>502624.1179973862</v>
      </c>
      <c r="BK90" s="95">
        <f>IF('[2]Mitigation summary'!AN29*CO2toC*Ggtot&gt;0,'[2]Mitigation summary'!AN29*CO2toC*Ggtot,"NO")</f>
        <v>503708.39197617036</v>
      </c>
      <c r="BL90" s="95">
        <f>IF('[2]Mitigation summary'!AO29*CO2toC*Ggtot&gt;0,'[2]Mitigation summary'!AO29*CO2toC*Ggtot,"NO")</f>
        <v>504792.66595495434</v>
      </c>
      <c r="BM90" s="95">
        <f>IF('[2]Mitigation summary'!AP29*CO2toC*Ggtot&gt;0,'[2]Mitigation summary'!AP29*CO2toC*Ggtot,"NO")</f>
        <v>505876.93993373832</v>
      </c>
      <c r="BN90" s="95">
        <f>IF('[2]Mitigation summary'!AQ29*CO2toC*Ggtot&gt;0,'[2]Mitigation summary'!AQ29*CO2toC*Ggtot,"NO")</f>
        <v>506961.21391252236</v>
      </c>
      <c r="BO90" s="95">
        <f>IF('[2]Mitigation summary'!AR29*CO2toC*Ggtot&gt;0,'[2]Mitigation summary'!AR29*CO2toC*Ggtot,"NO")</f>
        <v>508045.4878913064</v>
      </c>
      <c r="BP90" s="95">
        <f>IF('[2]Mitigation summary'!AS29*CO2toC*Ggtot&gt;0,'[2]Mitigation summary'!AS29*CO2toC*Ggtot,"NO")</f>
        <v>509129.7618700905</v>
      </c>
      <c r="BQ90" s="82"/>
    </row>
    <row r="91" spans="1:72" x14ac:dyDescent="0.25">
      <c r="A91" t="str">
        <f>A87</f>
        <v>3C Aggregated and non-CO2 emissions on land</v>
      </c>
      <c r="B91" t="str">
        <f>B87</f>
        <v>3C4 Direct N2O from managed soils (N2O)</v>
      </c>
      <c r="C91" t="s">
        <v>60</v>
      </c>
      <c r="D91" t="s">
        <v>104</v>
      </c>
      <c r="F91" t="s">
        <v>719</v>
      </c>
      <c r="H91" s="21" t="s">
        <v>720</v>
      </c>
      <c r="I91" s="21">
        <v>48695.832223383841</v>
      </c>
      <c r="J91" s="21">
        <v>48695.832223383841</v>
      </c>
      <c r="K91" s="21">
        <v>48695.832223383841</v>
      </c>
      <c r="L91" s="21">
        <v>48695.832223383841</v>
      </c>
      <c r="M91" s="21">
        <v>48695.832223383841</v>
      </c>
      <c r="N91" s="21">
        <v>48695.832223383841</v>
      </c>
      <c r="O91" s="21">
        <v>48695.832223383841</v>
      </c>
      <c r="P91" s="21">
        <v>48695.832223383841</v>
      </c>
      <c r="Q91" s="21">
        <v>48695.832223383841</v>
      </c>
      <c r="R91" s="21">
        <v>48695.832223383841</v>
      </c>
      <c r="S91" s="21">
        <v>48695.832223383841</v>
      </c>
      <c r="T91" s="21">
        <v>48695.832223383841</v>
      </c>
      <c r="U91" s="21">
        <v>48695.832223383841</v>
      </c>
      <c r="V91" s="21">
        <v>48695.832223383841</v>
      </c>
      <c r="W91" s="21">
        <v>48695.832223383841</v>
      </c>
      <c r="X91" s="21">
        <v>48695.832223383841</v>
      </c>
      <c r="Y91" s="21">
        <v>48695.832223383841</v>
      </c>
      <c r="Z91" s="21">
        <v>48695.832223383841</v>
      </c>
      <c r="AA91" s="21">
        <v>48695.832223383841</v>
      </c>
      <c r="AB91" s="43">
        <v>48695.832223383841</v>
      </c>
      <c r="AC91" s="43">
        <v>48695.832223383841</v>
      </c>
      <c r="AD91" s="95">
        <f>IF('[2]Mitigation summary'!G37*CO2toC*Ggtot&gt;0,'[2]Mitigation summary'!G37*CO2toC*Ggtot,"NO")</f>
        <v>549791.65413497901</v>
      </c>
      <c r="AE91" s="95">
        <f>IF('[2]Mitigation summary'!H37*CO2toC*Ggtot&gt;0,'[2]Mitigation summary'!H37*CO2toC*Ggtot,"NO")</f>
        <v>549791.65413497901</v>
      </c>
      <c r="AF91" s="95">
        <f>IF('[2]Mitigation summary'!I37*CO2toC*Ggtot&gt;0,'[2]Mitigation summary'!I37*CO2toC*Ggtot,"NO")</f>
        <v>549791.65413497901</v>
      </c>
      <c r="AG91" s="95">
        <f>IF('[2]Mitigation summary'!J37*CO2toC*Ggtot&gt;0,'[2]Mitigation summary'!J37*CO2toC*Ggtot,"NO")</f>
        <v>549791.65413497901</v>
      </c>
      <c r="AH91" s="95">
        <f>IF('[2]Mitigation summary'!K37*CO2toC*Ggtot&gt;0,'[2]Mitigation summary'!K37*CO2toC*Ggtot,"NO")</f>
        <v>549791.65413497901</v>
      </c>
      <c r="AI91" s="95">
        <f>IF('[2]Mitigation summary'!L37*CO2toC*Ggtot&gt;0,'[2]Mitigation summary'!L37*CO2toC*Ggtot,"NO")</f>
        <v>549791.65413497901</v>
      </c>
      <c r="AJ91" s="95">
        <f>IF('[2]Mitigation summary'!M37*CO2toC*Ggtot&gt;0,'[2]Mitigation summary'!M37*CO2toC*Ggtot,"NO")</f>
        <v>549791.65413497901</v>
      </c>
      <c r="AK91" s="95">
        <f>IF('[2]Mitigation summary'!N37*CO2toC*Ggtot&gt;0,'[2]Mitigation summary'!N37*CO2toC*Ggtot,"NO")</f>
        <v>549791.65413497901</v>
      </c>
      <c r="AL91" s="95">
        <f>IF('[2]Mitigation summary'!O37*CO2toC*Ggtot&gt;0,'[2]Mitigation summary'!O37*CO2toC*Ggtot,"NO")</f>
        <v>549791.65413497901</v>
      </c>
      <c r="AM91" s="95">
        <f>IF('[2]Mitigation summary'!P37*CO2toC*Ggtot&gt;0,'[2]Mitigation summary'!P37*CO2toC*Ggtot,"NO")</f>
        <v>549791.65413497901</v>
      </c>
      <c r="AN91" s="95">
        <f>IF('[2]Mitigation summary'!Q37*CO2toC*Ggtot&gt;0,'[2]Mitigation summary'!Q37*CO2toC*Ggtot,"NO")</f>
        <v>549791.65413497901</v>
      </c>
      <c r="AO91" s="95">
        <f>IF('[2]Mitigation summary'!R37*CO2toC*Ggtot&gt;0,'[2]Mitigation summary'!R37*CO2toC*Ggtot,"NO")</f>
        <v>549791.65413497901</v>
      </c>
      <c r="AP91" s="95">
        <f>IF('[2]Mitigation summary'!S37*CO2toC*Ggtot&gt;0,'[2]Mitigation summary'!S37*CO2toC*Ggtot,"NO")</f>
        <v>549791.65413497901</v>
      </c>
      <c r="AQ91" s="95">
        <f>IF('[2]Mitigation summary'!T37*CO2toC*Ggtot&gt;0,'[2]Mitigation summary'!T37*CO2toC*Ggtot,"NO")</f>
        <v>549791.65413497901</v>
      </c>
      <c r="AR91" s="95">
        <f>IF('[2]Mitigation summary'!U37*CO2toC*Ggtot&gt;0,'[2]Mitigation summary'!U37*CO2toC*Ggtot,"NO")</f>
        <v>549791.65413497901</v>
      </c>
      <c r="AS91" s="95">
        <f>IF('[2]Mitigation summary'!V37*CO2toC*Ggtot&gt;0,'[2]Mitigation summary'!V37*CO2toC*Ggtot,"NO")</f>
        <v>549791.65413497901</v>
      </c>
      <c r="AT91" s="95">
        <f>IF('[2]Mitigation summary'!W37*CO2toC*Ggtot&gt;0,'[2]Mitigation summary'!W37*CO2toC*Ggtot,"NO")</f>
        <v>549791.65413497901</v>
      </c>
      <c r="AU91" s="95">
        <f>IF('[2]Mitigation summary'!X37*CO2toC*Ggtot&gt;0,'[2]Mitigation summary'!X37*CO2toC*Ggtot,"NO")</f>
        <v>549791.65413497901</v>
      </c>
      <c r="AV91" s="95">
        <f>IF('[2]Mitigation summary'!Y37*CO2toC*Ggtot&gt;0,'[2]Mitigation summary'!Y37*CO2toC*Ggtot,"NO")</f>
        <v>549791.65413497901</v>
      </c>
      <c r="AW91" s="95">
        <f>IF('[2]Mitigation summary'!Z37*CO2toC*Ggtot&gt;0,'[2]Mitigation summary'!Z37*CO2toC*Ggtot,"NO")</f>
        <v>549791.65413497901</v>
      </c>
      <c r="AX91" s="95">
        <f>IF('[2]Mitigation summary'!AA37*CO2toC*Ggtot&gt;0,'[2]Mitigation summary'!AA37*CO2toC*Ggtot,"NO")</f>
        <v>549791.65413497901</v>
      </c>
      <c r="AY91" s="95">
        <f>IF('[2]Mitigation summary'!AB37*CO2toC*Ggtot&gt;0,'[2]Mitigation summary'!AB37*CO2toC*Ggtot,"NO")</f>
        <v>549791.65413497901</v>
      </c>
      <c r="AZ91" s="95">
        <f>IF('[2]Mitigation summary'!AC37*CO2toC*Ggtot&gt;0,'[2]Mitigation summary'!AC37*CO2toC*Ggtot,"NO")</f>
        <v>549791.65413497901</v>
      </c>
      <c r="BA91" s="95">
        <f>IF('[2]Mitigation summary'!AD37*CO2toC*Ggtot&gt;0,'[2]Mitigation summary'!AD37*CO2toC*Ggtot,"NO")</f>
        <v>549791.65413497901</v>
      </c>
      <c r="BB91" s="95">
        <f>IF('[2]Mitigation summary'!AE37*CO2toC*Ggtot&gt;0,'[2]Mitigation summary'!AE37*CO2toC*Ggtot,"NO")</f>
        <v>549791.65413497901</v>
      </c>
      <c r="BC91" s="95">
        <f>IF('[2]Mitigation summary'!AF37*CO2toC*Ggtot&gt;0,'[2]Mitigation summary'!AF37*CO2toC*Ggtot,"NO")</f>
        <v>549791.65413497901</v>
      </c>
      <c r="BD91" s="95">
        <f>IF('[2]Mitigation summary'!AG37*CO2toC*Ggtot&gt;0,'[2]Mitigation summary'!AG37*CO2toC*Ggtot,"NO")</f>
        <v>549791.65413497901</v>
      </c>
      <c r="BE91" s="95">
        <f>IF('[2]Mitigation summary'!AH37*CO2toC*Ggtot&gt;0,'[2]Mitigation summary'!AH37*CO2toC*Ggtot,"NO")</f>
        <v>549791.65413497901</v>
      </c>
      <c r="BF91" s="95">
        <f>IF('[2]Mitigation summary'!AI37*CO2toC*Ggtot&gt;0,'[2]Mitigation summary'!AI37*CO2toC*Ggtot,"NO")</f>
        <v>549791.65413497901</v>
      </c>
      <c r="BG91" s="95">
        <f>IF('[2]Mitigation summary'!AJ37*CO2toC*Ggtot&gt;0,'[2]Mitigation summary'!AJ37*CO2toC*Ggtot,"NO")</f>
        <v>549791.65413497901</v>
      </c>
      <c r="BH91" s="95">
        <f>IF('[2]Mitigation summary'!AK37*CO2toC*Ggtot&gt;0,'[2]Mitigation summary'!AK37*CO2toC*Ggtot,"NO")</f>
        <v>549791.65413497901</v>
      </c>
      <c r="BI91" s="95">
        <f>IF('[2]Mitigation summary'!AL37*CO2toC*Ggtot&gt;0,'[2]Mitigation summary'!AL37*CO2toC*Ggtot,"NO")</f>
        <v>549791.65413497901</v>
      </c>
      <c r="BJ91" s="95">
        <f>IF('[2]Mitigation summary'!AM37*CO2toC*Ggtot&gt;0,'[2]Mitigation summary'!AM37*CO2toC*Ggtot,"NO")</f>
        <v>549791.65413497901</v>
      </c>
      <c r="BK91" s="95">
        <f>IF('[2]Mitigation summary'!AN37*CO2toC*Ggtot&gt;0,'[2]Mitigation summary'!AN37*CO2toC*Ggtot,"NO")</f>
        <v>549791.65413497901</v>
      </c>
      <c r="BL91" s="95">
        <f>IF('[2]Mitigation summary'!AO37*CO2toC*Ggtot&gt;0,'[2]Mitigation summary'!AO37*CO2toC*Ggtot,"NO")</f>
        <v>549791.65413497901</v>
      </c>
      <c r="BM91" s="95">
        <f>IF('[2]Mitigation summary'!AP37*CO2toC*Ggtot&gt;0,'[2]Mitigation summary'!AP37*CO2toC*Ggtot,"NO")</f>
        <v>549791.65413497901</v>
      </c>
      <c r="BN91" s="95">
        <f>IF('[2]Mitigation summary'!AQ37*CO2toC*Ggtot&gt;0,'[2]Mitigation summary'!AQ37*CO2toC*Ggtot,"NO")</f>
        <v>549791.65413497901</v>
      </c>
      <c r="BO91" s="95">
        <f>IF('[2]Mitigation summary'!AR37*CO2toC*Ggtot&gt;0,'[2]Mitigation summary'!AR37*CO2toC*Ggtot,"NO")</f>
        <v>549791.65413497901</v>
      </c>
      <c r="BP91" s="95">
        <f>IF('[2]Mitigation summary'!AS37*CO2toC*Ggtot&gt;0,'[2]Mitigation summary'!AS37*CO2toC*Ggtot,"NO")</f>
        <v>549791.65413497901</v>
      </c>
      <c r="BQ91" s="82"/>
    </row>
    <row r="92" spans="1:72" x14ac:dyDescent="0.25">
      <c r="C92" t="s">
        <v>60</v>
      </c>
      <c r="D92" t="s">
        <v>105</v>
      </c>
      <c r="F92" t="s">
        <v>719</v>
      </c>
      <c r="H92" s="21">
        <v>0</v>
      </c>
      <c r="I92" s="21">
        <v>543.68882579109982</v>
      </c>
      <c r="J92" s="21">
        <v>543.68882579109982</v>
      </c>
      <c r="K92" s="21">
        <v>543.68882579109982</v>
      </c>
      <c r="L92" s="21">
        <v>543.68882579109982</v>
      </c>
      <c r="M92" s="21">
        <v>543.68882579109982</v>
      </c>
      <c r="N92" s="21">
        <v>543.68882579109982</v>
      </c>
      <c r="O92" s="21">
        <v>543.68882579109982</v>
      </c>
      <c r="P92" s="21">
        <v>543.68882579109982</v>
      </c>
      <c r="Q92" s="21">
        <v>543.68882579109982</v>
      </c>
      <c r="R92" s="21">
        <v>543.68882579109982</v>
      </c>
      <c r="S92" s="21">
        <v>543.68882579109982</v>
      </c>
      <c r="T92" s="21">
        <v>543.68882579109982</v>
      </c>
      <c r="U92" s="21">
        <v>543.68882579109982</v>
      </c>
      <c r="V92" s="21">
        <v>543.68882579109982</v>
      </c>
      <c r="W92" s="21">
        <v>543.68882579109982</v>
      </c>
      <c r="X92" s="21">
        <v>543.68882579109982</v>
      </c>
      <c r="Y92" s="21">
        <v>543.68882579109982</v>
      </c>
      <c r="Z92" s="21">
        <v>543.68882579109982</v>
      </c>
      <c r="AA92" s="21">
        <v>543.68882579109982</v>
      </c>
      <c r="AB92" s="43">
        <v>543.68882579109982</v>
      </c>
      <c r="AC92" s="43">
        <v>543.68882579109982</v>
      </c>
      <c r="AD92" s="95" t="str">
        <f>IF('[2]Mitigation summary'!G42*CO2toC*Ggtot&gt;0,'[2]Mitigation summary'!G42*CO2toC*Ggtot,"NO")</f>
        <v>NO</v>
      </c>
      <c r="AE92" s="95" t="str">
        <f>IF('[2]Mitigation summary'!H42*CO2toC*Ggtot&gt;0,'[2]Mitigation summary'!H42*CO2toC*Ggtot,"NO")</f>
        <v>NO</v>
      </c>
      <c r="AF92" s="95" t="str">
        <f>IF('[2]Mitigation summary'!I42*CO2toC*Ggtot&gt;0,'[2]Mitigation summary'!I42*CO2toC*Ggtot,"NO")</f>
        <v>NO</v>
      </c>
      <c r="AG92" s="95" t="str">
        <f>IF('[2]Mitigation summary'!J42*CO2toC*Ggtot&gt;0,'[2]Mitigation summary'!J42*CO2toC*Ggtot,"NO")</f>
        <v>NO</v>
      </c>
      <c r="AH92" s="95" t="str">
        <f>IF('[2]Mitigation summary'!K42*CO2toC*Ggtot&gt;0,'[2]Mitigation summary'!K42*CO2toC*Ggtot,"NO")</f>
        <v>NO</v>
      </c>
      <c r="AI92" s="95" t="str">
        <f>IF('[2]Mitigation summary'!L42*CO2toC*Ggtot&gt;0,'[2]Mitigation summary'!L42*CO2toC*Ggtot,"NO")</f>
        <v>NO</v>
      </c>
      <c r="AJ92" s="95" t="str">
        <f>IF('[2]Mitigation summary'!M42*CO2toC*Ggtot&gt;0,'[2]Mitigation summary'!M42*CO2toC*Ggtot,"NO")</f>
        <v>NO</v>
      </c>
      <c r="AK92" s="95" t="str">
        <f>IF('[2]Mitigation summary'!N42*CO2toC*Ggtot&gt;0,'[2]Mitigation summary'!N42*CO2toC*Ggtot,"NO")</f>
        <v>NO</v>
      </c>
      <c r="AL92" s="95" t="str">
        <f>IF('[2]Mitigation summary'!O42*CO2toC*Ggtot&gt;0,'[2]Mitigation summary'!O42*CO2toC*Ggtot,"NO")</f>
        <v>NO</v>
      </c>
      <c r="AM92" s="95" t="str">
        <f>IF('[2]Mitigation summary'!P42*CO2toC*Ggtot&gt;0,'[2]Mitigation summary'!P42*CO2toC*Ggtot,"NO")</f>
        <v>NO</v>
      </c>
      <c r="AN92" s="95" t="str">
        <f>IF('[2]Mitigation summary'!Q42*CO2toC*Ggtot&gt;0,'[2]Mitigation summary'!Q42*CO2toC*Ggtot,"NO")</f>
        <v>NO</v>
      </c>
      <c r="AO92" s="95" t="str">
        <f>IF('[2]Mitigation summary'!R42*CO2toC*Ggtot&gt;0,'[2]Mitigation summary'!R42*CO2toC*Ggtot,"NO")</f>
        <v>NO</v>
      </c>
      <c r="AP92" s="95" t="str">
        <f>IF('[2]Mitigation summary'!S42*CO2toC*Ggtot&gt;0,'[2]Mitigation summary'!S42*CO2toC*Ggtot,"NO")</f>
        <v>NO</v>
      </c>
      <c r="AQ92" s="95" t="str">
        <f>IF('[2]Mitigation summary'!T42*CO2toC*Ggtot&gt;0,'[2]Mitigation summary'!T42*CO2toC*Ggtot,"NO")</f>
        <v>NO</v>
      </c>
      <c r="AR92" s="95" t="str">
        <f>IF('[2]Mitigation summary'!U42*CO2toC*Ggtot&gt;0,'[2]Mitigation summary'!U42*CO2toC*Ggtot,"NO")</f>
        <v>NO</v>
      </c>
      <c r="AS92" s="95" t="str">
        <f>IF('[2]Mitigation summary'!V42*CO2toC*Ggtot&gt;0,'[2]Mitigation summary'!V42*CO2toC*Ggtot,"NO")</f>
        <v>NO</v>
      </c>
      <c r="AT92" s="95" t="str">
        <f>IF('[2]Mitigation summary'!W42*CO2toC*Ggtot&gt;0,'[2]Mitigation summary'!W42*CO2toC*Ggtot,"NO")</f>
        <v>NO</v>
      </c>
      <c r="AU92" s="95" t="str">
        <f>IF('[2]Mitigation summary'!X42*CO2toC*Ggtot&gt;0,'[2]Mitigation summary'!X42*CO2toC*Ggtot,"NO")</f>
        <v>NO</v>
      </c>
      <c r="AV92" s="95" t="str">
        <f>IF('[2]Mitigation summary'!Y42*CO2toC*Ggtot&gt;0,'[2]Mitigation summary'!Y42*CO2toC*Ggtot,"NO")</f>
        <v>NO</v>
      </c>
      <c r="AW92" s="95" t="str">
        <f>IF('[2]Mitigation summary'!Z42*CO2toC*Ggtot&gt;0,'[2]Mitigation summary'!Z42*CO2toC*Ggtot,"NO")</f>
        <v>NO</v>
      </c>
      <c r="AX92" s="95" t="str">
        <f>IF('[2]Mitigation summary'!AA42*CO2toC*Ggtot&gt;0,'[2]Mitigation summary'!AA42*CO2toC*Ggtot,"NO")</f>
        <v>NO</v>
      </c>
      <c r="AY92" s="95" t="str">
        <f>IF('[2]Mitigation summary'!AB42*CO2toC*Ggtot&gt;0,'[2]Mitigation summary'!AB42*CO2toC*Ggtot,"NO")</f>
        <v>NO</v>
      </c>
      <c r="AZ92" s="95" t="str">
        <f>IF('[2]Mitigation summary'!AC42*CO2toC*Ggtot&gt;0,'[2]Mitigation summary'!AC42*CO2toC*Ggtot,"NO")</f>
        <v>NO</v>
      </c>
      <c r="BA92" s="95" t="str">
        <f>IF('[2]Mitigation summary'!AD42*CO2toC*Ggtot&gt;0,'[2]Mitigation summary'!AD42*CO2toC*Ggtot,"NO")</f>
        <v>NO</v>
      </c>
      <c r="BB92" s="95" t="str">
        <f>IF('[2]Mitigation summary'!AE42*CO2toC*Ggtot&gt;0,'[2]Mitigation summary'!AE42*CO2toC*Ggtot,"NO")</f>
        <v>NO</v>
      </c>
      <c r="BC92" s="95" t="str">
        <f>IF('[2]Mitigation summary'!AF42*CO2toC*Ggtot&gt;0,'[2]Mitigation summary'!AF42*CO2toC*Ggtot,"NO")</f>
        <v>NO</v>
      </c>
      <c r="BD92" s="95" t="str">
        <f>IF('[2]Mitigation summary'!AG42*CO2toC*Ggtot&gt;0,'[2]Mitigation summary'!AG42*CO2toC*Ggtot,"NO")</f>
        <v>NO</v>
      </c>
      <c r="BE92" s="95" t="str">
        <f>IF('[2]Mitigation summary'!AH42*CO2toC*Ggtot&gt;0,'[2]Mitigation summary'!AH42*CO2toC*Ggtot,"NO")</f>
        <v>NO</v>
      </c>
      <c r="BF92" s="95" t="str">
        <f>IF('[2]Mitigation summary'!AI42*CO2toC*Ggtot&gt;0,'[2]Mitigation summary'!AI42*CO2toC*Ggtot,"NO")</f>
        <v>NO</v>
      </c>
      <c r="BG92" s="95" t="str">
        <f>IF('[2]Mitigation summary'!AJ42*CO2toC*Ggtot&gt;0,'[2]Mitigation summary'!AJ42*CO2toC*Ggtot,"NO")</f>
        <v>NO</v>
      </c>
      <c r="BH92" s="95" t="str">
        <f>IF('[2]Mitigation summary'!AK42*CO2toC*Ggtot&gt;0,'[2]Mitigation summary'!AK42*CO2toC*Ggtot,"NO")</f>
        <v>NO</v>
      </c>
      <c r="BI92" s="95" t="str">
        <f>IF('[2]Mitigation summary'!AL42*CO2toC*Ggtot&gt;0,'[2]Mitigation summary'!AL42*CO2toC*Ggtot,"NO")</f>
        <v>NO</v>
      </c>
      <c r="BJ92" s="95" t="str">
        <f>IF('[2]Mitigation summary'!AM42*CO2toC*Ggtot&gt;0,'[2]Mitigation summary'!AM42*CO2toC*Ggtot,"NO")</f>
        <v>NO</v>
      </c>
      <c r="BK92" s="95" t="str">
        <f>IF('[2]Mitigation summary'!AN42*CO2toC*Ggtot&gt;0,'[2]Mitigation summary'!AN42*CO2toC*Ggtot,"NO")</f>
        <v>NO</v>
      </c>
      <c r="BL92" s="95" t="str">
        <f>IF('[2]Mitigation summary'!AO42*CO2toC*Ggtot&gt;0,'[2]Mitigation summary'!AO42*CO2toC*Ggtot,"NO")</f>
        <v>NO</v>
      </c>
      <c r="BM92" s="95" t="str">
        <f>IF('[2]Mitigation summary'!AP42*CO2toC*Ggtot&gt;0,'[2]Mitigation summary'!AP42*CO2toC*Ggtot,"NO")</f>
        <v>NO</v>
      </c>
      <c r="BN92" s="95" t="str">
        <f>IF('[2]Mitigation summary'!AQ42*CO2toC*Ggtot&gt;0,'[2]Mitigation summary'!AQ42*CO2toC*Ggtot,"NO")</f>
        <v>NO</v>
      </c>
      <c r="BO92" s="95" t="str">
        <f>IF('[2]Mitigation summary'!AR42*CO2toC*Ggtot&gt;0,'[2]Mitigation summary'!AR42*CO2toC*Ggtot,"NO")</f>
        <v>NO</v>
      </c>
      <c r="BP92" s="95" t="str">
        <f>IF('[2]Mitigation summary'!AS42*CO2toC*Ggtot&gt;0,'[2]Mitigation summary'!AS42*CO2toC*Ggtot,"NO")</f>
        <v>NO</v>
      </c>
      <c r="BQ92" s="82"/>
    </row>
    <row r="93" spans="1:72" x14ac:dyDescent="0.25">
      <c r="A93" t="str">
        <f>A87</f>
        <v>3C Aggregated and non-CO2 emissions on land</v>
      </c>
      <c r="B93" t="str">
        <f>B87</f>
        <v>3C4 Direct N2O from managed soils (N2O)</v>
      </c>
      <c r="C93" t="s">
        <v>60</v>
      </c>
      <c r="D93" t="s">
        <v>721</v>
      </c>
      <c r="F93" t="s">
        <v>719</v>
      </c>
      <c r="H93" s="21" t="s">
        <v>720</v>
      </c>
      <c r="I93" s="21" t="s">
        <v>720</v>
      </c>
      <c r="J93" s="21" t="s">
        <v>720</v>
      </c>
      <c r="K93" s="21" t="s">
        <v>720</v>
      </c>
      <c r="L93" s="21" t="s">
        <v>720</v>
      </c>
      <c r="M93" s="21" t="s">
        <v>720</v>
      </c>
      <c r="N93" s="21" t="s">
        <v>720</v>
      </c>
      <c r="O93" s="21" t="s">
        <v>720</v>
      </c>
      <c r="P93" s="21" t="s">
        <v>720</v>
      </c>
      <c r="Q93" s="21" t="s">
        <v>720</v>
      </c>
      <c r="R93" s="21" t="s">
        <v>720</v>
      </c>
      <c r="S93" s="21" t="s">
        <v>720</v>
      </c>
      <c r="T93" s="21" t="s">
        <v>720</v>
      </c>
      <c r="U93" s="21" t="s">
        <v>720</v>
      </c>
      <c r="V93" s="21" t="s">
        <v>720</v>
      </c>
      <c r="W93" s="21" t="s">
        <v>720</v>
      </c>
      <c r="X93" s="21" t="s">
        <v>720</v>
      </c>
      <c r="Y93" s="21" t="s">
        <v>720</v>
      </c>
      <c r="Z93" s="21" t="s">
        <v>720</v>
      </c>
      <c r="AA93" s="21" t="s">
        <v>720</v>
      </c>
      <c r="AB93" s="43" t="s">
        <v>720</v>
      </c>
      <c r="AC93" s="43" t="s">
        <v>720</v>
      </c>
      <c r="AD93" s="43" t="s">
        <v>720</v>
      </c>
      <c r="AE93" s="43" t="s">
        <v>720</v>
      </c>
      <c r="AF93" s="43" t="s">
        <v>720</v>
      </c>
      <c r="AG93" s="43" t="s">
        <v>720</v>
      </c>
      <c r="AH93" s="43" t="s">
        <v>720</v>
      </c>
      <c r="AI93" s="43" t="s">
        <v>720</v>
      </c>
      <c r="AJ93" s="43" t="s">
        <v>720</v>
      </c>
      <c r="AK93" s="43" t="s">
        <v>720</v>
      </c>
      <c r="AL93" s="43" t="s">
        <v>720</v>
      </c>
      <c r="AM93" s="43" t="s">
        <v>720</v>
      </c>
      <c r="AN93" s="43" t="s">
        <v>720</v>
      </c>
      <c r="AO93" s="43" t="s">
        <v>720</v>
      </c>
      <c r="AP93" s="43" t="s">
        <v>720</v>
      </c>
      <c r="AQ93" s="43" t="s">
        <v>720</v>
      </c>
      <c r="AR93" s="43" t="s">
        <v>720</v>
      </c>
      <c r="AS93" s="43" t="s">
        <v>720</v>
      </c>
      <c r="AT93" s="43" t="s">
        <v>720</v>
      </c>
      <c r="AU93" s="43" t="s">
        <v>720</v>
      </c>
      <c r="AV93" s="43" t="s">
        <v>720</v>
      </c>
      <c r="AW93" s="43" t="s">
        <v>720</v>
      </c>
      <c r="AX93" s="43" t="s">
        <v>720</v>
      </c>
      <c r="AY93" s="43" t="s">
        <v>720</v>
      </c>
      <c r="AZ93" s="43" t="s">
        <v>720</v>
      </c>
      <c r="BA93" s="43" t="s">
        <v>720</v>
      </c>
      <c r="BB93" s="43" t="s">
        <v>720</v>
      </c>
      <c r="BC93" s="43" t="s">
        <v>720</v>
      </c>
      <c r="BD93" s="43" t="s">
        <v>720</v>
      </c>
      <c r="BE93" s="43" t="s">
        <v>720</v>
      </c>
      <c r="BF93" s="43" t="s">
        <v>720</v>
      </c>
      <c r="BG93" s="43" t="s">
        <v>720</v>
      </c>
      <c r="BH93" s="43" t="s">
        <v>720</v>
      </c>
      <c r="BI93" s="43" t="s">
        <v>720</v>
      </c>
      <c r="BJ93" s="43" t="s">
        <v>720</v>
      </c>
      <c r="BK93" s="43" t="s">
        <v>720</v>
      </c>
      <c r="BL93" s="43" t="s">
        <v>720</v>
      </c>
      <c r="BM93" s="43" t="s">
        <v>720</v>
      </c>
      <c r="BN93" s="43" t="s">
        <v>720</v>
      </c>
      <c r="BO93" s="43" t="s">
        <v>720</v>
      </c>
      <c r="BP93" s="43" t="s">
        <v>720</v>
      </c>
      <c r="BQ93" s="82"/>
    </row>
    <row r="94" spans="1:72" x14ac:dyDescent="0.25">
      <c r="C94" t="s">
        <v>60</v>
      </c>
      <c r="D94" t="s">
        <v>792</v>
      </c>
      <c r="F94" t="s">
        <v>719</v>
      </c>
      <c r="H94" s="21" t="s">
        <v>720</v>
      </c>
      <c r="I94" s="21" t="s">
        <v>720</v>
      </c>
      <c r="J94" s="21" t="s">
        <v>720</v>
      </c>
      <c r="K94" s="21" t="s">
        <v>720</v>
      </c>
      <c r="L94" s="21" t="s">
        <v>720</v>
      </c>
      <c r="M94" s="21" t="s">
        <v>720</v>
      </c>
      <c r="N94" s="21" t="s">
        <v>720</v>
      </c>
      <c r="O94" s="21" t="s">
        <v>720</v>
      </c>
      <c r="P94" s="21" t="s">
        <v>720</v>
      </c>
      <c r="Q94" s="21" t="s">
        <v>720</v>
      </c>
      <c r="R94" s="21" t="s">
        <v>720</v>
      </c>
      <c r="S94" s="21" t="s">
        <v>720</v>
      </c>
      <c r="T94" s="21" t="s">
        <v>720</v>
      </c>
      <c r="U94" s="21" t="s">
        <v>720</v>
      </c>
      <c r="V94" s="21" t="s">
        <v>720</v>
      </c>
      <c r="W94" s="21" t="s">
        <v>720</v>
      </c>
      <c r="X94" s="21" t="s">
        <v>720</v>
      </c>
      <c r="Y94" s="21" t="s">
        <v>720</v>
      </c>
      <c r="Z94" s="21" t="s">
        <v>720</v>
      </c>
      <c r="AA94" s="21" t="s">
        <v>720</v>
      </c>
      <c r="AB94" s="43" t="s">
        <v>720</v>
      </c>
      <c r="AC94" s="43" t="s">
        <v>720</v>
      </c>
      <c r="AD94" s="43" t="s">
        <v>720</v>
      </c>
      <c r="AE94" s="43" t="s">
        <v>720</v>
      </c>
      <c r="AF94" s="43" t="s">
        <v>720</v>
      </c>
      <c r="AG94" s="43" t="s">
        <v>720</v>
      </c>
      <c r="AH94" s="43" t="s">
        <v>720</v>
      </c>
      <c r="AI94" s="43" t="s">
        <v>720</v>
      </c>
      <c r="AJ94" s="43" t="s">
        <v>720</v>
      </c>
      <c r="AK94" s="43" t="s">
        <v>720</v>
      </c>
      <c r="AL94" s="43" t="s">
        <v>720</v>
      </c>
      <c r="AM94" s="43" t="s">
        <v>720</v>
      </c>
      <c r="AN94" s="43" t="s">
        <v>720</v>
      </c>
      <c r="AO94" s="43" t="s">
        <v>720</v>
      </c>
      <c r="AP94" s="43" t="s">
        <v>720</v>
      </c>
      <c r="AQ94" s="43" t="s">
        <v>720</v>
      </c>
      <c r="AR94" s="43" t="s">
        <v>720</v>
      </c>
      <c r="AS94" s="43" t="s">
        <v>720</v>
      </c>
      <c r="AT94" s="43" t="s">
        <v>720</v>
      </c>
      <c r="AU94" s="43" t="s">
        <v>720</v>
      </c>
      <c r="AV94" s="43" t="s">
        <v>720</v>
      </c>
      <c r="AW94" s="43" t="s">
        <v>720</v>
      </c>
      <c r="AX94" s="43" t="s">
        <v>720</v>
      </c>
      <c r="AY94" s="43" t="s">
        <v>720</v>
      </c>
      <c r="AZ94" s="43" t="s">
        <v>720</v>
      </c>
      <c r="BA94" s="43" t="s">
        <v>720</v>
      </c>
      <c r="BB94" s="43" t="s">
        <v>720</v>
      </c>
      <c r="BC94" s="43" t="s">
        <v>720</v>
      </c>
      <c r="BD94" s="43" t="s">
        <v>720</v>
      </c>
      <c r="BE94" s="43" t="s">
        <v>720</v>
      </c>
      <c r="BF94" s="43" t="s">
        <v>720</v>
      </c>
      <c r="BG94" s="43" t="s">
        <v>720</v>
      </c>
      <c r="BH94" s="43" t="s">
        <v>720</v>
      </c>
      <c r="BI94" s="43" t="s">
        <v>720</v>
      </c>
      <c r="BJ94" s="43" t="s">
        <v>720</v>
      </c>
      <c r="BK94" s="43" t="s">
        <v>720</v>
      </c>
      <c r="BL94" s="43" t="s">
        <v>720</v>
      </c>
      <c r="BM94" s="43" t="s">
        <v>720</v>
      </c>
      <c r="BN94" s="43" t="s">
        <v>720</v>
      </c>
      <c r="BO94" s="43" t="s">
        <v>720</v>
      </c>
      <c r="BP94" s="43" t="s">
        <v>720</v>
      </c>
      <c r="BQ94" s="82"/>
    </row>
    <row r="95" spans="1:72" x14ac:dyDescent="0.25">
      <c r="A95" t="str">
        <f>A87</f>
        <v>3C Aggregated and non-CO2 emissions on land</v>
      </c>
      <c r="B95" t="str">
        <f>B87</f>
        <v>3C4 Direct N2O from managed soils (N2O)</v>
      </c>
      <c r="C95" t="s">
        <v>60</v>
      </c>
      <c r="D95" t="s">
        <v>107</v>
      </c>
      <c r="F95" t="s">
        <v>719</v>
      </c>
      <c r="H95" s="21" t="s">
        <v>720</v>
      </c>
      <c r="I95" s="21">
        <v>4.7379431086319741</v>
      </c>
      <c r="J95" s="21">
        <v>4.7379431086319741</v>
      </c>
      <c r="K95" s="21">
        <v>4.7379431086319741</v>
      </c>
      <c r="L95" s="21">
        <v>4.7379431086319741</v>
      </c>
      <c r="M95" s="21">
        <v>4.7379431086319741</v>
      </c>
      <c r="N95" s="21">
        <v>4.7379431086319741</v>
      </c>
      <c r="O95" s="21">
        <v>4.7379431086319741</v>
      </c>
      <c r="P95" s="21">
        <v>4.7379431086319741</v>
      </c>
      <c r="Q95" s="21">
        <v>4.7379431086319741</v>
      </c>
      <c r="R95" s="21">
        <v>4.7379431086319741</v>
      </c>
      <c r="S95" s="21">
        <v>4.7379431086319741</v>
      </c>
      <c r="T95" s="21">
        <v>4.7379431086319741</v>
      </c>
      <c r="U95" s="21">
        <v>4.7379431086319741</v>
      </c>
      <c r="V95" s="21">
        <v>4.7379431086319741</v>
      </c>
      <c r="W95" s="21">
        <v>4.7379431086319741</v>
      </c>
      <c r="X95" s="21">
        <v>4.7379431086319741</v>
      </c>
      <c r="Y95" s="21">
        <v>4.7379431086319741</v>
      </c>
      <c r="Z95" s="21">
        <v>4.7379431086319741</v>
      </c>
      <c r="AA95" s="21">
        <v>4.7379431086319741</v>
      </c>
      <c r="AB95" s="43">
        <v>4.7379431086319741</v>
      </c>
      <c r="AC95" s="43">
        <v>4.7379431086319741</v>
      </c>
      <c r="AD95" s="95">
        <f>IF('[2]Mitigation summary'!G53*CO2toC*Ggtot&gt;0,'[2]Mitigation summary'!G53*CO2toC*Ggtot,"NO")</f>
        <v>53.492906065199229</v>
      </c>
      <c r="AE95" s="95">
        <f>IF('[2]Mitigation summary'!H53*CO2toC*Ggtot&gt;0,'[2]Mitigation summary'!H53*CO2toC*Ggtot,"NO")</f>
        <v>53.492906065199229</v>
      </c>
      <c r="AF95" s="95">
        <f>IF('[2]Mitigation summary'!I53*CO2toC*Ggtot&gt;0,'[2]Mitigation summary'!I53*CO2toC*Ggtot,"NO")</f>
        <v>53.492906065199229</v>
      </c>
      <c r="AG95" s="95">
        <f>IF('[2]Mitigation summary'!J53*CO2toC*Ggtot&gt;0,'[2]Mitigation summary'!J53*CO2toC*Ggtot,"NO")</f>
        <v>53.492906065199229</v>
      </c>
      <c r="AH95" s="95">
        <f>IF('[2]Mitigation summary'!K53*CO2toC*Ggtot&gt;0,'[2]Mitigation summary'!K53*CO2toC*Ggtot,"NO")</f>
        <v>53.492906065199229</v>
      </c>
      <c r="AI95" s="95">
        <f>IF('[2]Mitigation summary'!L53*CO2toC*Ggtot&gt;0,'[2]Mitigation summary'!L53*CO2toC*Ggtot,"NO")</f>
        <v>53.492906065199229</v>
      </c>
      <c r="AJ95" s="95">
        <f>IF('[2]Mitigation summary'!M53*CO2toC*Ggtot&gt;0,'[2]Mitigation summary'!M53*CO2toC*Ggtot,"NO")</f>
        <v>53.492906065199229</v>
      </c>
      <c r="AK95" s="95">
        <f>IF('[2]Mitigation summary'!N53*CO2toC*Ggtot&gt;0,'[2]Mitigation summary'!N53*CO2toC*Ggtot,"NO")</f>
        <v>53.492906065199229</v>
      </c>
      <c r="AL95" s="95">
        <f>IF('[2]Mitigation summary'!O53*CO2toC*Ggtot&gt;0,'[2]Mitigation summary'!O53*CO2toC*Ggtot,"NO")</f>
        <v>53.492906065199229</v>
      </c>
      <c r="AM95" s="95">
        <f>IF('[2]Mitigation summary'!P53*CO2toC*Ggtot&gt;0,'[2]Mitigation summary'!P53*CO2toC*Ggtot,"NO")</f>
        <v>53.492906065199229</v>
      </c>
      <c r="AN95" s="95">
        <f>IF('[2]Mitigation summary'!Q53*CO2toC*Ggtot&gt;0,'[2]Mitigation summary'!Q53*CO2toC*Ggtot,"NO")</f>
        <v>53.492906065199229</v>
      </c>
      <c r="AO95" s="95">
        <f>IF('[2]Mitigation summary'!R53*CO2toC*Ggtot&gt;0,'[2]Mitigation summary'!R53*CO2toC*Ggtot,"NO")</f>
        <v>53.492906065199229</v>
      </c>
      <c r="AP95" s="95">
        <f>IF('[2]Mitigation summary'!S53*CO2toC*Ggtot&gt;0,'[2]Mitigation summary'!S53*CO2toC*Ggtot,"NO")</f>
        <v>53.492906065199229</v>
      </c>
      <c r="AQ95" s="95">
        <f>IF('[2]Mitigation summary'!T53*CO2toC*Ggtot&gt;0,'[2]Mitigation summary'!T53*CO2toC*Ggtot,"NO")</f>
        <v>53.492906065199229</v>
      </c>
      <c r="AR95" s="95">
        <f>IF('[2]Mitigation summary'!U53*CO2toC*Ggtot&gt;0,'[2]Mitigation summary'!U53*CO2toC*Ggtot,"NO")</f>
        <v>53.492906065199229</v>
      </c>
      <c r="AS95" s="95">
        <f>IF('[2]Mitigation summary'!V53*CO2toC*Ggtot&gt;0,'[2]Mitigation summary'!V53*CO2toC*Ggtot,"NO")</f>
        <v>53.492906065199229</v>
      </c>
      <c r="AT95" s="95">
        <f>IF('[2]Mitigation summary'!W53*CO2toC*Ggtot&gt;0,'[2]Mitigation summary'!W53*CO2toC*Ggtot,"NO")</f>
        <v>53.492906065199229</v>
      </c>
      <c r="AU95" s="95">
        <f>IF('[2]Mitigation summary'!X53*CO2toC*Ggtot&gt;0,'[2]Mitigation summary'!X53*CO2toC*Ggtot,"NO")</f>
        <v>53.492906065199229</v>
      </c>
      <c r="AV95" s="95">
        <f>IF('[2]Mitigation summary'!Y53*CO2toC*Ggtot&gt;0,'[2]Mitigation summary'!Y53*CO2toC*Ggtot,"NO")</f>
        <v>53.492906065199229</v>
      </c>
      <c r="AW95" s="95">
        <f>IF('[2]Mitigation summary'!Z53*CO2toC*Ggtot&gt;0,'[2]Mitigation summary'!Z53*CO2toC*Ggtot,"NO")</f>
        <v>53.492906065199229</v>
      </c>
      <c r="AX95" s="95">
        <f>IF('[2]Mitigation summary'!AA53*CO2toC*Ggtot&gt;0,'[2]Mitigation summary'!AA53*CO2toC*Ggtot,"NO")</f>
        <v>53.492906065199229</v>
      </c>
      <c r="AY95" s="95">
        <f>IF('[2]Mitigation summary'!AB53*CO2toC*Ggtot&gt;0,'[2]Mitigation summary'!AB53*CO2toC*Ggtot,"NO")</f>
        <v>53.492906065199229</v>
      </c>
      <c r="AZ95" s="95">
        <f>IF('[2]Mitigation summary'!AC53*CO2toC*Ggtot&gt;0,'[2]Mitigation summary'!AC53*CO2toC*Ggtot,"NO")</f>
        <v>53.492906065199229</v>
      </c>
      <c r="BA95" s="95">
        <f>IF('[2]Mitigation summary'!AD53*CO2toC*Ggtot&gt;0,'[2]Mitigation summary'!AD53*CO2toC*Ggtot,"NO")</f>
        <v>53.492906065199229</v>
      </c>
      <c r="BB95" s="95">
        <f>IF('[2]Mitigation summary'!AE53*CO2toC*Ggtot&gt;0,'[2]Mitigation summary'!AE53*CO2toC*Ggtot,"NO")</f>
        <v>53.492906065199229</v>
      </c>
      <c r="BC95" s="95">
        <f>IF('[2]Mitigation summary'!AF53*CO2toC*Ggtot&gt;0,'[2]Mitigation summary'!AF53*CO2toC*Ggtot,"NO")</f>
        <v>53.492906065199229</v>
      </c>
      <c r="BD95" s="95">
        <f>IF('[2]Mitigation summary'!AG53*CO2toC*Ggtot&gt;0,'[2]Mitigation summary'!AG53*CO2toC*Ggtot,"NO")</f>
        <v>53.492906065199229</v>
      </c>
      <c r="BE95" s="95">
        <f>IF('[2]Mitigation summary'!AH53*CO2toC*Ggtot&gt;0,'[2]Mitigation summary'!AH53*CO2toC*Ggtot,"NO")</f>
        <v>53.492906065199229</v>
      </c>
      <c r="BF95" s="95">
        <f>IF('[2]Mitigation summary'!AI53*CO2toC*Ggtot&gt;0,'[2]Mitigation summary'!AI53*CO2toC*Ggtot,"NO")</f>
        <v>53.492906065199229</v>
      </c>
      <c r="BG95" s="95">
        <f>IF('[2]Mitigation summary'!AJ53*CO2toC*Ggtot&gt;0,'[2]Mitigation summary'!AJ53*CO2toC*Ggtot,"NO")</f>
        <v>53.492906065199229</v>
      </c>
      <c r="BH95" s="95">
        <f>IF('[2]Mitigation summary'!AK53*CO2toC*Ggtot&gt;0,'[2]Mitigation summary'!AK53*CO2toC*Ggtot,"NO")</f>
        <v>53.492906065199229</v>
      </c>
      <c r="BI95" s="95">
        <f>IF('[2]Mitigation summary'!AL53*CO2toC*Ggtot&gt;0,'[2]Mitigation summary'!AL53*CO2toC*Ggtot,"NO")</f>
        <v>53.492906065199229</v>
      </c>
      <c r="BJ95" s="95">
        <f>IF('[2]Mitigation summary'!AM53*CO2toC*Ggtot&gt;0,'[2]Mitigation summary'!AM53*CO2toC*Ggtot,"NO")</f>
        <v>53.492906065199229</v>
      </c>
      <c r="BK95" s="95">
        <f>IF('[2]Mitigation summary'!AN53*CO2toC*Ggtot&gt;0,'[2]Mitigation summary'!AN53*CO2toC*Ggtot,"NO")</f>
        <v>53.492906065199229</v>
      </c>
      <c r="BL95" s="95">
        <f>IF('[2]Mitigation summary'!AO53*CO2toC*Ggtot&gt;0,'[2]Mitigation summary'!AO53*CO2toC*Ggtot,"NO")</f>
        <v>53.492906065199229</v>
      </c>
      <c r="BM95" s="95">
        <f>IF('[2]Mitigation summary'!AP53*CO2toC*Ggtot&gt;0,'[2]Mitigation summary'!AP53*CO2toC*Ggtot,"NO")</f>
        <v>53.492906065199229</v>
      </c>
      <c r="BN95" s="95">
        <f>IF('[2]Mitigation summary'!AQ53*CO2toC*Ggtot&gt;0,'[2]Mitigation summary'!AQ53*CO2toC*Ggtot,"NO")</f>
        <v>53.492906065199229</v>
      </c>
      <c r="BO95" s="95">
        <f>IF('[2]Mitigation summary'!AR53*CO2toC*Ggtot&gt;0,'[2]Mitigation summary'!AR53*CO2toC*Ggtot,"NO")</f>
        <v>53.492906065199229</v>
      </c>
      <c r="BP95" s="95">
        <f>IF('[2]Mitigation summary'!AS53*CO2toC*Ggtot&gt;0,'[2]Mitigation summary'!AS53*CO2toC*Ggtot,"NO")</f>
        <v>53.492906065199229</v>
      </c>
      <c r="BQ95" s="82"/>
    </row>
    <row r="96" spans="1:72" x14ac:dyDescent="0.25">
      <c r="C96" t="s">
        <v>60</v>
      </c>
      <c r="D96" t="s">
        <v>108</v>
      </c>
      <c r="F96" t="s">
        <v>719</v>
      </c>
      <c r="H96" s="21">
        <v>0</v>
      </c>
      <c r="I96" s="21">
        <v>5942.7299901832721</v>
      </c>
      <c r="J96" s="21">
        <v>5942.7299901832721</v>
      </c>
      <c r="K96" s="21">
        <v>5942.7299901832721</v>
      </c>
      <c r="L96" s="21">
        <v>5942.7299901832721</v>
      </c>
      <c r="M96" s="21">
        <v>5942.7299901832721</v>
      </c>
      <c r="N96" s="21">
        <v>5942.7299901832721</v>
      </c>
      <c r="O96" s="21">
        <v>5942.7299901832721</v>
      </c>
      <c r="P96" s="21">
        <v>5942.7299901832721</v>
      </c>
      <c r="Q96" s="21">
        <v>5942.7299901832721</v>
      </c>
      <c r="R96" s="21">
        <v>5942.7299901832721</v>
      </c>
      <c r="S96" s="21">
        <v>5942.7299901832721</v>
      </c>
      <c r="T96" s="21">
        <v>5942.7299901832721</v>
      </c>
      <c r="U96" s="21">
        <v>5942.7299901832721</v>
      </c>
      <c r="V96" s="21">
        <v>5942.7299901832721</v>
      </c>
      <c r="W96" s="21">
        <v>5942.7299901832721</v>
      </c>
      <c r="X96" s="21">
        <v>5942.7299901832721</v>
      </c>
      <c r="Y96" s="21">
        <v>5942.7299901832721</v>
      </c>
      <c r="Z96" s="21">
        <v>5942.7299901832721</v>
      </c>
      <c r="AA96" s="21">
        <v>5942.7299901832721</v>
      </c>
      <c r="AB96" s="43">
        <v>5942.7299901832721</v>
      </c>
      <c r="AC96" s="43">
        <v>5942.7299901832721</v>
      </c>
      <c r="AD96" s="95">
        <f>IF('[2]Mitigation summary'!G58*CO2toC*Ggtot&gt;0,'[2]Mitigation summary'!G58*CO2toC*Ggtot,"NO")</f>
        <v>58330.916309538901</v>
      </c>
      <c r="AE96" s="95">
        <f>IF('[2]Mitigation summary'!H58*CO2toC*Ggtot&gt;0,'[2]Mitigation summary'!H58*CO2toC*Ggtot,"NO")</f>
        <v>58330.916309538901</v>
      </c>
      <c r="AF96" s="95">
        <f>IF('[2]Mitigation summary'!I58*CO2toC*Ggtot&gt;0,'[2]Mitigation summary'!I58*CO2toC*Ggtot,"NO")</f>
        <v>58330.916309538901</v>
      </c>
      <c r="AG96" s="95">
        <f>IF('[2]Mitigation summary'!J58*CO2toC*Ggtot&gt;0,'[2]Mitigation summary'!J58*CO2toC*Ggtot,"NO")</f>
        <v>58330.916309538901</v>
      </c>
      <c r="AH96" s="95">
        <f>IF('[2]Mitigation summary'!K58*CO2toC*Ggtot&gt;0,'[2]Mitigation summary'!K58*CO2toC*Ggtot,"NO")</f>
        <v>58330.916309538901</v>
      </c>
      <c r="AI96" s="95">
        <f>IF('[2]Mitigation summary'!L58*CO2toC*Ggtot&gt;0,'[2]Mitigation summary'!L58*CO2toC*Ggtot,"NO")</f>
        <v>58330.916309538901</v>
      </c>
      <c r="AJ96" s="95">
        <f>IF('[2]Mitigation summary'!M58*CO2toC*Ggtot&gt;0,'[2]Mitigation summary'!M58*CO2toC*Ggtot,"NO")</f>
        <v>58330.916309538901</v>
      </c>
      <c r="AK96" s="95">
        <f>IF('[2]Mitigation summary'!N58*CO2toC*Ggtot&gt;0,'[2]Mitigation summary'!N58*CO2toC*Ggtot,"NO")</f>
        <v>58330.916309538901</v>
      </c>
      <c r="AL96" s="95">
        <f>IF('[2]Mitigation summary'!O58*CO2toC*Ggtot&gt;0,'[2]Mitigation summary'!O58*CO2toC*Ggtot,"NO")</f>
        <v>58330.916309538901</v>
      </c>
      <c r="AM96" s="95">
        <f>IF('[2]Mitigation summary'!P58*CO2toC*Ggtot&gt;0,'[2]Mitigation summary'!P58*CO2toC*Ggtot,"NO")</f>
        <v>58330.916309538901</v>
      </c>
      <c r="AN96" s="95">
        <f>IF('[2]Mitigation summary'!Q58*CO2toC*Ggtot&gt;0,'[2]Mitigation summary'!Q58*CO2toC*Ggtot,"NO")</f>
        <v>58330.916309538901</v>
      </c>
      <c r="AO96" s="95">
        <f>IF('[2]Mitigation summary'!R58*CO2toC*Ggtot&gt;0,'[2]Mitigation summary'!R58*CO2toC*Ggtot,"NO")</f>
        <v>58330.916309538901</v>
      </c>
      <c r="AP96" s="95">
        <f>IF('[2]Mitigation summary'!S58*CO2toC*Ggtot&gt;0,'[2]Mitigation summary'!S58*CO2toC*Ggtot,"NO")</f>
        <v>58330.916309538901</v>
      </c>
      <c r="AQ96" s="95">
        <f>IF('[2]Mitigation summary'!T58*CO2toC*Ggtot&gt;0,'[2]Mitigation summary'!T58*CO2toC*Ggtot,"NO")</f>
        <v>58330.916309538901</v>
      </c>
      <c r="AR96" s="95">
        <f>IF('[2]Mitigation summary'!U58*CO2toC*Ggtot&gt;0,'[2]Mitigation summary'!U58*CO2toC*Ggtot,"NO")</f>
        <v>58330.916309538901</v>
      </c>
      <c r="AS96" s="95">
        <f>IF('[2]Mitigation summary'!V58*CO2toC*Ggtot&gt;0,'[2]Mitigation summary'!V58*CO2toC*Ggtot,"NO")</f>
        <v>58330.916309538901</v>
      </c>
      <c r="AT96" s="95">
        <f>IF('[2]Mitigation summary'!W58*CO2toC*Ggtot&gt;0,'[2]Mitigation summary'!W58*CO2toC*Ggtot,"NO")</f>
        <v>58330.916309538901</v>
      </c>
      <c r="AU96" s="95">
        <f>IF('[2]Mitigation summary'!X58*CO2toC*Ggtot&gt;0,'[2]Mitigation summary'!X58*CO2toC*Ggtot,"NO")</f>
        <v>58330.916309538901</v>
      </c>
      <c r="AV96" s="95">
        <f>IF('[2]Mitigation summary'!Y58*CO2toC*Ggtot&gt;0,'[2]Mitigation summary'!Y58*CO2toC*Ggtot,"NO")</f>
        <v>58330.916309538901</v>
      </c>
      <c r="AW96" s="95">
        <f>IF('[2]Mitigation summary'!Z58*CO2toC*Ggtot&gt;0,'[2]Mitigation summary'!Z58*CO2toC*Ggtot,"NO")</f>
        <v>58330.916309538901</v>
      </c>
      <c r="AX96" s="95">
        <f>IF('[2]Mitigation summary'!AA58*CO2toC*Ggtot&gt;0,'[2]Mitigation summary'!AA58*CO2toC*Ggtot,"NO")</f>
        <v>58330.916309538901</v>
      </c>
      <c r="AY96" s="95">
        <f>IF('[2]Mitigation summary'!AB58*CO2toC*Ggtot&gt;0,'[2]Mitigation summary'!AB58*CO2toC*Ggtot,"NO")</f>
        <v>58330.916309538901</v>
      </c>
      <c r="AZ96" s="95">
        <f>IF('[2]Mitigation summary'!AC58*CO2toC*Ggtot&gt;0,'[2]Mitigation summary'!AC58*CO2toC*Ggtot,"NO")</f>
        <v>58330.916309538901</v>
      </c>
      <c r="BA96" s="95">
        <f>IF('[2]Mitigation summary'!AD58*CO2toC*Ggtot&gt;0,'[2]Mitigation summary'!AD58*CO2toC*Ggtot,"NO")</f>
        <v>58330.916309538901</v>
      </c>
      <c r="BB96" s="95">
        <f>IF('[2]Mitigation summary'!AE58*CO2toC*Ggtot&gt;0,'[2]Mitigation summary'!AE58*CO2toC*Ggtot,"NO")</f>
        <v>58330.916309538901</v>
      </c>
      <c r="BC96" s="95">
        <f>IF('[2]Mitigation summary'!AF58*CO2toC*Ggtot&gt;0,'[2]Mitigation summary'!AF58*CO2toC*Ggtot,"NO")</f>
        <v>58330.916309538901</v>
      </c>
      <c r="BD96" s="95">
        <f>IF('[2]Mitigation summary'!AG58*CO2toC*Ggtot&gt;0,'[2]Mitigation summary'!AG58*CO2toC*Ggtot,"NO")</f>
        <v>58330.916309538901</v>
      </c>
      <c r="BE96" s="95">
        <f>IF('[2]Mitigation summary'!AH58*CO2toC*Ggtot&gt;0,'[2]Mitigation summary'!AH58*CO2toC*Ggtot,"NO")</f>
        <v>58330.916309538901</v>
      </c>
      <c r="BF96" s="95">
        <f>IF('[2]Mitigation summary'!AI58*CO2toC*Ggtot&gt;0,'[2]Mitigation summary'!AI58*CO2toC*Ggtot,"NO")</f>
        <v>58330.916309538901</v>
      </c>
      <c r="BG96" s="95">
        <f>IF('[2]Mitigation summary'!AJ58*CO2toC*Ggtot&gt;0,'[2]Mitigation summary'!AJ58*CO2toC*Ggtot,"NO")</f>
        <v>58330.916309538901</v>
      </c>
      <c r="BH96" s="95">
        <f>IF('[2]Mitigation summary'!AK58*CO2toC*Ggtot&gt;0,'[2]Mitigation summary'!AK58*CO2toC*Ggtot,"NO")</f>
        <v>58330.916309538901</v>
      </c>
      <c r="BI96" s="95">
        <f>IF('[2]Mitigation summary'!AL58*CO2toC*Ggtot&gt;0,'[2]Mitigation summary'!AL58*CO2toC*Ggtot,"NO")</f>
        <v>58330.916309538901</v>
      </c>
      <c r="BJ96" s="95">
        <f>IF('[2]Mitigation summary'!AM58*CO2toC*Ggtot&gt;0,'[2]Mitigation summary'!AM58*CO2toC*Ggtot,"NO")</f>
        <v>58330.916309538901</v>
      </c>
      <c r="BK96" s="95">
        <f>IF('[2]Mitigation summary'!AN58*CO2toC*Ggtot&gt;0,'[2]Mitigation summary'!AN58*CO2toC*Ggtot,"NO")</f>
        <v>58330.916309538901</v>
      </c>
      <c r="BL96" s="95">
        <f>IF('[2]Mitigation summary'!AO58*CO2toC*Ggtot&gt;0,'[2]Mitigation summary'!AO58*CO2toC*Ggtot,"NO")</f>
        <v>58330.916309538901</v>
      </c>
      <c r="BM96" s="95">
        <f>IF('[2]Mitigation summary'!AP58*CO2toC*Ggtot&gt;0,'[2]Mitigation summary'!AP58*CO2toC*Ggtot,"NO")</f>
        <v>58330.916309538901</v>
      </c>
      <c r="BN96" s="95">
        <f>IF('[2]Mitigation summary'!AQ58*CO2toC*Ggtot&gt;0,'[2]Mitigation summary'!AQ58*CO2toC*Ggtot,"NO")</f>
        <v>58330.916309538901</v>
      </c>
      <c r="BO96" s="95">
        <f>IF('[2]Mitigation summary'!AR58*CO2toC*Ggtot&gt;0,'[2]Mitigation summary'!AR58*CO2toC*Ggtot,"NO")</f>
        <v>58330.916309538901</v>
      </c>
      <c r="BP96" s="95">
        <f>IF('[2]Mitigation summary'!AS58*CO2toC*Ggtot&gt;0,'[2]Mitigation summary'!AS58*CO2toC*Ggtot,"NO")</f>
        <v>58330.916309538901</v>
      </c>
      <c r="BQ96" s="82"/>
    </row>
    <row r="97" spans="1:69" x14ac:dyDescent="0.25">
      <c r="A97" t="str">
        <f>A95</f>
        <v>3C Aggregated and non-CO2 emissions on land</v>
      </c>
      <c r="B97" t="str">
        <f>B95</f>
        <v>3C4 Direct N2O from managed soils (N2O)</v>
      </c>
      <c r="C97" t="s">
        <v>60</v>
      </c>
      <c r="D97" t="s">
        <v>110</v>
      </c>
      <c r="F97" t="s">
        <v>719</v>
      </c>
      <c r="H97" s="21" t="str">
        <f>IF('[3]Baseline emission summary'!G63*CO2toC*Ggtot&gt;0,'[3]Baseline emission summary'!G63*CO2toC*Ggtot,"NO")</f>
        <v>NO</v>
      </c>
      <c r="I97" s="21" t="str">
        <f>IF('[3]Baseline emission summary'!H63*CO2toC*Ggtot&gt;0,'[3]Baseline emission summary'!H63*CO2toC*Ggtot,"NO")</f>
        <v>NO</v>
      </c>
      <c r="J97" s="21" t="str">
        <f>IF('[3]Baseline emission summary'!I63*CO2toC*Ggtot&gt;0,'[3]Baseline emission summary'!I63*CO2toC*Ggtot,"NO")</f>
        <v>NO</v>
      </c>
      <c r="K97" s="21" t="str">
        <f>IF('[3]Baseline emission summary'!J63*CO2toC*Ggtot&gt;0,'[3]Baseline emission summary'!J63*CO2toC*Ggtot,"NO")</f>
        <v>NO</v>
      </c>
      <c r="L97" s="21" t="str">
        <f>IF('[3]Baseline emission summary'!K63*CO2toC*Ggtot&gt;0,'[3]Baseline emission summary'!K63*CO2toC*Ggtot,"NO")</f>
        <v>NO</v>
      </c>
      <c r="M97" s="21" t="str">
        <f>IF('[3]Baseline emission summary'!L63*CO2toC*Ggtot&gt;0,'[3]Baseline emission summary'!L63*CO2toC*Ggtot,"NO")</f>
        <v>NO</v>
      </c>
      <c r="N97" s="21" t="str">
        <f>IF('[3]Baseline emission summary'!M63*CO2toC*Ggtot&gt;0,'[3]Baseline emission summary'!M63*CO2toC*Ggtot,"NO")</f>
        <v>NO</v>
      </c>
      <c r="O97" s="21" t="str">
        <f>IF('[3]Baseline emission summary'!N63*CO2toC*Ggtot&gt;0,'[3]Baseline emission summary'!N63*CO2toC*Ggtot,"NO")</f>
        <v>NO</v>
      </c>
      <c r="P97" s="21" t="str">
        <f>IF('[3]Baseline emission summary'!O63*CO2toC*Ggtot&gt;0,'[3]Baseline emission summary'!O63*CO2toC*Ggtot,"NO")</f>
        <v>NO</v>
      </c>
      <c r="Q97" s="21" t="str">
        <f>IF('[3]Baseline emission summary'!P63*CO2toC*Ggtot&gt;0,'[3]Baseline emission summary'!P63*CO2toC*Ggtot,"NO")</f>
        <v>NO</v>
      </c>
      <c r="R97" s="21" t="str">
        <f>IF('[3]Baseline emission summary'!Q63*CO2toC*Ggtot&gt;0,'[3]Baseline emission summary'!Q63*CO2toC*Ggtot,"NO")</f>
        <v>NO</v>
      </c>
      <c r="S97" s="21" t="str">
        <f>IF('[3]Baseline emission summary'!R63*CO2toC*Ggtot&gt;0,'[3]Baseline emission summary'!R63*CO2toC*Ggtot,"NO")</f>
        <v>NO</v>
      </c>
      <c r="T97" s="21" t="str">
        <f>IF('[3]Baseline emission summary'!S63*CO2toC*Ggtot&gt;0,'[3]Baseline emission summary'!S63*CO2toC*Ggtot,"NO")</f>
        <v>NO</v>
      </c>
      <c r="U97" s="21" t="str">
        <f>IF('[3]Baseline emission summary'!T63*CO2toC*Ggtot&gt;0,'[3]Baseline emission summary'!T63*CO2toC*Ggtot,"NO")</f>
        <v>NO</v>
      </c>
      <c r="V97" s="21" t="str">
        <f>IF('[3]Baseline emission summary'!U63*CO2toC*Ggtot&gt;0,'[3]Baseline emission summary'!U63*CO2toC*Ggtot,"NO")</f>
        <v>NO</v>
      </c>
      <c r="W97" s="21" t="str">
        <f>IF('[3]Baseline emission summary'!V63*CO2toC*Ggtot&gt;0,'[3]Baseline emission summary'!V63*CO2toC*Ggtot,"NO")</f>
        <v>NO</v>
      </c>
      <c r="X97" s="21" t="str">
        <f>IF('[3]Baseline emission summary'!W63*CO2toC*Ggtot&gt;0,'[3]Baseline emission summary'!W63*CO2toC*Ggtot,"NO")</f>
        <v>NO</v>
      </c>
      <c r="Y97" s="21" t="str">
        <f>IF('[3]Baseline emission summary'!X63*CO2toC*Ggtot&gt;0,'[3]Baseline emission summary'!X63*CO2toC*Ggtot,"NO")</f>
        <v>NO</v>
      </c>
      <c r="Z97" s="21" t="str">
        <f>IF('[3]Baseline emission summary'!Y63*CO2toC*Ggtot&gt;0,'[3]Baseline emission summary'!Y63*CO2toC*Ggtot,"NO")</f>
        <v>NO</v>
      </c>
      <c r="AA97" s="21" t="str">
        <f>IF('[3]Baseline emission summary'!Z63*CO2toC*Ggtot&gt;0,'[3]Baseline emission summary'!Z63*CO2toC*Ggtot,"NO")</f>
        <v>NO</v>
      </c>
      <c r="AB97" s="43" t="str">
        <f>IF('[3]Baseline emission summary'!AA63*CO2toC*Ggtot&gt;0,'[3]Baseline emission summary'!AA63*CO2toC*Ggtot,"NO")</f>
        <v>NO</v>
      </c>
      <c r="AC97" s="43" t="str">
        <f>IF('[3]Baseline emission summary'!AB63*CO2toC*Ggtot&gt;0,'[3]Baseline emission summary'!AB63*CO2toC*Ggtot,"NO")</f>
        <v>NO</v>
      </c>
      <c r="AD97" s="95" t="str">
        <f>IF('[2]Mitigation summary'!G66*CO2toC*Ggtot&gt;0,'[2]Mitigation summary'!G66*CO2toC*Ggtot,"NO")</f>
        <v>NO</v>
      </c>
      <c r="AE97" s="95" t="str">
        <f>IF('[2]Mitigation summary'!H66*CO2toC*Ggtot&gt;0,'[2]Mitigation summary'!H66*CO2toC*Ggtot,"NO")</f>
        <v>NO</v>
      </c>
      <c r="AF97" s="95" t="str">
        <f>IF('[2]Mitigation summary'!I66*CO2toC*Ggtot&gt;0,'[2]Mitigation summary'!I66*CO2toC*Ggtot,"NO")</f>
        <v>NO</v>
      </c>
      <c r="AG97" s="95" t="str">
        <f>IF('[2]Mitigation summary'!J66*CO2toC*Ggtot&gt;0,'[2]Mitigation summary'!J66*CO2toC*Ggtot,"NO")</f>
        <v>NO</v>
      </c>
      <c r="AH97" s="95" t="str">
        <f>IF('[2]Mitigation summary'!K66*CO2toC*Ggtot&gt;0,'[2]Mitigation summary'!K66*CO2toC*Ggtot,"NO")</f>
        <v>NO</v>
      </c>
      <c r="AI97" s="95" t="str">
        <f>IF('[2]Mitigation summary'!L66*CO2toC*Ggtot&gt;0,'[2]Mitigation summary'!L66*CO2toC*Ggtot,"NO")</f>
        <v>NO</v>
      </c>
      <c r="AJ97" s="95" t="str">
        <f>IF('[2]Mitigation summary'!M66*CO2toC*Ggtot&gt;0,'[2]Mitigation summary'!M66*CO2toC*Ggtot,"NO")</f>
        <v>NO</v>
      </c>
      <c r="AK97" s="95" t="str">
        <f>IF('[2]Mitigation summary'!N66*CO2toC*Ggtot&gt;0,'[2]Mitigation summary'!N66*CO2toC*Ggtot,"NO")</f>
        <v>NO</v>
      </c>
      <c r="AL97" s="95" t="str">
        <f>IF('[2]Mitigation summary'!O66*CO2toC*Ggtot&gt;0,'[2]Mitigation summary'!O66*CO2toC*Ggtot,"NO")</f>
        <v>NO</v>
      </c>
      <c r="AM97" s="95" t="str">
        <f>IF('[2]Mitigation summary'!P66*CO2toC*Ggtot&gt;0,'[2]Mitigation summary'!P66*CO2toC*Ggtot,"NO")</f>
        <v>NO</v>
      </c>
      <c r="AN97" s="95" t="str">
        <f>IF('[2]Mitigation summary'!Q66*CO2toC*Ggtot&gt;0,'[2]Mitigation summary'!Q66*CO2toC*Ggtot,"NO")</f>
        <v>NO</v>
      </c>
      <c r="AO97" s="95" t="str">
        <f>IF('[2]Mitigation summary'!R66*CO2toC*Ggtot&gt;0,'[2]Mitigation summary'!R66*CO2toC*Ggtot,"NO")</f>
        <v>NO</v>
      </c>
      <c r="AP97" s="95" t="str">
        <f>IF('[2]Mitigation summary'!S66*CO2toC*Ggtot&gt;0,'[2]Mitigation summary'!S66*CO2toC*Ggtot,"NO")</f>
        <v>NO</v>
      </c>
      <c r="AQ97" s="95" t="str">
        <f>IF('[2]Mitigation summary'!T66*CO2toC*Ggtot&gt;0,'[2]Mitigation summary'!T66*CO2toC*Ggtot,"NO")</f>
        <v>NO</v>
      </c>
      <c r="AR97" s="95" t="str">
        <f>IF('[2]Mitigation summary'!U66*CO2toC*Ggtot&gt;0,'[2]Mitigation summary'!U66*CO2toC*Ggtot,"NO")</f>
        <v>NO</v>
      </c>
      <c r="AS97" s="95" t="str">
        <f>IF('[2]Mitigation summary'!V66*CO2toC*Ggtot&gt;0,'[2]Mitigation summary'!V66*CO2toC*Ggtot,"NO")</f>
        <v>NO</v>
      </c>
      <c r="AT97" s="95" t="str">
        <f>IF('[2]Mitigation summary'!W66*CO2toC*Ggtot&gt;0,'[2]Mitigation summary'!W66*CO2toC*Ggtot,"NO")</f>
        <v>NO</v>
      </c>
      <c r="AU97" s="95" t="str">
        <f>IF('[2]Mitigation summary'!X66*CO2toC*Ggtot&gt;0,'[2]Mitigation summary'!X66*CO2toC*Ggtot,"NO")</f>
        <v>NO</v>
      </c>
      <c r="AV97" s="95" t="str">
        <f>IF('[2]Mitigation summary'!Y66*CO2toC*Ggtot&gt;0,'[2]Mitigation summary'!Y66*CO2toC*Ggtot,"NO")</f>
        <v>NO</v>
      </c>
      <c r="AW97" s="95" t="str">
        <f>IF('[2]Mitigation summary'!Z66*CO2toC*Ggtot&gt;0,'[2]Mitigation summary'!Z66*CO2toC*Ggtot,"NO")</f>
        <v>NO</v>
      </c>
      <c r="AX97" s="95" t="str">
        <f>IF('[2]Mitigation summary'!AA66*CO2toC*Ggtot&gt;0,'[2]Mitigation summary'!AA66*CO2toC*Ggtot,"NO")</f>
        <v>NO</v>
      </c>
      <c r="AY97" s="95" t="str">
        <f>IF('[2]Mitigation summary'!AB66*CO2toC*Ggtot&gt;0,'[2]Mitigation summary'!AB66*CO2toC*Ggtot,"NO")</f>
        <v>NO</v>
      </c>
      <c r="AZ97" s="95" t="str">
        <f>IF('[2]Mitigation summary'!AC66*CO2toC*Ggtot&gt;0,'[2]Mitigation summary'!AC66*CO2toC*Ggtot,"NO")</f>
        <v>NO</v>
      </c>
      <c r="BA97" s="95" t="str">
        <f>IF('[2]Mitigation summary'!AD66*CO2toC*Ggtot&gt;0,'[2]Mitigation summary'!AD66*CO2toC*Ggtot,"NO")</f>
        <v>NO</v>
      </c>
      <c r="BB97" s="95" t="str">
        <f>IF('[2]Mitigation summary'!AE66*CO2toC*Ggtot&gt;0,'[2]Mitigation summary'!AE66*CO2toC*Ggtot,"NO")</f>
        <v>NO</v>
      </c>
      <c r="BC97" s="95" t="str">
        <f>IF('[2]Mitigation summary'!AF66*CO2toC*Ggtot&gt;0,'[2]Mitigation summary'!AF66*CO2toC*Ggtot,"NO")</f>
        <v>NO</v>
      </c>
      <c r="BD97" s="95" t="str">
        <f>IF('[2]Mitigation summary'!AG66*CO2toC*Ggtot&gt;0,'[2]Mitigation summary'!AG66*CO2toC*Ggtot,"NO")</f>
        <v>NO</v>
      </c>
      <c r="BE97" s="95" t="str">
        <f>IF('[2]Mitigation summary'!AH66*CO2toC*Ggtot&gt;0,'[2]Mitigation summary'!AH66*CO2toC*Ggtot,"NO")</f>
        <v>NO</v>
      </c>
      <c r="BF97" s="95" t="str">
        <f>IF('[2]Mitigation summary'!AI66*CO2toC*Ggtot&gt;0,'[2]Mitigation summary'!AI66*CO2toC*Ggtot,"NO")</f>
        <v>NO</v>
      </c>
      <c r="BG97" s="95" t="str">
        <f>IF('[2]Mitigation summary'!AJ66*CO2toC*Ggtot&gt;0,'[2]Mitigation summary'!AJ66*CO2toC*Ggtot,"NO")</f>
        <v>NO</v>
      </c>
      <c r="BH97" s="95" t="str">
        <f>IF('[2]Mitigation summary'!AK66*CO2toC*Ggtot&gt;0,'[2]Mitigation summary'!AK66*CO2toC*Ggtot,"NO")</f>
        <v>NO</v>
      </c>
      <c r="BI97" s="95" t="str">
        <f>IF('[2]Mitigation summary'!AL66*CO2toC*Ggtot&gt;0,'[2]Mitigation summary'!AL66*CO2toC*Ggtot,"NO")</f>
        <v>NO</v>
      </c>
      <c r="BJ97" s="95" t="str">
        <f>IF('[2]Mitigation summary'!AM66*CO2toC*Ggtot&gt;0,'[2]Mitigation summary'!AM66*CO2toC*Ggtot,"NO")</f>
        <v>NO</v>
      </c>
      <c r="BK97" s="95" t="str">
        <f>IF('[2]Mitigation summary'!AN66*CO2toC*Ggtot&gt;0,'[2]Mitigation summary'!AN66*CO2toC*Ggtot,"NO")</f>
        <v>NO</v>
      </c>
      <c r="BL97" s="95" t="str">
        <f>IF('[2]Mitigation summary'!AO66*CO2toC*Ggtot&gt;0,'[2]Mitigation summary'!AO66*CO2toC*Ggtot,"NO")</f>
        <v>NO</v>
      </c>
      <c r="BM97" s="95" t="str">
        <f>IF('[2]Mitigation summary'!AP66*CO2toC*Ggtot&gt;0,'[2]Mitigation summary'!AP66*CO2toC*Ggtot,"NO")</f>
        <v>NO</v>
      </c>
      <c r="BN97" s="95" t="str">
        <f>IF('[2]Mitigation summary'!AQ66*CO2toC*Ggtot&gt;0,'[2]Mitigation summary'!AQ66*CO2toC*Ggtot,"NO")</f>
        <v>NO</v>
      </c>
      <c r="BO97" s="95" t="str">
        <f>IF('[2]Mitigation summary'!AR66*CO2toC*Ggtot&gt;0,'[2]Mitigation summary'!AR66*CO2toC*Ggtot,"NO")</f>
        <v>NO</v>
      </c>
      <c r="BP97" s="95" t="str">
        <f>IF('[2]Mitigation summary'!AS66*CO2toC*Ggtot&gt;0,'[2]Mitigation summary'!AS66*CO2toC*Ggtot,"NO")</f>
        <v>NO</v>
      </c>
      <c r="BQ97" s="82"/>
    </row>
    <row r="98" spans="1:69" x14ac:dyDescent="0.25">
      <c r="C98" t="s">
        <v>60</v>
      </c>
      <c r="D98" t="s">
        <v>793</v>
      </c>
      <c r="F98" t="s">
        <v>719</v>
      </c>
      <c r="H98" s="21">
        <v>0</v>
      </c>
      <c r="I98" s="21">
        <v>269926.33928069618</v>
      </c>
      <c r="J98" s="21">
        <v>269926.33928069618</v>
      </c>
      <c r="K98" s="21">
        <v>269926.33928069618</v>
      </c>
      <c r="L98" s="21">
        <v>269926.33928069618</v>
      </c>
      <c r="M98" s="21">
        <v>269926.33928069618</v>
      </c>
      <c r="N98" s="21">
        <v>269926.33928069618</v>
      </c>
      <c r="O98" s="21">
        <v>269926.33928069618</v>
      </c>
      <c r="P98" s="21">
        <v>269926.33928069618</v>
      </c>
      <c r="Q98" s="21">
        <v>269926.33928069618</v>
      </c>
      <c r="R98" s="21">
        <v>269926.33928069618</v>
      </c>
      <c r="S98" s="21">
        <v>269926.33928069618</v>
      </c>
      <c r="T98" s="21">
        <v>269926.33928069618</v>
      </c>
      <c r="U98" s="21">
        <v>269926.33928069618</v>
      </c>
      <c r="V98" s="21">
        <v>269926.33928069618</v>
      </c>
      <c r="W98" s="21">
        <v>269926.33928069618</v>
      </c>
      <c r="X98" s="21">
        <v>269926.33928069618</v>
      </c>
      <c r="Y98" s="21">
        <v>269926.33928069618</v>
      </c>
      <c r="Z98" s="21">
        <v>269926.33928069618</v>
      </c>
      <c r="AA98" s="21">
        <v>269926.33928069618</v>
      </c>
      <c r="AB98" s="43">
        <v>269926.33928069618</v>
      </c>
      <c r="AC98" s="43">
        <v>269926.33928069618</v>
      </c>
      <c r="AD98" s="95">
        <f>IF('[2]Mitigation summary'!G71*CO2toC*Ggtot&gt;0,'[2]Mitigation summary'!G71*CO2toC*Ggtot,"NO")</f>
        <v>3050891.1887046536</v>
      </c>
      <c r="AE98" s="95">
        <f>IF('[2]Mitigation summary'!H71*CO2toC*Ggtot&gt;0,'[2]Mitigation summary'!H71*CO2toC*Ggtot,"NO")</f>
        <v>3050891.1887046532</v>
      </c>
      <c r="AF98" s="95">
        <f>IF('[2]Mitigation summary'!I71*CO2toC*Ggtot&gt;0,'[2]Mitigation summary'!I71*CO2toC*Ggtot,"NO")</f>
        <v>3050891.1887046532</v>
      </c>
      <c r="AG98" s="95">
        <f>IF('[2]Mitigation summary'!J71*CO2toC*Ggtot&gt;0,'[2]Mitigation summary'!J71*CO2toC*Ggtot,"NO")</f>
        <v>3050891.1887046532</v>
      </c>
      <c r="AH98" s="95">
        <f>IF('[2]Mitigation summary'!K71*CO2toC*Ggtot&gt;0,'[2]Mitigation summary'!K71*CO2toC*Ggtot,"NO")</f>
        <v>3050891.1887046532</v>
      </c>
      <c r="AI98" s="95">
        <f>IF('[2]Mitigation summary'!L71*CO2toC*Ggtot&gt;0,'[2]Mitigation summary'!L71*CO2toC*Ggtot,"NO")</f>
        <v>3050891.1887046532</v>
      </c>
      <c r="AJ98" s="95">
        <f>IF('[2]Mitigation summary'!M71*CO2toC*Ggtot&gt;0,'[2]Mitigation summary'!M71*CO2toC*Ggtot,"NO")</f>
        <v>3050891.1887046532</v>
      </c>
      <c r="AK98" s="95">
        <f>IF('[2]Mitigation summary'!N71*CO2toC*Ggtot&gt;0,'[2]Mitigation summary'!N71*CO2toC*Ggtot,"NO")</f>
        <v>3050891.1887046532</v>
      </c>
      <c r="AL98" s="95">
        <f>IF('[2]Mitigation summary'!O71*CO2toC*Ggtot&gt;0,'[2]Mitigation summary'!O71*CO2toC*Ggtot,"NO")</f>
        <v>3050891.1887046532</v>
      </c>
      <c r="AM98" s="95">
        <f>IF('[2]Mitigation summary'!P71*CO2toC*Ggtot&gt;0,'[2]Mitigation summary'!P71*CO2toC*Ggtot,"NO")</f>
        <v>3050891.1887046532</v>
      </c>
      <c r="AN98" s="95">
        <f>IF('[2]Mitigation summary'!Q71*CO2toC*Ggtot&gt;0,'[2]Mitigation summary'!Q71*CO2toC*Ggtot,"NO")</f>
        <v>3050891.1887046532</v>
      </c>
      <c r="AO98" s="95">
        <f>IF('[2]Mitigation summary'!R71*CO2toC*Ggtot&gt;0,'[2]Mitigation summary'!R71*CO2toC*Ggtot,"NO")</f>
        <v>3050891.1887046532</v>
      </c>
      <c r="AP98" s="95">
        <f>IF('[2]Mitigation summary'!S71*CO2toC*Ggtot&gt;0,'[2]Mitigation summary'!S71*CO2toC*Ggtot,"NO")</f>
        <v>3050891.1887046532</v>
      </c>
      <c r="AQ98" s="95">
        <f>IF('[2]Mitigation summary'!T71*CO2toC*Ggtot&gt;0,'[2]Mitigation summary'!T71*CO2toC*Ggtot,"NO")</f>
        <v>3050891.1887046532</v>
      </c>
      <c r="AR98" s="95">
        <f>IF('[2]Mitigation summary'!U71*CO2toC*Ggtot&gt;0,'[2]Mitigation summary'!U71*CO2toC*Ggtot,"NO")</f>
        <v>3050891.1887046532</v>
      </c>
      <c r="AS98" s="95">
        <f>IF('[2]Mitigation summary'!V71*CO2toC*Ggtot&gt;0,'[2]Mitigation summary'!V71*CO2toC*Ggtot,"NO")</f>
        <v>3050891.1887046532</v>
      </c>
      <c r="AT98" s="95">
        <f>IF('[2]Mitigation summary'!W71*CO2toC*Ggtot&gt;0,'[2]Mitigation summary'!W71*CO2toC*Ggtot,"NO")</f>
        <v>3050891.1887046532</v>
      </c>
      <c r="AU98" s="95">
        <f>IF('[2]Mitigation summary'!X71*CO2toC*Ggtot&gt;0,'[2]Mitigation summary'!X71*CO2toC*Ggtot,"NO")</f>
        <v>3050891.1887046532</v>
      </c>
      <c r="AV98" s="95">
        <f>IF('[2]Mitigation summary'!Y71*CO2toC*Ggtot&gt;0,'[2]Mitigation summary'!Y71*CO2toC*Ggtot,"NO")</f>
        <v>3050891.1887046532</v>
      </c>
      <c r="AW98" s="95">
        <f>IF('[2]Mitigation summary'!Z71*CO2toC*Ggtot&gt;0,'[2]Mitigation summary'!Z71*CO2toC*Ggtot,"NO")</f>
        <v>3050891.1887046532</v>
      </c>
      <c r="AX98" s="95">
        <f>IF('[2]Mitigation summary'!AA71*CO2toC*Ggtot&gt;0,'[2]Mitigation summary'!AA71*CO2toC*Ggtot,"NO")</f>
        <v>3050891.1887046532</v>
      </c>
      <c r="AY98" s="95">
        <f>IF('[2]Mitigation summary'!AB71*CO2toC*Ggtot&gt;0,'[2]Mitigation summary'!AB71*CO2toC*Ggtot,"NO")</f>
        <v>3050891.1887046532</v>
      </c>
      <c r="AZ98" s="95">
        <f>IF('[2]Mitigation summary'!AC71*CO2toC*Ggtot&gt;0,'[2]Mitigation summary'!AC71*CO2toC*Ggtot,"NO")</f>
        <v>3050891.1887046532</v>
      </c>
      <c r="BA98" s="95">
        <f>IF('[2]Mitigation summary'!AD71*CO2toC*Ggtot&gt;0,'[2]Mitigation summary'!AD71*CO2toC*Ggtot,"NO")</f>
        <v>3050891.1887046532</v>
      </c>
      <c r="BB98" s="95">
        <f>IF('[2]Mitigation summary'!AE71*CO2toC*Ggtot&gt;0,'[2]Mitigation summary'!AE71*CO2toC*Ggtot,"NO")</f>
        <v>3050891.1887046532</v>
      </c>
      <c r="BC98" s="95">
        <f>IF('[2]Mitigation summary'!AF71*CO2toC*Ggtot&gt;0,'[2]Mitigation summary'!AF71*CO2toC*Ggtot,"NO")</f>
        <v>3050891.1887046532</v>
      </c>
      <c r="BD98" s="95">
        <f>IF('[2]Mitigation summary'!AG71*CO2toC*Ggtot&gt;0,'[2]Mitigation summary'!AG71*CO2toC*Ggtot,"NO")</f>
        <v>3050891.1887046532</v>
      </c>
      <c r="BE98" s="95">
        <f>IF('[2]Mitigation summary'!AH71*CO2toC*Ggtot&gt;0,'[2]Mitigation summary'!AH71*CO2toC*Ggtot,"NO")</f>
        <v>3050891.1887046532</v>
      </c>
      <c r="BF98" s="95">
        <f>IF('[2]Mitigation summary'!AI71*CO2toC*Ggtot&gt;0,'[2]Mitigation summary'!AI71*CO2toC*Ggtot,"NO")</f>
        <v>3050891.1887046532</v>
      </c>
      <c r="BG98" s="95">
        <f>IF('[2]Mitigation summary'!AJ71*CO2toC*Ggtot&gt;0,'[2]Mitigation summary'!AJ71*CO2toC*Ggtot,"NO")</f>
        <v>3050891.1887046532</v>
      </c>
      <c r="BH98" s="95">
        <f>IF('[2]Mitigation summary'!AK71*CO2toC*Ggtot&gt;0,'[2]Mitigation summary'!AK71*CO2toC*Ggtot,"NO")</f>
        <v>3050891.1887046532</v>
      </c>
      <c r="BI98" s="95">
        <f>IF('[2]Mitigation summary'!AL71*CO2toC*Ggtot&gt;0,'[2]Mitigation summary'!AL71*CO2toC*Ggtot,"NO")</f>
        <v>3050891.1887046532</v>
      </c>
      <c r="BJ98" s="95">
        <f>IF('[2]Mitigation summary'!AM71*CO2toC*Ggtot&gt;0,'[2]Mitigation summary'!AM71*CO2toC*Ggtot,"NO")</f>
        <v>3050891.1887046532</v>
      </c>
      <c r="BK98" s="95">
        <f>IF('[2]Mitigation summary'!AN71*CO2toC*Ggtot&gt;0,'[2]Mitigation summary'!AN71*CO2toC*Ggtot,"NO")</f>
        <v>3050891.1887046532</v>
      </c>
      <c r="BL98" s="95">
        <f>IF('[2]Mitigation summary'!AO71*CO2toC*Ggtot&gt;0,'[2]Mitigation summary'!AO71*CO2toC*Ggtot,"NO")</f>
        <v>3050891.1887046532</v>
      </c>
      <c r="BM98" s="95">
        <f>IF('[2]Mitigation summary'!AP71*CO2toC*Ggtot&gt;0,'[2]Mitigation summary'!AP71*CO2toC*Ggtot,"NO")</f>
        <v>3050891.1887046532</v>
      </c>
      <c r="BN98" s="95">
        <f>IF('[2]Mitigation summary'!AQ71*CO2toC*Ggtot&gt;0,'[2]Mitigation summary'!AQ71*CO2toC*Ggtot,"NO")</f>
        <v>3050891.1887046532</v>
      </c>
      <c r="BO98" s="95">
        <f>IF('[2]Mitigation summary'!AR71*CO2toC*Ggtot&gt;0,'[2]Mitigation summary'!AR71*CO2toC*Ggtot,"NO")</f>
        <v>3050891.1887046532</v>
      </c>
      <c r="BP98" s="95">
        <f>IF('[2]Mitigation summary'!AS71*CO2toC*Ggtot&gt;0,'[2]Mitigation summary'!AS71*CO2toC*Ggtot,"NO")</f>
        <v>3050891.1887046532</v>
      </c>
      <c r="BQ98" s="23"/>
    </row>
    <row r="99" spans="1:69" x14ac:dyDescent="0.25">
      <c r="AB99" s="11"/>
    </row>
    <row r="100" spans="1:69" x14ac:dyDescent="0.25">
      <c r="AB100" s="11"/>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xr2:uid="{00000000-0003-0000-0D00-000005000000}">
          <x14:colorSeries rgb="FF376092"/>
          <x14:colorNegative rgb="FFD00000"/>
          <x14:colorAxis rgb="FF000000"/>
          <x14:colorMarkers rgb="FFD00000"/>
          <x14:colorFirst rgb="FFD00000"/>
          <x14:colorLast rgb="FFD00000"/>
          <x14:colorHigh rgb="FFD00000"/>
          <x14:colorLow rgb="FFD00000"/>
          <x14:sparklines>
            <x14:sparkline>
              <xm:f>'Activity data'!AB41:BP41</xm:f>
              <xm:sqref>BR41</xm:sqref>
            </x14:sparkline>
            <x14:sparkline>
              <xm:f>'Activity data'!AB42:BP42</xm:f>
              <xm:sqref>BR42</xm:sqref>
            </x14:sparkline>
            <x14:sparkline>
              <xm:f>'Activity data'!AB43:BP43</xm:f>
              <xm:sqref>BR43</xm:sqref>
            </x14:sparkline>
          </x14:sparklines>
        </x14:sparklineGroup>
        <x14:sparklineGroup displayEmptyCellsAs="gap" xr2:uid="{00000000-0003-0000-0D00-000004000000}">
          <x14:colorSeries rgb="FF376092"/>
          <x14:colorNegative rgb="FFD00000"/>
          <x14:colorAxis rgb="FF000000"/>
          <x14:colorMarkers rgb="FFD00000"/>
          <x14:colorFirst rgb="FFD00000"/>
          <x14:colorLast rgb="FFD00000"/>
          <x14:colorHigh rgb="FFD00000"/>
          <x14:colorLow rgb="FFD00000"/>
          <x14:sparklines>
            <x14:sparkline>
              <xm:f>'Activity data'!AB24:BP24</xm:f>
              <xm:sqref>BR24</xm:sqref>
            </x14:sparkline>
            <x14:sparkline>
              <xm:f>'Activity data'!AB25:BP25</xm:f>
              <xm:sqref>BR25</xm:sqref>
            </x14:sparkline>
            <x14:sparkline>
              <xm:f>'Activity data'!AB26:BP26</xm:f>
              <xm:sqref>BR26</xm:sqref>
            </x14:sparkline>
            <x14:sparkline>
              <xm:f>'Activity data'!AB27:BP27</xm:f>
              <xm:sqref>BR27</xm:sqref>
            </x14:sparkline>
            <x14:sparkline>
              <xm:f>'Activity data'!AB28:BP28</xm:f>
              <xm:sqref>BR28</xm:sqref>
            </x14:sparkline>
            <x14:sparkline>
              <xm:f>'Activity data'!AB29:BP29</xm:f>
              <xm:sqref>BR29</xm:sqref>
            </x14:sparkline>
            <x14:sparkline>
              <xm:f>'Activity data'!AB30:BP30</xm:f>
              <xm:sqref>BR30</xm:sqref>
            </x14:sparkline>
            <x14:sparkline>
              <xm:f>'Activity data'!AB31:BP31</xm:f>
              <xm:sqref>BR31</xm:sqref>
            </x14:sparkline>
            <x14:sparkline>
              <xm:f>'Activity data'!AB32:BP32</xm:f>
              <xm:sqref>BR32</xm:sqref>
            </x14:sparkline>
            <x14:sparkline>
              <xm:f>'Activity data'!AB33:BP33</xm:f>
              <xm:sqref>BR33</xm:sqref>
            </x14:sparkline>
            <x14:sparkline>
              <xm:f>'Activity data'!AB34:BP34</xm:f>
              <xm:sqref>BR34</xm:sqref>
            </x14:sparkline>
            <x14:sparkline>
              <xm:f>'Activity data'!AB35:BP35</xm:f>
              <xm:sqref>BR35</xm:sqref>
            </x14:sparkline>
            <x14:sparkline>
              <xm:f>'Activity data'!AB36:BP36</xm:f>
              <xm:sqref>BR36</xm:sqref>
            </x14:sparkline>
            <x14:sparkline>
              <xm:f>'Activity data'!AB37:BP37</xm:f>
              <xm:sqref>BR37</xm:sqref>
            </x14:sparkline>
            <x14:sparkline>
              <xm:f>'Activity data'!AB38:BP38</xm:f>
              <xm:sqref>BR38</xm:sqref>
            </x14:sparkline>
            <x14:sparkline>
              <xm:f>'Activity data'!AB39:BP39</xm:f>
              <xm:sqref>BR39</xm:sqref>
            </x14:sparkline>
          </x14:sparklines>
        </x14:sparklineGroup>
        <x14:sparklineGroup displayEmptyCellsAs="gap" xr2:uid="{00000000-0003-0000-0D00-000003000000}">
          <x14:colorSeries rgb="FF376092"/>
          <x14:colorNegative rgb="FFD00000"/>
          <x14:colorAxis rgb="FF000000"/>
          <x14:colorMarkers rgb="FFD00000"/>
          <x14:colorFirst rgb="FFD00000"/>
          <x14:colorLast rgb="FFD00000"/>
          <x14:colorHigh rgb="FFD00000"/>
          <x14:colorLow rgb="FFD00000"/>
          <x14:sparklines>
            <x14:sparkline>
              <xm:f>'Activity data'!AB5:BP5</xm:f>
              <xm:sqref>BR5</xm:sqref>
            </x14:sparkline>
            <x14:sparkline>
              <xm:f>'Activity data'!AB6:BP6</xm:f>
              <xm:sqref>BR6</xm:sqref>
            </x14:sparkline>
            <x14:sparkline>
              <xm:f>'Activity data'!AB7:BP7</xm:f>
              <xm:sqref>BR7</xm:sqref>
            </x14:sparkline>
            <x14:sparkline>
              <xm:f>'Activity data'!AB8:BP8</xm:f>
              <xm:sqref>BR8</xm:sqref>
            </x14:sparkline>
            <x14:sparkline>
              <xm:f>'Activity data'!AB9:BP9</xm:f>
              <xm:sqref>BR9</xm:sqref>
            </x14:sparkline>
            <x14:sparkline>
              <xm:f>'Activity data'!AB10:BP10</xm:f>
              <xm:sqref>BR10</xm:sqref>
            </x14:sparkline>
            <x14:sparkline>
              <xm:f>'Activity data'!AB11:BP11</xm:f>
              <xm:sqref>BR11</xm:sqref>
            </x14:sparkline>
            <x14:sparkline>
              <xm:f>'Activity data'!AB12:BP12</xm:f>
              <xm:sqref>BR12</xm:sqref>
            </x14:sparkline>
            <x14:sparkline>
              <xm:f>'Activity data'!AB13:BP13</xm:f>
              <xm:sqref>BR13</xm:sqref>
            </x14:sparkline>
            <x14:sparkline>
              <xm:f>'Activity data'!AB14:BP14</xm:f>
              <xm:sqref>BR14</xm:sqref>
            </x14:sparkline>
            <x14:sparkline>
              <xm:f>'Activity data'!AB15:BP15</xm:f>
              <xm:sqref>BR15</xm:sqref>
            </x14:sparkline>
            <x14:sparkline>
              <xm:f>'Activity data'!AB16:BP16</xm:f>
              <xm:sqref>BR16</xm:sqref>
            </x14:sparkline>
            <x14:sparkline>
              <xm:f>'Activity data'!AB17:BP17</xm:f>
              <xm:sqref>BR17</xm:sqref>
            </x14:sparkline>
            <x14:sparkline>
              <xm:f>'Activity data'!AB18:BP18</xm:f>
              <xm:sqref>BR18</xm:sqref>
            </x14:sparkline>
            <x14:sparkline>
              <xm:f>'Activity data'!AB19:BP19</xm:f>
              <xm:sqref>BR19</xm:sqref>
            </x14:sparkline>
            <x14:sparkline>
              <xm:f>'Activity data'!AB20:BP20</xm:f>
              <xm:sqref>BR20</xm:sqref>
            </x14:sparkline>
            <x14:sparkline>
              <xm:f>'Activity data'!AB21:BP21</xm:f>
              <xm:sqref>BR21</xm:sqref>
            </x14:sparkline>
            <x14:sparkline>
              <xm:f>'Activity data'!AB22:BP22</xm:f>
              <xm:sqref>BR22</xm:sqref>
            </x14:sparkline>
          </x14:sparklines>
        </x14:sparklineGroup>
        <x14:sparklineGroup displayEmptyCellsAs="gap" xr2:uid="{00000000-0003-0000-0D00-000002000000}">
          <x14:colorSeries rgb="FF376092"/>
          <x14:colorNegative rgb="FFD00000"/>
          <x14:colorAxis rgb="FF000000"/>
          <x14:colorMarkers rgb="FFD00000"/>
          <x14:colorFirst rgb="FFD00000"/>
          <x14:colorLast rgb="FFD00000"/>
          <x14:colorHigh rgb="FFD00000"/>
          <x14:colorLow rgb="FFD00000"/>
          <x14:sparklines>
            <x14:sparkline>
              <xm:f>'Activity data'!AB45:BP45</xm:f>
              <xm:sqref>BR45</xm:sqref>
            </x14:sparkline>
            <x14:sparkline>
              <xm:f>'Activity data'!AB46:BP46</xm:f>
              <xm:sqref>BR46</xm:sqref>
            </x14:sparkline>
            <x14:sparkline>
              <xm:f>'Activity data'!AB47:BP47</xm:f>
              <xm:sqref>BR47</xm:sqref>
            </x14:sparkline>
            <x14:sparkline>
              <xm:f>'Activity data'!AB48:BP48</xm:f>
              <xm:sqref>BR48</xm:sqref>
            </x14:sparkline>
          </x14:sparklines>
        </x14:sparklineGroup>
      </x14:sparklineGroup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92D050"/>
  </sheetPr>
  <dimension ref="A1:AO221"/>
  <sheetViews>
    <sheetView topLeftCell="A185" workbookViewId="0">
      <selection activeCell="H193" sqref="H193"/>
    </sheetView>
  </sheetViews>
  <sheetFormatPr defaultRowHeight="15" x14ac:dyDescent="0.25"/>
  <cols>
    <col min="1" max="1" width="19.42578125" customWidth="1"/>
    <col min="2" max="2" width="33.140625" customWidth="1"/>
    <col min="3" max="3" width="27.7109375" customWidth="1"/>
    <col min="4" max="4" width="27.5703125" customWidth="1"/>
    <col min="5" max="5" width="24.42578125" customWidth="1"/>
    <col min="6" max="6" width="9" customWidth="1"/>
    <col min="7" max="7" width="16.42578125" customWidth="1"/>
    <col min="8" max="8" width="9.85546875" customWidth="1"/>
  </cols>
  <sheetData>
    <row r="1" spans="1:41" ht="18.75" x14ac:dyDescent="0.3">
      <c r="A1" s="1" t="s">
        <v>143</v>
      </c>
    </row>
    <row r="3" spans="1:41" s="19" customFormat="1" ht="29.25" customHeight="1" x14ac:dyDescent="0.25">
      <c r="A3" s="17" t="s">
        <v>4</v>
      </c>
      <c r="B3" s="17" t="s">
        <v>313</v>
      </c>
      <c r="C3" s="17" t="s">
        <v>315</v>
      </c>
      <c r="D3" s="17" t="s">
        <v>149</v>
      </c>
      <c r="E3" s="17" t="s">
        <v>150</v>
      </c>
      <c r="F3" s="17" t="s">
        <v>5</v>
      </c>
      <c r="G3" s="17" t="s">
        <v>0</v>
      </c>
      <c r="H3" s="18" t="s">
        <v>751</v>
      </c>
      <c r="I3" s="18">
        <v>2018</v>
      </c>
      <c r="J3" s="18">
        <v>2019</v>
      </c>
      <c r="K3" s="18">
        <v>2020</v>
      </c>
      <c r="L3" s="18">
        <v>2021</v>
      </c>
      <c r="M3" s="18">
        <v>2022</v>
      </c>
      <c r="N3" s="18">
        <v>2023</v>
      </c>
      <c r="O3" s="18">
        <v>2024</v>
      </c>
      <c r="P3" s="18">
        <v>2025</v>
      </c>
      <c r="Q3" s="18">
        <v>2026</v>
      </c>
      <c r="R3" s="18">
        <v>2027</v>
      </c>
      <c r="S3" s="18">
        <v>2028</v>
      </c>
      <c r="T3" s="18">
        <v>2029</v>
      </c>
      <c r="U3" s="18">
        <v>2030</v>
      </c>
      <c r="V3" s="18">
        <v>2031</v>
      </c>
      <c r="W3" s="18">
        <v>2032</v>
      </c>
      <c r="X3" s="18">
        <v>2033</v>
      </c>
      <c r="Y3" s="18">
        <v>2034</v>
      </c>
      <c r="Z3" s="18">
        <v>2035</v>
      </c>
      <c r="AA3" s="18">
        <v>2036</v>
      </c>
      <c r="AB3" s="18">
        <v>2037</v>
      </c>
      <c r="AC3" s="18">
        <v>2038</v>
      </c>
      <c r="AD3" s="18">
        <v>2039</v>
      </c>
      <c r="AE3" s="18">
        <v>2040</v>
      </c>
      <c r="AF3" s="18">
        <v>2041</v>
      </c>
      <c r="AG3" s="18">
        <v>2042</v>
      </c>
      <c r="AH3" s="18">
        <v>2043</v>
      </c>
      <c r="AI3" s="18">
        <v>2044</v>
      </c>
      <c r="AJ3" s="18">
        <v>2045</v>
      </c>
      <c r="AK3" s="18">
        <v>2046</v>
      </c>
      <c r="AL3" s="18">
        <v>2047</v>
      </c>
      <c r="AM3" s="18">
        <v>2048</v>
      </c>
      <c r="AN3" s="18">
        <v>2049</v>
      </c>
      <c r="AO3" s="18">
        <v>2050</v>
      </c>
    </row>
    <row r="4" spans="1:41" x14ac:dyDescent="0.25">
      <c r="A4" t="str">
        <f>'IPCC Categories'!A5</f>
        <v>3A Livestock</v>
      </c>
      <c r="B4" t="str">
        <f>'IPCC Categories'!B5</f>
        <v>3A1 Enteric fermentation (CH4)</v>
      </c>
      <c r="C4" t="str">
        <f>'Activity data'!C5</f>
        <v>3A1ai Dairy cattle</v>
      </c>
      <c r="D4" t="str">
        <f>'Activity data'!D5</f>
        <v>TMR</v>
      </c>
      <c r="E4" t="str">
        <f>'IPCC Categories'!F32&amp;" EF"</f>
        <v>Enteric fermentation EF</v>
      </c>
      <c r="F4" t="s">
        <v>121</v>
      </c>
      <c r="G4" t="s">
        <v>144</v>
      </c>
      <c r="H4" s="26">
        <f>SUM('Aggregated EF'!H8:H10)</f>
        <v>122.43852137301079</v>
      </c>
    </row>
    <row r="5" spans="1:41" x14ac:dyDescent="0.25">
      <c r="A5" t="str">
        <f>A4</f>
        <v>3A Livestock</v>
      </c>
      <c r="B5" t="str">
        <f>B4</f>
        <v>3A1 Enteric fermentation (CH4)</v>
      </c>
      <c r="C5" t="str">
        <f>'Activity data'!C6</f>
        <v>3A1ai Dairy cattle</v>
      </c>
      <c r="D5" t="str">
        <f>'Activity data'!D6</f>
        <v>Pasture</v>
      </c>
      <c r="E5" t="str">
        <f t="shared" ref="E5:E17" si="0">E4</f>
        <v>Enteric fermentation EF</v>
      </c>
      <c r="F5" t="str">
        <f>F4</f>
        <v>CH4</v>
      </c>
      <c r="G5" t="str">
        <f>G4</f>
        <v>kg CH4/head/yr</v>
      </c>
      <c r="H5" s="26">
        <f>SUM('Aggregated EF'!H5:H7)</f>
        <v>118.18939556126456</v>
      </c>
    </row>
    <row r="6" spans="1:41" x14ac:dyDescent="0.25">
      <c r="A6" t="str">
        <f t="shared" ref="A6:A69" si="1">A5</f>
        <v>3A Livestock</v>
      </c>
      <c r="B6" t="str">
        <f t="shared" ref="B6:B17" si="2">B5</f>
        <v>3A1 Enteric fermentation (CH4)</v>
      </c>
      <c r="C6" t="str">
        <f>'Activity data'!C7</f>
        <v>3A1aii Other cattle</v>
      </c>
      <c r="D6" t="str">
        <f>'Activity data'!D7</f>
        <v>Non-lactating</v>
      </c>
      <c r="E6" t="str">
        <f t="shared" si="0"/>
        <v>Enteric fermentation EF</v>
      </c>
      <c r="F6" t="str">
        <f>F5</f>
        <v>CH4</v>
      </c>
      <c r="G6" t="str">
        <f>G5</f>
        <v>kg CH4/head/yr</v>
      </c>
      <c r="H6" s="26">
        <f>SUM('Aggregated EF'!H12:H21)</f>
        <v>43.047261887683739</v>
      </c>
    </row>
    <row r="7" spans="1:41" x14ac:dyDescent="0.25">
      <c r="A7" t="str">
        <f t="shared" si="1"/>
        <v>3A Livestock</v>
      </c>
      <c r="B7" t="str">
        <f t="shared" si="2"/>
        <v>3A1 Enteric fermentation (CH4)</v>
      </c>
      <c r="C7" t="str">
        <f>'Activity data'!C8</f>
        <v>3A1aii Other cattle</v>
      </c>
      <c r="D7" t="str">
        <f>'Activity data'!D8</f>
        <v>Commercial</v>
      </c>
      <c r="E7" t="str">
        <f>E5</f>
        <v>Enteric fermentation EF</v>
      </c>
      <c r="F7" t="str">
        <f>F5</f>
        <v>CH4</v>
      </c>
      <c r="G7" t="str">
        <f>G5</f>
        <v>kg CH4/head/yr</v>
      </c>
      <c r="H7" s="26">
        <f>SUM('Aggregated EF'!H22:H24,'Aggregated EF'!H26:H28)</f>
        <v>77.790815813890134</v>
      </c>
    </row>
    <row r="8" spans="1:41" x14ac:dyDescent="0.25">
      <c r="A8" t="str">
        <f t="shared" si="1"/>
        <v>3A Livestock</v>
      </c>
      <c r="B8" t="str">
        <f t="shared" si="2"/>
        <v>3A1 Enteric fermentation (CH4)</v>
      </c>
      <c r="C8" t="str">
        <f>'Activity data'!C9</f>
        <v>3A1aii Other cattle</v>
      </c>
      <c r="D8" t="str">
        <f>'Activity data'!D9</f>
        <v>Subsistence</v>
      </c>
      <c r="E8" t="str">
        <f t="shared" si="0"/>
        <v>Enteric fermentation EF</v>
      </c>
      <c r="F8" t="str">
        <f t="shared" ref="F8:F35" si="3">F7</f>
        <v>CH4</v>
      </c>
      <c r="G8" t="str">
        <f t="shared" ref="G8:G17" si="4">G7</f>
        <v>kg CH4/head/yr</v>
      </c>
      <c r="H8" s="26">
        <f>SUM('Aggregated EF'!H29:H34)</f>
        <v>61.771690572163486</v>
      </c>
    </row>
    <row r="9" spans="1:41" x14ac:dyDescent="0.25">
      <c r="A9" t="str">
        <f t="shared" si="1"/>
        <v>3A Livestock</v>
      </c>
      <c r="B9" t="str">
        <f t="shared" si="2"/>
        <v>3A1 Enteric fermentation (CH4)</v>
      </c>
      <c r="C9" t="str">
        <f>'Activity data'!C10</f>
        <v>3A1aii Other cattle</v>
      </c>
      <c r="D9" t="str">
        <f>'Activity data'!D10</f>
        <v>Feedlot</v>
      </c>
      <c r="E9" t="str">
        <f t="shared" si="0"/>
        <v>Enteric fermentation EF</v>
      </c>
      <c r="F9" t="str">
        <f t="shared" si="3"/>
        <v>CH4</v>
      </c>
      <c r="G9" t="str">
        <f t="shared" si="4"/>
        <v>kg CH4/head/yr</v>
      </c>
      <c r="H9" s="26">
        <f>'Aggregated EF'!H25</f>
        <v>58.9</v>
      </c>
    </row>
    <row r="10" spans="1:41" x14ac:dyDescent="0.25">
      <c r="A10" t="str">
        <f t="shared" si="1"/>
        <v>3A Livestock</v>
      </c>
      <c r="B10" t="str">
        <f t="shared" si="2"/>
        <v>3A1 Enteric fermentation (CH4)</v>
      </c>
      <c r="C10" t="str">
        <f>'Activity data'!C11</f>
        <v>3A1c Sheep</v>
      </c>
      <c r="D10" t="str">
        <f>'Activity data'!D11</f>
        <v>Commercial</v>
      </c>
      <c r="E10" t="str">
        <f t="shared" si="0"/>
        <v>Enteric fermentation EF</v>
      </c>
      <c r="F10" t="str">
        <f t="shared" si="3"/>
        <v>CH4</v>
      </c>
      <c r="G10" t="str">
        <f t="shared" si="4"/>
        <v>kg CH4/head/yr</v>
      </c>
      <c r="H10" s="26">
        <f>SUM('Aggregated EF'!H36:H59)</f>
        <v>6.9715683106127573</v>
      </c>
    </row>
    <row r="11" spans="1:41" x14ac:dyDescent="0.25">
      <c r="A11" t="str">
        <f t="shared" si="1"/>
        <v>3A Livestock</v>
      </c>
      <c r="B11" t="str">
        <f t="shared" si="2"/>
        <v>3A1 Enteric fermentation (CH4)</v>
      </c>
      <c r="C11" t="str">
        <f>'Activity data'!C12</f>
        <v>3A1c Sheep</v>
      </c>
      <c r="D11" t="str">
        <f>'Activity data'!D12</f>
        <v>Subsistence</v>
      </c>
      <c r="E11" t="str">
        <f t="shared" si="0"/>
        <v>Enteric fermentation EF</v>
      </c>
      <c r="F11" t="str">
        <f t="shared" si="3"/>
        <v>CH4</v>
      </c>
      <c r="G11" t="str">
        <f t="shared" si="4"/>
        <v>kg CH4/head/yr</v>
      </c>
      <c r="H11" s="26">
        <f>SUM('Aggregated EF'!H60:H83)</f>
        <v>5.0562757874656858</v>
      </c>
    </row>
    <row r="12" spans="1:41" x14ac:dyDescent="0.25">
      <c r="A12" t="str">
        <f t="shared" si="1"/>
        <v>3A Livestock</v>
      </c>
      <c r="B12" t="str">
        <f t="shared" si="2"/>
        <v>3A1 Enteric fermentation (CH4)</v>
      </c>
      <c r="C12" t="str">
        <f>'Activity data'!C13</f>
        <v>3A1d Goats</v>
      </c>
      <c r="D12" t="str">
        <f>'Activity data'!D13</f>
        <v>Commercial</v>
      </c>
      <c r="E12" t="str">
        <f t="shared" si="0"/>
        <v>Enteric fermentation EF</v>
      </c>
      <c r="F12" t="str">
        <f t="shared" si="3"/>
        <v>CH4</v>
      </c>
      <c r="G12" t="str">
        <f t="shared" si="4"/>
        <v>kg CH4/head/yr</v>
      </c>
      <c r="H12" s="26">
        <f>SUM('Aggregated EF'!H85:H102)</f>
        <v>7.3127480970496874</v>
      </c>
    </row>
    <row r="13" spans="1:41" x14ac:dyDescent="0.25">
      <c r="A13" t="str">
        <f t="shared" si="1"/>
        <v>3A Livestock</v>
      </c>
      <c r="B13" t="str">
        <f t="shared" si="2"/>
        <v>3A1 Enteric fermentation (CH4)</v>
      </c>
      <c r="C13" t="str">
        <f>'Activity data'!C14</f>
        <v>3A1d Goats</v>
      </c>
      <c r="D13" t="str">
        <f>'Activity data'!D14</f>
        <v>Subsistence</v>
      </c>
      <c r="E13" t="str">
        <f t="shared" si="0"/>
        <v>Enteric fermentation EF</v>
      </c>
      <c r="F13" t="str">
        <f t="shared" si="3"/>
        <v>CH4</v>
      </c>
      <c r="G13" t="str">
        <f t="shared" si="4"/>
        <v>kg CH4/head/yr</v>
      </c>
      <c r="H13" s="26">
        <f>SUM('Aggregated EF'!H103:H108)</f>
        <v>5.5750300000000008</v>
      </c>
    </row>
    <row r="14" spans="1:41" x14ac:dyDescent="0.25">
      <c r="A14" t="str">
        <f t="shared" si="1"/>
        <v>3A Livestock</v>
      </c>
      <c r="B14" t="str">
        <f t="shared" si="2"/>
        <v>3A1 Enteric fermentation (CH4)</v>
      </c>
      <c r="C14" t="str">
        <f>'Activity data'!C15</f>
        <v>3A1f Horses</v>
      </c>
      <c r="D14" t="str">
        <f>'Activity data'!D15</f>
        <v>Horses</v>
      </c>
      <c r="E14" t="str">
        <f t="shared" si="0"/>
        <v>Enteric fermentation EF</v>
      </c>
      <c r="F14" t="str">
        <f t="shared" si="3"/>
        <v>CH4</v>
      </c>
      <c r="G14" t="str">
        <f t="shared" si="4"/>
        <v>kg CH4/head/yr</v>
      </c>
      <c r="H14" s="26">
        <f>'Aggregated EF'!H110</f>
        <v>18</v>
      </c>
    </row>
    <row r="15" spans="1:41" x14ac:dyDescent="0.25">
      <c r="A15" t="str">
        <f t="shared" si="1"/>
        <v>3A Livestock</v>
      </c>
      <c r="B15" t="str">
        <f t="shared" si="2"/>
        <v>3A1 Enteric fermentation (CH4)</v>
      </c>
      <c r="C15" t="str">
        <f>'Activity data'!C16</f>
        <v>3A1g Mules &amp; asses</v>
      </c>
      <c r="D15" t="str">
        <f>'Activity data'!D16</f>
        <v>Mules &amp; Asses</v>
      </c>
      <c r="E15" t="str">
        <f t="shared" si="0"/>
        <v>Enteric fermentation EF</v>
      </c>
      <c r="F15" t="str">
        <f t="shared" si="3"/>
        <v>CH4</v>
      </c>
      <c r="G15" t="str">
        <f t="shared" si="4"/>
        <v>kg CH4/head/yr</v>
      </c>
      <c r="H15" s="26">
        <f>'Aggregated EF'!H112</f>
        <v>10</v>
      </c>
    </row>
    <row r="16" spans="1:41" x14ac:dyDescent="0.25">
      <c r="A16" t="str">
        <f t="shared" si="1"/>
        <v>3A Livestock</v>
      </c>
      <c r="B16" t="str">
        <f t="shared" si="2"/>
        <v>3A1 Enteric fermentation (CH4)</v>
      </c>
      <c r="C16" t="str">
        <f>'Activity data'!C17</f>
        <v>3A1h Swine</v>
      </c>
      <c r="D16" t="str">
        <f>'Activity data'!D17</f>
        <v>Commercial</v>
      </c>
      <c r="E16" t="str">
        <f t="shared" si="0"/>
        <v>Enteric fermentation EF</v>
      </c>
      <c r="F16" t="str">
        <f t="shared" si="3"/>
        <v>CH4</v>
      </c>
      <c r="G16" t="str">
        <f t="shared" si="4"/>
        <v>kg CH4/head/yr</v>
      </c>
      <c r="H16" s="26">
        <f>SUM('Aggregated EF'!H114:H123)</f>
        <v>1.1111400000000002</v>
      </c>
    </row>
    <row r="17" spans="1:8" x14ac:dyDescent="0.25">
      <c r="A17" t="str">
        <f t="shared" si="1"/>
        <v>3A Livestock</v>
      </c>
      <c r="B17" t="str">
        <f t="shared" si="2"/>
        <v>3A1 Enteric fermentation (CH4)</v>
      </c>
      <c r="C17" t="str">
        <f>'Activity data'!C18</f>
        <v>3A1h Swine</v>
      </c>
      <c r="D17" t="str">
        <f>'Activity data'!D18</f>
        <v>Subsistence</v>
      </c>
      <c r="E17" t="str">
        <f t="shared" si="0"/>
        <v>Enteric fermentation EF</v>
      </c>
      <c r="F17" t="str">
        <f t="shared" si="3"/>
        <v>CH4</v>
      </c>
      <c r="G17" t="str">
        <f t="shared" si="4"/>
        <v>kg CH4/head/yr</v>
      </c>
      <c r="H17" s="26">
        <f>SUM('Aggregated EF'!H124:H133)</f>
        <v>1.1290500000000001</v>
      </c>
    </row>
    <row r="18" spans="1:8" x14ac:dyDescent="0.25">
      <c r="A18" t="str">
        <f t="shared" si="1"/>
        <v>3A Livestock</v>
      </c>
      <c r="B18" t="str">
        <f>'IPCC Categories'!B12</f>
        <v>3A2 Manure management (CH4)</v>
      </c>
      <c r="C18" t="str">
        <f>'Activity data'!C5</f>
        <v>3A1ai Dairy cattle</v>
      </c>
      <c r="D18" t="str">
        <f>'Activity data'!D5</f>
        <v>TMR</v>
      </c>
      <c r="E18" t="str">
        <f>'IPCC Categories'!F33&amp;" EF"</f>
        <v>Manure management EF</v>
      </c>
      <c r="F18" t="str">
        <f t="shared" si="3"/>
        <v>CH4</v>
      </c>
      <c r="G18" t="s">
        <v>144</v>
      </c>
      <c r="H18" s="26">
        <f>SUM('Aggregated EF'!N8:N10)</f>
        <v>12.458616998501393</v>
      </c>
    </row>
    <row r="19" spans="1:8" x14ac:dyDescent="0.25">
      <c r="A19" t="str">
        <f t="shared" si="1"/>
        <v>3A Livestock</v>
      </c>
      <c r="B19" t="str">
        <f>B18</f>
        <v>3A2 Manure management (CH4)</v>
      </c>
      <c r="C19" t="str">
        <f>'Activity data'!C6</f>
        <v>3A1ai Dairy cattle</v>
      </c>
      <c r="D19" t="str">
        <f>'Activity data'!D6</f>
        <v>Pasture</v>
      </c>
      <c r="E19" t="str">
        <f>E18</f>
        <v>Manure management EF</v>
      </c>
      <c r="F19" t="str">
        <f t="shared" si="3"/>
        <v>CH4</v>
      </c>
      <c r="G19" t="s">
        <v>144</v>
      </c>
      <c r="H19" s="26">
        <f>SUM('Aggregated EF'!N5:N7)</f>
        <v>4.2839434810533081</v>
      </c>
    </row>
    <row r="20" spans="1:8" x14ac:dyDescent="0.25">
      <c r="A20" t="str">
        <f t="shared" si="1"/>
        <v>3A Livestock</v>
      </c>
      <c r="B20" t="str">
        <f t="shared" ref="B20:B35" si="5">B19</f>
        <v>3A2 Manure management (CH4)</v>
      </c>
      <c r="C20" t="str">
        <f>'Activity data'!C7</f>
        <v>3A1aii Other cattle</v>
      </c>
      <c r="D20" t="str">
        <f>'Activity data'!D7</f>
        <v>Non-lactating</v>
      </c>
      <c r="E20" t="str">
        <f>E19</f>
        <v>Manure management EF</v>
      </c>
      <c r="F20" t="str">
        <f t="shared" si="3"/>
        <v>CH4</v>
      </c>
      <c r="G20" t="s">
        <v>144</v>
      </c>
      <c r="H20" s="26">
        <f>SUM('Aggregated EF'!N12:N21)</f>
        <v>0.71275396941061553</v>
      </c>
    </row>
    <row r="21" spans="1:8" x14ac:dyDescent="0.25">
      <c r="A21" t="str">
        <f t="shared" si="1"/>
        <v>3A Livestock</v>
      </c>
      <c r="B21" t="str">
        <f t="shared" si="5"/>
        <v>3A2 Manure management (CH4)</v>
      </c>
      <c r="C21" t="str">
        <f>'Activity data'!C8</f>
        <v>3A1aii Other cattle</v>
      </c>
      <c r="D21" t="str">
        <f>'Activity data'!D8</f>
        <v>Commercial</v>
      </c>
      <c r="E21" t="str">
        <f>E19</f>
        <v>Manure management EF</v>
      </c>
      <c r="F21" t="str">
        <f>F19</f>
        <v>CH4</v>
      </c>
      <c r="G21" t="s">
        <v>144</v>
      </c>
      <c r="H21" s="26">
        <f>SUM('Aggregated EF'!N22:N24,'Aggregated EF'!N26:N28)</f>
        <v>1.5931745829252119E-2</v>
      </c>
    </row>
    <row r="22" spans="1:8" x14ac:dyDescent="0.25">
      <c r="A22" t="str">
        <f t="shared" si="1"/>
        <v>3A Livestock</v>
      </c>
      <c r="B22" t="str">
        <f t="shared" si="5"/>
        <v>3A2 Manure management (CH4)</v>
      </c>
      <c r="C22" t="str">
        <f>'Activity data'!C9</f>
        <v>3A1aii Other cattle</v>
      </c>
      <c r="D22" t="str">
        <f>'Activity data'!D9</f>
        <v>Subsistence</v>
      </c>
      <c r="E22" t="str">
        <f t="shared" ref="E22:E56" si="6">E21</f>
        <v>Manure management EF</v>
      </c>
      <c r="F22" t="str">
        <f t="shared" si="3"/>
        <v>CH4</v>
      </c>
      <c r="G22" t="s">
        <v>144</v>
      </c>
      <c r="H22" s="26">
        <f>SUM('Aggregated EF'!N29:N34)</f>
        <v>1.3196902890530698E-2</v>
      </c>
    </row>
    <row r="23" spans="1:8" x14ac:dyDescent="0.25">
      <c r="A23" t="str">
        <f t="shared" si="1"/>
        <v>3A Livestock</v>
      </c>
      <c r="B23" t="str">
        <f t="shared" si="5"/>
        <v>3A2 Manure management (CH4)</v>
      </c>
      <c r="C23" t="str">
        <f>'Activity data'!C10</f>
        <v>3A1aii Other cattle</v>
      </c>
      <c r="D23" t="str">
        <f>'Activity data'!D10</f>
        <v>Feedlot</v>
      </c>
      <c r="E23" t="str">
        <f t="shared" si="6"/>
        <v>Manure management EF</v>
      </c>
      <c r="F23" t="str">
        <f t="shared" si="3"/>
        <v>CH4</v>
      </c>
      <c r="G23" t="s">
        <v>144</v>
      </c>
      <c r="H23" s="26">
        <f>'Aggregated EF'!N25</f>
        <v>0.87</v>
      </c>
    </row>
    <row r="24" spans="1:8" x14ac:dyDescent="0.25">
      <c r="A24" t="str">
        <f t="shared" si="1"/>
        <v>3A Livestock</v>
      </c>
      <c r="B24" t="str">
        <f t="shared" si="5"/>
        <v>3A2 Manure management (CH4)</v>
      </c>
      <c r="C24" t="str">
        <f>'Activity data'!C11</f>
        <v>3A1c Sheep</v>
      </c>
      <c r="D24" t="str">
        <f>'Activity data'!D11</f>
        <v>Commercial</v>
      </c>
      <c r="E24" t="str">
        <f t="shared" si="6"/>
        <v>Manure management EF</v>
      </c>
      <c r="F24" t="str">
        <f t="shared" si="3"/>
        <v>CH4</v>
      </c>
      <c r="G24" t="s">
        <v>144</v>
      </c>
      <c r="H24" s="26">
        <f>SUM('Aggregated EF'!N36:N59)</f>
        <v>1.8957461499092729E-3</v>
      </c>
    </row>
    <row r="25" spans="1:8" x14ac:dyDescent="0.25">
      <c r="A25" t="str">
        <f t="shared" si="1"/>
        <v>3A Livestock</v>
      </c>
      <c r="B25" t="str">
        <f t="shared" si="5"/>
        <v>3A2 Manure management (CH4)</v>
      </c>
      <c r="C25" t="str">
        <f>'Activity data'!C12</f>
        <v>3A1c Sheep</v>
      </c>
      <c r="D25" t="str">
        <f>'Activity data'!D12</f>
        <v>Subsistence</v>
      </c>
      <c r="E25" t="str">
        <f t="shared" si="6"/>
        <v>Manure management EF</v>
      </c>
      <c r="F25" t="str">
        <f t="shared" si="3"/>
        <v>CH4</v>
      </c>
      <c r="G25" t="s">
        <v>144</v>
      </c>
      <c r="H25" s="26">
        <f>SUM('Aggregated EF'!N60:N83)</f>
        <v>1.4489063415995907E-3</v>
      </c>
    </row>
    <row r="26" spans="1:8" x14ac:dyDescent="0.25">
      <c r="A26" t="str">
        <f t="shared" si="1"/>
        <v>3A Livestock</v>
      </c>
      <c r="B26" t="str">
        <f t="shared" si="5"/>
        <v>3A2 Manure management (CH4)</v>
      </c>
      <c r="C26" t="str">
        <f>'Activity data'!C13</f>
        <v>3A1d Goats</v>
      </c>
      <c r="D26" t="str">
        <f>'Activity data'!D13</f>
        <v>Commercial</v>
      </c>
      <c r="E26" t="str">
        <f t="shared" si="6"/>
        <v>Manure management EF</v>
      </c>
      <c r="F26" t="str">
        <f t="shared" si="3"/>
        <v>CH4</v>
      </c>
      <c r="G26" t="s">
        <v>144</v>
      </c>
      <c r="H26" s="26">
        <f>SUM('Aggregated EF'!N85:N102)</f>
        <v>7.6349095476515513E-3</v>
      </c>
    </row>
    <row r="27" spans="1:8" x14ac:dyDescent="0.25">
      <c r="A27" t="str">
        <f t="shared" si="1"/>
        <v>3A Livestock</v>
      </c>
      <c r="B27" t="str">
        <f t="shared" si="5"/>
        <v>3A2 Manure management (CH4)</v>
      </c>
      <c r="C27" t="str">
        <f>'Activity data'!C14</f>
        <v>3A1d Goats</v>
      </c>
      <c r="D27" t="str">
        <f>'Activity data'!D14</f>
        <v>Subsistence</v>
      </c>
      <c r="E27" t="str">
        <f t="shared" si="6"/>
        <v>Manure management EF</v>
      </c>
      <c r="F27" t="str">
        <f t="shared" si="3"/>
        <v>CH4</v>
      </c>
      <c r="G27" t="s">
        <v>144</v>
      </c>
      <c r="H27" s="26">
        <f>SUM('Aggregated EF'!N103:N108)</f>
        <v>6.6239999999999988E-3</v>
      </c>
    </row>
    <row r="28" spans="1:8" x14ac:dyDescent="0.25">
      <c r="A28" t="str">
        <f t="shared" si="1"/>
        <v>3A Livestock</v>
      </c>
      <c r="B28" t="str">
        <f t="shared" si="5"/>
        <v>3A2 Manure management (CH4)</v>
      </c>
      <c r="C28" t="str">
        <f>'Activity data'!C15</f>
        <v>3A1f Horses</v>
      </c>
      <c r="D28" t="str">
        <f>'Activity data'!D15</f>
        <v>Horses</v>
      </c>
      <c r="E28" t="str">
        <f t="shared" si="6"/>
        <v>Manure management EF</v>
      </c>
      <c r="F28" t="str">
        <f t="shared" si="3"/>
        <v>CH4</v>
      </c>
      <c r="G28" t="s">
        <v>144</v>
      </c>
      <c r="H28" s="26">
        <f>'Aggregated EF'!N110</f>
        <v>1.34E-2</v>
      </c>
    </row>
    <row r="29" spans="1:8" x14ac:dyDescent="0.25">
      <c r="A29" t="str">
        <f t="shared" si="1"/>
        <v>3A Livestock</v>
      </c>
      <c r="B29" t="str">
        <f t="shared" si="5"/>
        <v>3A2 Manure management (CH4)</v>
      </c>
      <c r="C29" t="str">
        <f>'Activity data'!C16</f>
        <v>3A1g Mules &amp; asses</v>
      </c>
      <c r="D29" t="str">
        <f>'Activity data'!D16</f>
        <v>Mules &amp; Asses</v>
      </c>
      <c r="E29" t="str">
        <f t="shared" si="6"/>
        <v>Manure management EF</v>
      </c>
      <c r="F29" t="str">
        <f t="shared" si="3"/>
        <v>CH4</v>
      </c>
      <c r="G29" t="s">
        <v>144</v>
      </c>
      <c r="H29" s="26">
        <f>'Aggregated EF'!N112</f>
        <v>4.4999999999999997E-3</v>
      </c>
    </row>
    <row r="30" spans="1:8" x14ac:dyDescent="0.25">
      <c r="A30" t="str">
        <f t="shared" si="1"/>
        <v>3A Livestock</v>
      </c>
      <c r="B30" t="str">
        <f t="shared" si="5"/>
        <v>3A2 Manure management (CH4)</v>
      </c>
      <c r="C30" t="str">
        <f>'Activity data'!C17</f>
        <v>3A1h Swine</v>
      </c>
      <c r="D30" t="str">
        <f>'Activity data'!D17</f>
        <v>Commercial</v>
      </c>
      <c r="E30" t="str">
        <f t="shared" si="6"/>
        <v>Manure management EF</v>
      </c>
      <c r="F30" t="str">
        <f t="shared" si="3"/>
        <v>CH4</v>
      </c>
      <c r="G30" t="s">
        <v>144</v>
      </c>
      <c r="H30" s="26">
        <f>SUM('Aggregated EF'!N114:N123)</f>
        <v>14.057009999999998</v>
      </c>
    </row>
    <row r="31" spans="1:8" x14ac:dyDescent="0.25">
      <c r="A31" t="str">
        <f t="shared" si="1"/>
        <v>3A Livestock</v>
      </c>
      <c r="B31" t="str">
        <f t="shared" si="5"/>
        <v>3A2 Manure management (CH4)</v>
      </c>
      <c r="C31" t="str">
        <f>'Activity data'!C18</f>
        <v>3A1h Swine</v>
      </c>
      <c r="D31" t="str">
        <f>'Activity data'!D18</f>
        <v>Subsistence</v>
      </c>
      <c r="E31" t="str">
        <f t="shared" si="6"/>
        <v>Manure management EF</v>
      </c>
      <c r="F31" t="str">
        <f t="shared" si="3"/>
        <v>CH4</v>
      </c>
      <c r="G31" t="s">
        <v>144</v>
      </c>
      <c r="H31" s="26">
        <f>SUM('Aggregated EF'!N124:N133)</f>
        <v>0.34509999999999996</v>
      </c>
    </row>
    <row r="32" spans="1:8" x14ac:dyDescent="0.25">
      <c r="A32" t="str">
        <f t="shared" si="1"/>
        <v>3A Livestock</v>
      </c>
      <c r="B32" t="str">
        <f t="shared" si="5"/>
        <v>3A2 Manure management (CH4)</v>
      </c>
      <c r="C32" t="str">
        <f>'Activity data'!C19</f>
        <v>3A2i Poultry</v>
      </c>
      <c r="D32" t="str">
        <f>'Activity data'!D19</f>
        <v>Commercial layers</v>
      </c>
      <c r="E32" t="str">
        <f t="shared" si="6"/>
        <v>Manure management EF</v>
      </c>
      <c r="F32" t="str">
        <f t="shared" si="3"/>
        <v>CH4</v>
      </c>
      <c r="G32" t="s">
        <v>144</v>
      </c>
      <c r="H32" s="26">
        <f>'Aggregated EF'!N136</f>
        <v>2.35E-2</v>
      </c>
    </row>
    <row r="33" spans="1:8" x14ac:dyDescent="0.25">
      <c r="A33" t="str">
        <f t="shared" si="1"/>
        <v>3A Livestock</v>
      </c>
      <c r="B33" t="str">
        <f t="shared" si="5"/>
        <v>3A2 Manure management (CH4)</v>
      </c>
      <c r="C33" t="str">
        <f>'Activity data'!C20</f>
        <v>3A2i Poultry</v>
      </c>
      <c r="D33" t="str">
        <f>'Activity data'!D20</f>
        <v>Commercial broilers</v>
      </c>
      <c r="E33" t="str">
        <f t="shared" si="6"/>
        <v>Manure management EF</v>
      </c>
      <c r="F33" t="str">
        <f t="shared" si="3"/>
        <v>CH4</v>
      </c>
      <c r="G33" t="s">
        <v>144</v>
      </c>
      <c r="H33" s="26">
        <f>'Aggregated EF'!N135</f>
        <v>2.35E-2</v>
      </c>
    </row>
    <row r="34" spans="1:8" x14ac:dyDescent="0.25">
      <c r="A34" t="str">
        <f t="shared" si="1"/>
        <v>3A Livestock</v>
      </c>
      <c r="B34" t="str">
        <f t="shared" si="5"/>
        <v>3A2 Manure management (CH4)</v>
      </c>
      <c r="C34" t="str">
        <f>'Activity data'!C21</f>
        <v>3A2i Poultry</v>
      </c>
      <c r="D34" t="str">
        <f>'Activity data'!D21</f>
        <v>Subsistence layers</v>
      </c>
      <c r="E34" t="str">
        <f t="shared" si="6"/>
        <v>Manure management EF</v>
      </c>
      <c r="F34" t="str">
        <f t="shared" si="3"/>
        <v>CH4</v>
      </c>
      <c r="G34" t="s">
        <v>144</v>
      </c>
      <c r="H34" s="26">
        <f>'Aggregated EF'!N138</f>
        <v>2.35E-2</v>
      </c>
    </row>
    <row r="35" spans="1:8" x14ac:dyDescent="0.25">
      <c r="A35" t="str">
        <f t="shared" si="1"/>
        <v>3A Livestock</v>
      </c>
      <c r="B35" t="str">
        <f t="shared" si="5"/>
        <v>3A2 Manure management (CH4)</v>
      </c>
      <c r="C35" t="str">
        <f>'Activity data'!C22</f>
        <v>3A2i Poultry</v>
      </c>
      <c r="D35" t="str">
        <f>'Activity data'!D22</f>
        <v>Subsistence broilers</v>
      </c>
      <c r="E35" t="str">
        <f t="shared" si="6"/>
        <v>Manure management EF</v>
      </c>
      <c r="F35" t="str">
        <f t="shared" si="3"/>
        <v>CH4</v>
      </c>
      <c r="G35" t="s">
        <v>144</v>
      </c>
      <c r="H35" s="26">
        <f>'Aggregated EF'!N137</f>
        <v>2.35E-2</v>
      </c>
    </row>
    <row r="36" spans="1:8" x14ac:dyDescent="0.25">
      <c r="A36" t="str">
        <f t="shared" si="1"/>
        <v>3A Livestock</v>
      </c>
      <c r="B36" t="str">
        <f>'IPCC Categories'!B20</f>
        <v>3A2 Manure management (N2O)</v>
      </c>
      <c r="C36" t="str">
        <f>C18</f>
        <v>3A1ai Dairy cattle</v>
      </c>
      <c r="D36" t="str">
        <f t="shared" ref="D36:E37" si="7">D18</f>
        <v>TMR</v>
      </c>
      <c r="E36" t="str">
        <f t="shared" si="7"/>
        <v>Manure management EF</v>
      </c>
      <c r="F36" t="s">
        <v>139</v>
      </c>
      <c r="G36" t="s">
        <v>311</v>
      </c>
      <c r="H36" s="26">
        <f>SUM('Aggregated EF'!T8:T10)</f>
        <v>128.28236394776278</v>
      </c>
    </row>
    <row r="37" spans="1:8" x14ac:dyDescent="0.25">
      <c r="A37" t="str">
        <f t="shared" si="1"/>
        <v>3A Livestock</v>
      </c>
      <c r="B37" t="str">
        <f>B36</f>
        <v>3A2 Manure management (N2O)</v>
      </c>
      <c r="C37" t="str">
        <f>C19</f>
        <v>3A1ai Dairy cattle</v>
      </c>
      <c r="D37" t="str">
        <f t="shared" si="7"/>
        <v>Pasture</v>
      </c>
      <c r="E37" t="str">
        <f t="shared" si="7"/>
        <v>Manure management EF</v>
      </c>
      <c r="F37" t="str">
        <f>F36</f>
        <v>N2O</v>
      </c>
      <c r="G37" t="str">
        <f>G36</f>
        <v>kg N/head/yr</v>
      </c>
      <c r="H37" s="26">
        <f>SUM('Aggregated EF'!T5:T7)</f>
        <v>116.88195504174696</v>
      </c>
    </row>
    <row r="38" spans="1:8" x14ac:dyDescent="0.25">
      <c r="A38" t="str">
        <f t="shared" si="1"/>
        <v>3A Livestock</v>
      </c>
      <c r="B38" t="str">
        <f t="shared" ref="B38:B71" si="8">B37</f>
        <v>3A2 Manure management (N2O)</v>
      </c>
      <c r="C38" t="str">
        <f t="shared" ref="C38:E38" si="9">C20</f>
        <v>3A1aii Other cattle</v>
      </c>
      <c r="D38" t="str">
        <f t="shared" si="9"/>
        <v>Non-lactating</v>
      </c>
      <c r="E38" t="str">
        <f t="shared" si="9"/>
        <v>Manure management EF</v>
      </c>
      <c r="F38" t="str">
        <f t="shared" ref="F38:F53" si="10">F37</f>
        <v>N2O</v>
      </c>
      <c r="G38" t="str">
        <f t="shared" ref="G38:G53" si="11">G37</f>
        <v>kg N/head/yr</v>
      </c>
      <c r="H38" s="26">
        <f>SUM('Aggregated EF'!T12:T21)</f>
        <v>40.496928454397946</v>
      </c>
    </row>
    <row r="39" spans="1:8" x14ac:dyDescent="0.25">
      <c r="A39" t="str">
        <f t="shared" si="1"/>
        <v>3A Livestock</v>
      </c>
      <c r="B39" t="str">
        <f t="shared" si="8"/>
        <v>3A2 Manure management (N2O)</v>
      </c>
      <c r="C39" t="str">
        <f t="shared" ref="C39:E39" si="12">C21</f>
        <v>3A1aii Other cattle</v>
      </c>
      <c r="D39" t="str">
        <f t="shared" si="12"/>
        <v>Commercial</v>
      </c>
      <c r="E39" t="str">
        <f t="shared" si="12"/>
        <v>Manure management EF</v>
      </c>
      <c r="F39" t="str">
        <f t="shared" si="10"/>
        <v>N2O</v>
      </c>
      <c r="G39" t="str">
        <f t="shared" si="11"/>
        <v>kg N/head/yr</v>
      </c>
      <c r="H39" s="26">
        <f>SUM('Aggregated EF'!T22:T24,'Aggregated EF'!T26:T28)</f>
        <v>86.354881619987609</v>
      </c>
    </row>
    <row r="40" spans="1:8" x14ac:dyDescent="0.25">
      <c r="A40" t="str">
        <f t="shared" si="1"/>
        <v>3A Livestock</v>
      </c>
      <c r="B40" t="str">
        <f t="shared" si="8"/>
        <v>3A2 Manure management (N2O)</v>
      </c>
      <c r="C40" t="str">
        <f t="shared" ref="C40:E40" si="13">C22</f>
        <v>3A1aii Other cattle</v>
      </c>
      <c r="D40" t="str">
        <f t="shared" si="13"/>
        <v>Subsistence</v>
      </c>
      <c r="E40" t="str">
        <f t="shared" si="13"/>
        <v>Manure management EF</v>
      </c>
      <c r="F40" t="str">
        <f t="shared" si="10"/>
        <v>N2O</v>
      </c>
      <c r="G40" t="str">
        <f t="shared" si="11"/>
        <v>kg N/head/yr</v>
      </c>
      <c r="H40" s="26">
        <f>SUM('Aggregated EF'!T29:T34)</f>
        <v>64.633710943402036</v>
      </c>
    </row>
    <row r="41" spans="1:8" x14ac:dyDescent="0.25">
      <c r="A41" t="str">
        <f t="shared" si="1"/>
        <v>3A Livestock</v>
      </c>
      <c r="B41" t="str">
        <f t="shared" si="8"/>
        <v>3A2 Manure management (N2O)</v>
      </c>
      <c r="C41" t="str">
        <f t="shared" ref="C41:E41" si="14">C23</f>
        <v>3A1aii Other cattle</v>
      </c>
      <c r="D41" t="str">
        <f t="shared" si="14"/>
        <v>Feedlot</v>
      </c>
      <c r="E41" t="str">
        <f t="shared" si="14"/>
        <v>Manure management EF</v>
      </c>
      <c r="F41" t="str">
        <f t="shared" si="10"/>
        <v>N2O</v>
      </c>
      <c r="G41" t="str">
        <f t="shared" si="11"/>
        <v>kg N/head/yr</v>
      </c>
      <c r="H41" s="26">
        <f>'Aggregated EF'!T25</f>
        <v>65.765699999999995</v>
      </c>
    </row>
    <row r="42" spans="1:8" x14ac:dyDescent="0.25">
      <c r="A42" t="str">
        <f t="shared" si="1"/>
        <v>3A Livestock</v>
      </c>
      <c r="B42" t="str">
        <f t="shared" si="8"/>
        <v>3A2 Manure management (N2O)</v>
      </c>
      <c r="C42" t="str">
        <f t="shared" ref="C42:E42" si="15">C24</f>
        <v>3A1c Sheep</v>
      </c>
      <c r="D42" t="str">
        <f t="shared" si="15"/>
        <v>Commercial</v>
      </c>
      <c r="E42" t="str">
        <f t="shared" si="15"/>
        <v>Manure management EF</v>
      </c>
      <c r="F42" t="str">
        <f t="shared" si="10"/>
        <v>N2O</v>
      </c>
      <c r="G42" t="str">
        <f t="shared" si="11"/>
        <v>kg N/head/yr</v>
      </c>
      <c r="H42" s="26">
        <f>SUM('Aggregated EF'!T36:T59)</f>
        <v>19.60551595998232</v>
      </c>
    </row>
    <row r="43" spans="1:8" x14ac:dyDescent="0.25">
      <c r="A43" t="str">
        <f t="shared" si="1"/>
        <v>3A Livestock</v>
      </c>
      <c r="B43" t="str">
        <f t="shared" si="8"/>
        <v>3A2 Manure management (N2O)</v>
      </c>
      <c r="C43" t="str">
        <f t="shared" ref="C43:E43" si="16">C25</f>
        <v>3A1c Sheep</v>
      </c>
      <c r="D43" t="str">
        <f t="shared" si="16"/>
        <v>Subsistence</v>
      </c>
      <c r="E43" t="str">
        <f t="shared" si="16"/>
        <v>Manure management EF</v>
      </c>
      <c r="F43" t="str">
        <f t="shared" si="10"/>
        <v>N2O</v>
      </c>
      <c r="G43" t="str">
        <f t="shared" si="11"/>
        <v>kg N/head/yr</v>
      </c>
      <c r="H43" s="26">
        <f>SUM('Aggregated EF'!T60:T83)</f>
        <v>15.591414113527657</v>
      </c>
    </row>
    <row r="44" spans="1:8" x14ac:dyDescent="0.25">
      <c r="A44" t="str">
        <f t="shared" si="1"/>
        <v>3A Livestock</v>
      </c>
      <c r="B44" t="str">
        <f t="shared" si="8"/>
        <v>3A2 Manure management (N2O)</v>
      </c>
      <c r="C44" t="str">
        <f t="shared" ref="C44:E44" si="17">C26</f>
        <v>3A1d Goats</v>
      </c>
      <c r="D44" t="str">
        <f t="shared" si="17"/>
        <v>Commercial</v>
      </c>
      <c r="E44" t="str">
        <f t="shared" si="17"/>
        <v>Manure management EF</v>
      </c>
      <c r="F44" t="str">
        <f t="shared" si="10"/>
        <v>N2O</v>
      </c>
      <c r="G44" t="str">
        <f t="shared" si="11"/>
        <v>kg N/head/yr</v>
      </c>
      <c r="H44" s="26">
        <f>SUM('Aggregated EF'!T85:T102)</f>
        <v>22.287353637058541</v>
      </c>
    </row>
    <row r="45" spans="1:8" x14ac:dyDescent="0.25">
      <c r="A45" t="str">
        <f t="shared" si="1"/>
        <v>3A Livestock</v>
      </c>
      <c r="B45" t="str">
        <f t="shared" si="8"/>
        <v>3A2 Manure management (N2O)</v>
      </c>
      <c r="C45" t="str">
        <f t="shared" ref="C45:E45" si="18">C27</f>
        <v>3A1d Goats</v>
      </c>
      <c r="D45" t="str">
        <f t="shared" si="18"/>
        <v>Subsistence</v>
      </c>
      <c r="E45" t="str">
        <f t="shared" si="18"/>
        <v>Manure management EF</v>
      </c>
      <c r="F45" t="str">
        <f t="shared" si="10"/>
        <v>N2O</v>
      </c>
      <c r="G45" t="str">
        <f t="shared" si="11"/>
        <v>kg N/head/yr</v>
      </c>
      <c r="H45" s="26">
        <f>SUM('Aggregated EF'!T103:T108)</f>
        <v>20.227322529999995</v>
      </c>
    </row>
    <row r="46" spans="1:8" x14ac:dyDescent="0.25">
      <c r="A46" t="str">
        <f t="shared" si="1"/>
        <v>3A Livestock</v>
      </c>
      <c r="B46" t="str">
        <f t="shared" si="8"/>
        <v>3A2 Manure management (N2O)</v>
      </c>
      <c r="C46" t="str">
        <f t="shared" ref="C46:E46" si="19">C28</f>
        <v>3A1f Horses</v>
      </c>
      <c r="D46" t="str">
        <f t="shared" si="19"/>
        <v>Horses</v>
      </c>
      <c r="E46" t="str">
        <f t="shared" si="19"/>
        <v>Manure management EF</v>
      </c>
      <c r="F46" t="str">
        <f t="shared" si="10"/>
        <v>N2O</v>
      </c>
      <c r="G46" t="str">
        <f t="shared" si="11"/>
        <v>kg N/head/yr</v>
      </c>
      <c r="H46" s="26">
        <f>'Aggregated EF'!T110</f>
        <v>39.5</v>
      </c>
    </row>
    <row r="47" spans="1:8" x14ac:dyDescent="0.25">
      <c r="A47" t="str">
        <f t="shared" si="1"/>
        <v>3A Livestock</v>
      </c>
      <c r="B47" t="str">
        <f t="shared" si="8"/>
        <v>3A2 Manure management (N2O)</v>
      </c>
      <c r="C47" t="str">
        <f t="shared" ref="C47:E47" si="20">C29</f>
        <v>3A1g Mules &amp; asses</v>
      </c>
      <c r="D47" t="str">
        <f t="shared" si="20"/>
        <v>Mules &amp; Asses</v>
      </c>
      <c r="E47" t="str">
        <f t="shared" si="20"/>
        <v>Manure management EF</v>
      </c>
      <c r="F47" t="str">
        <f t="shared" si="10"/>
        <v>N2O</v>
      </c>
      <c r="G47" t="str">
        <f t="shared" si="11"/>
        <v>kg N/head/yr</v>
      </c>
      <c r="H47" s="26">
        <f>'Aggregated EF'!T112</f>
        <v>13.2</v>
      </c>
    </row>
    <row r="48" spans="1:8" x14ac:dyDescent="0.25">
      <c r="A48" t="str">
        <f t="shared" si="1"/>
        <v>3A Livestock</v>
      </c>
      <c r="B48" t="str">
        <f t="shared" si="8"/>
        <v>3A2 Manure management (N2O)</v>
      </c>
      <c r="C48" t="str">
        <f t="shared" ref="C48:E48" si="21">C30</f>
        <v>3A1h Swine</v>
      </c>
      <c r="D48" t="str">
        <f t="shared" si="21"/>
        <v>Commercial</v>
      </c>
      <c r="E48" t="str">
        <f t="shared" si="21"/>
        <v>Manure management EF</v>
      </c>
      <c r="F48" t="str">
        <f t="shared" si="10"/>
        <v>N2O</v>
      </c>
      <c r="G48" t="str">
        <f t="shared" si="11"/>
        <v>kg N/head/yr</v>
      </c>
      <c r="H48" s="26">
        <f>SUM('Aggregated EF'!T114:T123)</f>
        <v>13.769600000000001</v>
      </c>
    </row>
    <row r="49" spans="1:41" x14ac:dyDescent="0.25">
      <c r="A49" t="str">
        <f t="shared" si="1"/>
        <v>3A Livestock</v>
      </c>
      <c r="B49" t="str">
        <f t="shared" si="8"/>
        <v>3A2 Manure management (N2O)</v>
      </c>
      <c r="C49" t="str">
        <f t="shared" ref="C49:E49" si="22">C31</f>
        <v>3A1h Swine</v>
      </c>
      <c r="D49" t="str">
        <f t="shared" si="22"/>
        <v>Subsistence</v>
      </c>
      <c r="E49" t="str">
        <f t="shared" si="22"/>
        <v>Manure management EF</v>
      </c>
      <c r="F49" t="str">
        <f t="shared" si="10"/>
        <v>N2O</v>
      </c>
      <c r="G49" t="str">
        <f t="shared" si="11"/>
        <v>kg N/head/yr</v>
      </c>
      <c r="H49" s="26">
        <f>SUM('Aggregated EF'!T124:T133)</f>
        <v>15.091520000000001</v>
      </c>
    </row>
    <row r="50" spans="1:41" x14ac:dyDescent="0.25">
      <c r="A50" t="str">
        <f t="shared" si="1"/>
        <v>3A Livestock</v>
      </c>
      <c r="B50" t="str">
        <f t="shared" si="8"/>
        <v>3A2 Manure management (N2O)</v>
      </c>
      <c r="C50" t="str">
        <f t="shared" ref="C50:E50" si="23">C32</f>
        <v>3A2i Poultry</v>
      </c>
      <c r="D50" t="str">
        <f t="shared" si="23"/>
        <v>Commercial layers</v>
      </c>
      <c r="E50" t="str">
        <f t="shared" si="23"/>
        <v>Manure management EF</v>
      </c>
      <c r="F50" t="str">
        <f t="shared" si="10"/>
        <v>N2O</v>
      </c>
      <c r="G50" t="str">
        <f t="shared" si="11"/>
        <v>kg N/head/yr</v>
      </c>
      <c r="H50" s="26">
        <f>'Aggregated EF'!T136</f>
        <v>0.6</v>
      </c>
    </row>
    <row r="51" spans="1:41" x14ac:dyDescent="0.25">
      <c r="A51" t="str">
        <f t="shared" si="1"/>
        <v>3A Livestock</v>
      </c>
      <c r="B51" t="str">
        <f t="shared" si="8"/>
        <v>3A2 Manure management (N2O)</v>
      </c>
      <c r="C51" t="str">
        <f t="shared" ref="C51:E51" si="24">C33</f>
        <v>3A2i Poultry</v>
      </c>
      <c r="D51" t="str">
        <f t="shared" si="24"/>
        <v>Commercial broilers</v>
      </c>
      <c r="E51" t="str">
        <f t="shared" si="24"/>
        <v>Manure management EF</v>
      </c>
      <c r="F51" t="str">
        <f t="shared" si="10"/>
        <v>N2O</v>
      </c>
      <c r="G51" t="str">
        <f t="shared" si="11"/>
        <v>kg N/head/yr</v>
      </c>
      <c r="H51" s="26">
        <f>'Aggregated EF'!T135</f>
        <v>0.7</v>
      </c>
    </row>
    <row r="52" spans="1:41" x14ac:dyDescent="0.25">
      <c r="A52" t="str">
        <f t="shared" si="1"/>
        <v>3A Livestock</v>
      </c>
      <c r="B52" t="str">
        <f t="shared" si="8"/>
        <v>3A2 Manure management (N2O)</v>
      </c>
      <c r="C52" t="str">
        <f t="shared" ref="C52:E52" si="25">C34</f>
        <v>3A2i Poultry</v>
      </c>
      <c r="D52" t="str">
        <f t="shared" si="25"/>
        <v>Subsistence layers</v>
      </c>
      <c r="E52" t="str">
        <f t="shared" si="25"/>
        <v>Manure management EF</v>
      </c>
      <c r="F52" t="str">
        <f t="shared" si="10"/>
        <v>N2O</v>
      </c>
      <c r="G52" t="str">
        <f t="shared" si="11"/>
        <v>kg N/head/yr</v>
      </c>
      <c r="H52" s="26">
        <f>'Aggregated EF'!T138</f>
        <v>0.6</v>
      </c>
    </row>
    <row r="53" spans="1:41" x14ac:dyDescent="0.25">
      <c r="A53" t="str">
        <f t="shared" si="1"/>
        <v>3A Livestock</v>
      </c>
      <c r="B53" t="str">
        <f t="shared" si="8"/>
        <v>3A2 Manure management (N2O)</v>
      </c>
      <c r="C53" t="str">
        <f t="shared" ref="C53:E53" si="26">C35</f>
        <v>3A2i Poultry</v>
      </c>
      <c r="D53" t="str">
        <f t="shared" si="26"/>
        <v>Subsistence broilers</v>
      </c>
      <c r="E53" t="str">
        <f t="shared" si="26"/>
        <v>Manure management EF</v>
      </c>
      <c r="F53" t="str">
        <f t="shared" si="10"/>
        <v>N2O</v>
      </c>
      <c r="G53" t="str">
        <f t="shared" si="11"/>
        <v>kg N/head/yr</v>
      </c>
      <c r="H53" s="26">
        <f>'Aggregated EF'!T137</f>
        <v>0.7</v>
      </c>
    </row>
    <row r="54" spans="1:41" x14ac:dyDescent="0.25">
      <c r="A54" t="str">
        <f t="shared" si="1"/>
        <v>3A Livestock</v>
      </c>
      <c r="B54" t="str">
        <f t="shared" si="8"/>
        <v>3A2 Manure management (N2O)</v>
      </c>
      <c r="C54" t="str">
        <f>'Activity data'!C5</f>
        <v>3A1ai Dairy cattle</v>
      </c>
      <c r="D54" t="str">
        <f>'Activity data'!D5</f>
        <v>TMR</v>
      </c>
      <c r="E54" t="str">
        <f>E35</f>
        <v>Manure management EF</v>
      </c>
      <c r="F54" t="s">
        <v>139</v>
      </c>
      <c r="G54" s="12" t="s">
        <v>145</v>
      </c>
      <c r="H54" s="26">
        <f>(('Mitigation drivers'!C12*LagoonN2O)+('Mitigation drivers'!C13*LiquidN2O)+('Mitigation drivers'!C14*DrylotN2O)+('Mitigation drivers'!C15*SolidStorageN2O)+('Mitigation drivers'!C16*DailyspreadN2O)+('Mitigation drivers'!C17*CompostN2O)+('Mitigation drivers'!C18*ManwithbedN2O)+('Mitigation drivers'!C19*PMwithoutlitterN2O)+('Mitigation drivers'!C20*PMwithlitterN2O)+('Mitigation drivers'!C22*DigesterN2OEF))/100</f>
        <v>5.0000000000000001E-4</v>
      </c>
      <c r="I54" s="26">
        <f>(('Mitigation drivers'!D12*LagoonN2O)+('Mitigation drivers'!D13*LiquidN2O)+('Mitigation drivers'!D14*DrylotN2O)+('Mitigation drivers'!D15*SolidStorageN2O)+('Mitigation drivers'!D16*DailyspreadN2O)+('Mitigation drivers'!D17*CompostN2O)+('Mitigation drivers'!D18*ManwithbedN2O)+('Mitigation drivers'!D19*PMwithoutlitterN2O)+('Mitigation drivers'!D20*PMwithlitterN2O)+('Mitigation drivers'!D22*DigesterN2OEF))/100</f>
        <v>5.0000000000000001E-4</v>
      </c>
      <c r="J54" s="26">
        <f>(('Mitigation drivers'!E12*LagoonN2O)+('Mitigation drivers'!E13*LiquidN2O)+('Mitigation drivers'!E14*DrylotN2O)+('Mitigation drivers'!E15*SolidStorageN2O)+('Mitigation drivers'!E16*DailyspreadN2O)+('Mitigation drivers'!E17*CompostN2O)+('Mitigation drivers'!E18*ManwithbedN2O)+('Mitigation drivers'!E19*PMwithoutlitterN2O)+('Mitigation drivers'!E20*PMwithlitterN2O)+('Mitigation drivers'!E22*DigesterN2OEF))/100</f>
        <v>5.0000000000000001E-4</v>
      </c>
      <c r="K54" s="26">
        <f>(('Mitigation drivers'!F12*LagoonN2O)+('Mitigation drivers'!F13*LiquidN2O)+('Mitigation drivers'!F14*DrylotN2O)+('Mitigation drivers'!F15*SolidStorageN2O)+('Mitigation drivers'!F16*DailyspreadN2O)+('Mitigation drivers'!F17*CompostN2O)+('Mitigation drivers'!F18*ManwithbedN2O)+('Mitigation drivers'!F19*PMwithoutlitterN2O)+('Mitigation drivers'!F20*PMwithlitterN2O)+('Mitigation drivers'!F22*DigesterN2OEF))/100</f>
        <v>5.0000000000000001E-4</v>
      </c>
      <c r="L54" s="26">
        <f>(('Mitigation drivers'!G12*LagoonN2O)+('Mitigation drivers'!G13*LiquidN2O)+('Mitigation drivers'!G14*DrylotN2O)+('Mitigation drivers'!G15*SolidStorageN2O)+('Mitigation drivers'!G16*DailyspreadN2O)+('Mitigation drivers'!G17*CompostN2O)+('Mitigation drivers'!G18*ManwithbedN2O)+('Mitigation drivers'!G19*PMwithoutlitterN2O)+('Mitigation drivers'!G20*PMwithlitterN2O)+('Mitigation drivers'!G22*DigesterN2OEF))/100</f>
        <v>5.0000000000000001E-4</v>
      </c>
      <c r="M54" s="26">
        <f>(('Mitigation drivers'!H12*LagoonN2O)+('Mitigation drivers'!H13*LiquidN2O)+('Mitigation drivers'!H14*DrylotN2O)+('Mitigation drivers'!H15*SolidStorageN2O)+('Mitigation drivers'!H16*DailyspreadN2O)+('Mitigation drivers'!H17*CompostN2O)+('Mitigation drivers'!H18*ManwithbedN2O)+('Mitigation drivers'!H19*PMwithoutlitterN2O)+('Mitigation drivers'!H20*PMwithlitterN2O)+('Mitigation drivers'!H22*DigesterN2OEF))/100</f>
        <v>5.0000000000000001E-4</v>
      </c>
      <c r="N54" s="26">
        <f>(('Mitigation drivers'!I12*LagoonN2O)+('Mitigation drivers'!I13*LiquidN2O)+('Mitigation drivers'!I14*DrylotN2O)+('Mitigation drivers'!I15*SolidStorageN2O)+('Mitigation drivers'!I16*DailyspreadN2O)+('Mitigation drivers'!I17*CompostN2O)+('Mitigation drivers'!I18*ManwithbedN2O)+('Mitigation drivers'!I19*PMwithoutlitterN2O)+('Mitigation drivers'!I20*PMwithlitterN2O)+('Mitigation drivers'!I22*DigesterN2OEF))/100</f>
        <v>5.0000000000000001E-4</v>
      </c>
      <c r="O54" s="26">
        <f>(('Mitigation drivers'!J12*LagoonN2O)+('Mitigation drivers'!J13*LiquidN2O)+('Mitigation drivers'!J14*DrylotN2O)+('Mitigation drivers'!J15*SolidStorageN2O)+('Mitigation drivers'!J16*DailyspreadN2O)+('Mitigation drivers'!J17*CompostN2O)+('Mitigation drivers'!J18*ManwithbedN2O)+('Mitigation drivers'!J19*PMwithoutlitterN2O)+('Mitigation drivers'!J20*PMwithlitterN2O)+('Mitigation drivers'!J22*DigesterN2OEF))/100</f>
        <v>5.0000000000000001E-4</v>
      </c>
      <c r="P54" s="26">
        <f>(('Mitigation drivers'!K12*LagoonN2O)+('Mitigation drivers'!K13*LiquidN2O)+('Mitigation drivers'!K14*DrylotN2O)+('Mitigation drivers'!K15*SolidStorageN2O)+('Mitigation drivers'!K16*DailyspreadN2O)+('Mitigation drivers'!K17*CompostN2O)+('Mitigation drivers'!K18*ManwithbedN2O)+('Mitigation drivers'!K19*PMwithoutlitterN2O)+('Mitigation drivers'!K20*PMwithlitterN2O)+('Mitigation drivers'!K22*DigesterN2OEF))/100</f>
        <v>5.0000000000000001E-4</v>
      </c>
      <c r="Q54" s="26">
        <f>(('Mitigation drivers'!L12*LagoonN2O)+('Mitigation drivers'!L13*LiquidN2O)+('Mitigation drivers'!L14*DrylotN2O)+('Mitigation drivers'!L15*SolidStorageN2O)+('Mitigation drivers'!L16*DailyspreadN2O)+('Mitigation drivers'!L17*CompostN2O)+('Mitigation drivers'!L18*ManwithbedN2O)+('Mitigation drivers'!L19*PMwithoutlitterN2O)+('Mitigation drivers'!L20*PMwithlitterN2O)+('Mitigation drivers'!L22*DigesterN2OEF))/100</f>
        <v>5.0000000000000001E-4</v>
      </c>
      <c r="R54" s="26">
        <f>(('Mitigation drivers'!M12*LagoonN2O)+('Mitigation drivers'!M13*LiquidN2O)+('Mitigation drivers'!M14*DrylotN2O)+('Mitigation drivers'!M15*SolidStorageN2O)+('Mitigation drivers'!M16*DailyspreadN2O)+('Mitigation drivers'!M17*CompostN2O)+('Mitigation drivers'!M18*ManwithbedN2O)+('Mitigation drivers'!M19*PMwithoutlitterN2O)+('Mitigation drivers'!M20*PMwithlitterN2O)+('Mitigation drivers'!M22*DigesterN2OEF))/100</f>
        <v>5.0000000000000001E-4</v>
      </c>
      <c r="S54" s="26">
        <f>(('Mitigation drivers'!N12*LagoonN2O)+('Mitigation drivers'!N13*LiquidN2O)+('Mitigation drivers'!N14*DrylotN2O)+('Mitigation drivers'!N15*SolidStorageN2O)+('Mitigation drivers'!N16*DailyspreadN2O)+('Mitigation drivers'!N17*CompostN2O)+('Mitigation drivers'!N18*ManwithbedN2O)+('Mitigation drivers'!N19*PMwithoutlitterN2O)+('Mitigation drivers'!N20*PMwithlitterN2O)+('Mitigation drivers'!N22*DigesterN2OEF))/100</f>
        <v>5.0000000000000001E-4</v>
      </c>
      <c r="T54" s="26">
        <f>(('Mitigation drivers'!O12*LagoonN2O)+('Mitigation drivers'!O13*LiquidN2O)+('Mitigation drivers'!O14*DrylotN2O)+('Mitigation drivers'!O15*SolidStorageN2O)+('Mitigation drivers'!O16*DailyspreadN2O)+('Mitigation drivers'!O17*CompostN2O)+('Mitigation drivers'!O18*ManwithbedN2O)+('Mitigation drivers'!O19*PMwithoutlitterN2O)+('Mitigation drivers'!O20*PMwithlitterN2O)+('Mitigation drivers'!O22*DigesterN2OEF))/100</f>
        <v>5.0000000000000001E-4</v>
      </c>
      <c r="U54" s="26">
        <f>(('Mitigation drivers'!P12*LagoonN2O)+('Mitigation drivers'!P13*LiquidN2O)+('Mitigation drivers'!P14*DrylotN2O)+('Mitigation drivers'!P15*SolidStorageN2O)+('Mitigation drivers'!P16*DailyspreadN2O)+('Mitigation drivers'!P17*CompostN2O)+('Mitigation drivers'!P18*ManwithbedN2O)+('Mitigation drivers'!P19*PMwithoutlitterN2O)+('Mitigation drivers'!P20*PMwithlitterN2O)+('Mitigation drivers'!P22*DigesterN2OEF))/100</f>
        <v>5.0000000000000001E-4</v>
      </c>
      <c r="V54" s="26">
        <f>(('Mitigation drivers'!Q12*LagoonN2O)+('Mitigation drivers'!Q13*LiquidN2O)+('Mitigation drivers'!Q14*DrylotN2O)+('Mitigation drivers'!Q15*SolidStorageN2O)+('Mitigation drivers'!Q16*DailyspreadN2O)+('Mitigation drivers'!Q17*CompostN2O)+('Mitigation drivers'!Q18*ManwithbedN2O)+('Mitigation drivers'!Q19*PMwithoutlitterN2O)+('Mitigation drivers'!Q20*PMwithlitterN2O)+('Mitigation drivers'!Q22*DigesterN2OEF))/100</f>
        <v>5.0000000000000001E-4</v>
      </c>
      <c r="W54" s="26">
        <f>(('Mitigation drivers'!R12*LagoonN2O)+('Mitigation drivers'!R13*LiquidN2O)+('Mitigation drivers'!R14*DrylotN2O)+('Mitigation drivers'!R15*SolidStorageN2O)+('Mitigation drivers'!R16*DailyspreadN2O)+('Mitigation drivers'!R17*CompostN2O)+('Mitigation drivers'!R18*ManwithbedN2O)+('Mitigation drivers'!R19*PMwithoutlitterN2O)+('Mitigation drivers'!R20*PMwithlitterN2O)+('Mitigation drivers'!R22*DigesterN2OEF))/100</f>
        <v>5.0000000000000001E-4</v>
      </c>
      <c r="X54" s="26">
        <f>(('Mitigation drivers'!S12*LagoonN2O)+('Mitigation drivers'!S13*LiquidN2O)+('Mitigation drivers'!S14*DrylotN2O)+('Mitigation drivers'!S15*SolidStorageN2O)+('Mitigation drivers'!S16*DailyspreadN2O)+('Mitigation drivers'!S17*CompostN2O)+('Mitigation drivers'!S18*ManwithbedN2O)+('Mitigation drivers'!S19*PMwithoutlitterN2O)+('Mitigation drivers'!S20*PMwithlitterN2O)+('Mitigation drivers'!S22*DigesterN2OEF))/100</f>
        <v>5.0000000000000001E-4</v>
      </c>
      <c r="Y54" s="26">
        <f>(('Mitigation drivers'!T12*LagoonN2O)+('Mitigation drivers'!T13*LiquidN2O)+('Mitigation drivers'!T14*DrylotN2O)+('Mitigation drivers'!T15*SolidStorageN2O)+('Mitigation drivers'!T16*DailyspreadN2O)+('Mitigation drivers'!T17*CompostN2O)+('Mitigation drivers'!T18*ManwithbedN2O)+('Mitigation drivers'!T19*PMwithoutlitterN2O)+('Mitigation drivers'!T20*PMwithlitterN2O)+('Mitigation drivers'!T22*DigesterN2OEF))/100</f>
        <v>5.0000000000000001E-4</v>
      </c>
      <c r="Z54" s="26">
        <f>(('Mitigation drivers'!U12*LagoonN2O)+('Mitigation drivers'!U13*LiquidN2O)+('Mitigation drivers'!U14*DrylotN2O)+('Mitigation drivers'!U15*SolidStorageN2O)+('Mitigation drivers'!U16*DailyspreadN2O)+('Mitigation drivers'!U17*CompostN2O)+('Mitigation drivers'!U18*ManwithbedN2O)+('Mitigation drivers'!U19*PMwithoutlitterN2O)+('Mitigation drivers'!U20*PMwithlitterN2O)+('Mitigation drivers'!U22*DigesterN2OEF))/100</f>
        <v>5.0000000000000001E-4</v>
      </c>
      <c r="AA54" s="26">
        <f>(('Mitigation drivers'!V12*LagoonN2O)+('Mitigation drivers'!V13*LiquidN2O)+('Mitigation drivers'!V14*DrylotN2O)+('Mitigation drivers'!V15*SolidStorageN2O)+('Mitigation drivers'!V16*DailyspreadN2O)+('Mitigation drivers'!V17*CompostN2O)+('Mitigation drivers'!V18*ManwithbedN2O)+('Mitigation drivers'!V19*PMwithoutlitterN2O)+('Mitigation drivers'!V20*PMwithlitterN2O)+('Mitigation drivers'!V22*DigesterN2OEF))/100</f>
        <v>5.0000000000000001E-4</v>
      </c>
      <c r="AB54" s="26">
        <f>(('Mitigation drivers'!W12*LagoonN2O)+('Mitigation drivers'!W13*LiquidN2O)+('Mitigation drivers'!W14*DrylotN2O)+('Mitigation drivers'!W15*SolidStorageN2O)+('Mitigation drivers'!W16*DailyspreadN2O)+('Mitigation drivers'!W17*CompostN2O)+('Mitigation drivers'!W18*ManwithbedN2O)+('Mitigation drivers'!W19*PMwithoutlitterN2O)+('Mitigation drivers'!W20*PMwithlitterN2O)+('Mitigation drivers'!W22*DigesterN2OEF))/100</f>
        <v>5.0000000000000001E-4</v>
      </c>
      <c r="AC54" s="26">
        <f>(('Mitigation drivers'!X12*LagoonN2O)+('Mitigation drivers'!X13*LiquidN2O)+('Mitigation drivers'!X14*DrylotN2O)+('Mitigation drivers'!X15*SolidStorageN2O)+('Mitigation drivers'!X16*DailyspreadN2O)+('Mitigation drivers'!X17*CompostN2O)+('Mitigation drivers'!X18*ManwithbedN2O)+('Mitigation drivers'!X19*PMwithoutlitterN2O)+('Mitigation drivers'!X20*PMwithlitterN2O)+('Mitigation drivers'!X22*DigesterN2OEF))/100</f>
        <v>5.0000000000000001E-4</v>
      </c>
      <c r="AD54" s="26">
        <f>(('Mitigation drivers'!Y12*LagoonN2O)+('Mitigation drivers'!Y13*LiquidN2O)+('Mitigation drivers'!Y14*DrylotN2O)+('Mitigation drivers'!Y15*SolidStorageN2O)+('Mitigation drivers'!Y16*DailyspreadN2O)+('Mitigation drivers'!Y17*CompostN2O)+('Mitigation drivers'!Y18*ManwithbedN2O)+('Mitigation drivers'!Y19*PMwithoutlitterN2O)+('Mitigation drivers'!Y20*PMwithlitterN2O)+('Mitigation drivers'!Y22*DigesterN2OEF))/100</f>
        <v>5.0000000000000001E-4</v>
      </c>
      <c r="AE54" s="26">
        <f>(('Mitigation drivers'!Z12*LagoonN2O)+('Mitigation drivers'!Z13*LiquidN2O)+('Mitigation drivers'!Z14*DrylotN2O)+('Mitigation drivers'!Z15*SolidStorageN2O)+('Mitigation drivers'!Z16*DailyspreadN2O)+('Mitigation drivers'!Z17*CompostN2O)+('Mitigation drivers'!Z18*ManwithbedN2O)+('Mitigation drivers'!Z19*PMwithoutlitterN2O)+('Mitigation drivers'!Z20*PMwithlitterN2O)+('Mitigation drivers'!Z22*DigesterN2OEF))/100</f>
        <v>5.0000000000000001E-4</v>
      </c>
      <c r="AF54" s="26">
        <f>(('Mitigation drivers'!AA12*LagoonN2O)+('Mitigation drivers'!AA13*LiquidN2O)+('Mitigation drivers'!AA14*DrylotN2O)+('Mitigation drivers'!AA15*SolidStorageN2O)+('Mitigation drivers'!AA16*DailyspreadN2O)+('Mitigation drivers'!AA17*CompostN2O)+('Mitigation drivers'!AA18*ManwithbedN2O)+('Mitigation drivers'!AA19*PMwithoutlitterN2O)+('Mitigation drivers'!AA20*PMwithlitterN2O)+('Mitigation drivers'!AA22*DigesterN2OEF))/100</f>
        <v>5.0000000000000001E-4</v>
      </c>
      <c r="AG54" s="26">
        <f>(('Mitigation drivers'!AB12*LagoonN2O)+('Mitigation drivers'!AB13*LiquidN2O)+('Mitigation drivers'!AB14*DrylotN2O)+('Mitigation drivers'!AB15*SolidStorageN2O)+('Mitigation drivers'!AB16*DailyspreadN2O)+('Mitigation drivers'!AB17*CompostN2O)+('Mitigation drivers'!AB18*ManwithbedN2O)+('Mitigation drivers'!AB19*PMwithoutlitterN2O)+('Mitigation drivers'!AB20*PMwithlitterN2O)+('Mitigation drivers'!AB22*DigesterN2OEF))/100</f>
        <v>5.0000000000000001E-4</v>
      </c>
      <c r="AH54" s="26">
        <f>(('Mitigation drivers'!AC12*LagoonN2O)+('Mitigation drivers'!AC13*LiquidN2O)+('Mitigation drivers'!AC14*DrylotN2O)+('Mitigation drivers'!AC15*SolidStorageN2O)+('Mitigation drivers'!AC16*DailyspreadN2O)+('Mitigation drivers'!AC17*CompostN2O)+('Mitigation drivers'!AC18*ManwithbedN2O)+('Mitigation drivers'!AC19*PMwithoutlitterN2O)+('Mitigation drivers'!AC20*PMwithlitterN2O)+('Mitigation drivers'!AC22*DigesterN2OEF))/100</f>
        <v>5.0000000000000001E-4</v>
      </c>
      <c r="AI54" s="26">
        <f>(('Mitigation drivers'!AD12*LagoonN2O)+('Mitigation drivers'!AD13*LiquidN2O)+('Mitigation drivers'!AD14*DrylotN2O)+('Mitigation drivers'!AD15*SolidStorageN2O)+('Mitigation drivers'!AD16*DailyspreadN2O)+('Mitigation drivers'!AD17*CompostN2O)+('Mitigation drivers'!AD18*ManwithbedN2O)+('Mitigation drivers'!AD19*PMwithoutlitterN2O)+('Mitigation drivers'!AD20*PMwithlitterN2O)+('Mitigation drivers'!AD22*DigesterN2OEF))/100</f>
        <v>5.0000000000000001E-4</v>
      </c>
      <c r="AJ54" s="26">
        <f>(('Mitigation drivers'!AE12*LagoonN2O)+('Mitigation drivers'!AE13*LiquidN2O)+('Mitigation drivers'!AE14*DrylotN2O)+('Mitigation drivers'!AE15*SolidStorageN2O)+('Mitigation drivers'!AE16*DailyspreadN2O)+('Mitigation drivers'!AE17*CompostN2O)+('Mitigation drivers'!AE18*ManwithbedN2O)+('Mitigation drivers'!AE19*PMwithoutlitterN2O)+('Mitigation drivers'!AE20*PMwithlitterN2O)+('Mitigation drivers'!AE22*DigesterN2OEF))/100</f>
        <v>5.0000000000000001E-4</v>
      </c>
      <c r="AK54" s="26">
        <f>(('Mitigation drivers'!AF12*LagoonN2O)+('Mitigation drivers'!AF13*LiquidN2O)+('Mitigation drivers'!AF14*DrylotN2O)+('Mitigation drivers'!AF15*SolidStorageN2O)+('Mitigation drivers'!AF16*DailyspreadN2O)+('Mitigation drivers'!AF17*CompostN2O)+('Mitigation drivers'!AF18*ManwithbedN2O)+('Mitigation drivers'!AF19*PMwithoutlitterN2O)+('Mitigation drivers'!AF20*PMwithlitterN2O)+('Mitigation drivers'!AF22*DigesterN2OEF))/100</f>
        <v>5.0000000000000001E-4</v>
      </c>
      <c r="AL54" s="26">
        <f>(('Mitigation drivers'!AG12*LagoonN2O)+('Mitigation drivers'!AG13*LiquidN2O)+('Mitigation drivers'!AG14*DrylotN2O)+('Mitigation drivers'!AG15*SolidStorageN2O)+('Mitigation drivers'!AG16*DailyspreadN2O)+('Mitigation drivers'!AG17*CompostN2O)+('Mitigation drivers'!AG18*ManwithbedN2O)+('Mitigation drivers'!AG19*PMwithoutlitterN2O)+('Mitigation drivers'!AG20*PMwithlitterN2O)+('Mitigation drivers'!AG22*DigesterN2OEF))/100</f>
        <v>5.0000000000000001E-4</v>
      </c>
      <c r="AM54" s="26">
        <f>(('Mitigation drivers'!AH12*LagoonN2O)+('Mitigation drivers'!AH13*LiquidN2O)+('Mitigation drivers'!AH14*DrylotN2O)+('Mitigation drivers'!AH15*SolidStorageN2O)+('Mitigation drivers'!AH16*DailyspreadN2O)+('Mitigation drivers'!AH17*CompostN2O)+('Mitigation drivers'!AH18*ManwithbedN2O)+('Mitigation drivers'!AH19*PMwithoutlitterN2O)+('Mitigation drivers'!AH20*PMwithlitterN2O)+('Mitigation drivers'!AH22*DigesterN2OEF))/100</f>
        <v>5.0000000000000001E-4</v>
      </c>
      <c r="AN54" s="26">
        <f>(('Mitigation drivers'!AI12*LagoonN2O)+('Mitigation drivers'!AI13*LiquidN2O)+('Mitigation drivers'!AI14*DrylotN2O)+('Mitigation drivers'!AI15*SolidStorageN2O)+('Mitigation drivers'!AI16*DailyspreadN2O)+('Mitigation drivers'!AI17*CompostN2O)+('Mitigation drivers'!AI18*ManwithbedN2O)+('Mitigation drivers'!AI19*PMwithoutlitterN2O)+('Mitigation drivers'!AI20*PMwithlitterN2O)+('Mitigation drivers'!AI22*DigesterN2OEF))/100</f>
        <v>5.0000000000000001E-4</v>
      </c>
      <c r="AO54" s="26">
        <f>(('Mitigation drivers'!AJ12*LagoonN2O)+('Mitigation drivers'!AJ13*LiquidN2O)+('Mitigation drivers'!AJ14*DrylotN2O)+('Mitigation drivers'!AJ15*SolidStorageN2O)+('Mitigation drivers'!AJ16*DailyspreadN2O)+('Mitigation drivers'!AJ17*CompostN2O)+('Mitigation drivers'!AJ18*ManwithbedN2O)+('Mitigation drivers'!AJ19*PMwithoutlitterN2O)+('Mitigation drivers'!AJ20*PMwithlitterN2O)+('Mitigation drivers'!AJ22*DigesterN2OEF))/100</f>
        <v>5.0000000000000001E-4</v>
      </c>
    </row>
    <row r="55" spans="1:41" x14ac:dyDescent="0.25">
      <c r="A55" t="str">
        <f t="shared" si="1"/>
        <v>3A Livestock</v>
      </c>
      <c r="B55" t="str">
        <f t="shared" si="8"/>
        <v>3A2 Manure management (N2O)</v>
      </c>
      <c r="C55" t="str">
        <f>'Activity data'!C6</f>
        <v>3A1ai Dairy cattle</v>
      </c>
      <c r="D55" t="str">
        <f>'Activity data'!D6</f>
        <v>Pasture</v>
      </c>
      <c r="E55" t="str">
        <f t="shared" si="6"/>
        <v>Manure management EF</v>
      </c>
      <c r="F55" t="str">
        <f>F54</f>
        <v>N2O</v>
      </c>
      <c r="G55" t="str">
        <f>G54</f>
        <v>kg N2O-N/kg Nex</v>
      </c>
      <c r="H55" s="26">
        <f>(('Mitigation drivers'!C24*LagoonN2O)+('Mitigation drivers'!C25*LiquidN2O)+('Mitigation drivers'!C26*DrylotN2O)+('Mitigation drivers'!C27*SolidStorageN2O)+('Mitigation drivers'!C28*DailyspreadN2O)+('Mitigation drivers'!C29*CompostN2O)+('Mitigation drivers'!C30*ManwithbedN2O)+('Mitigation drivers'!C31*PMwithoutlitterN2O)+('Mitigation drivers'!C32*PMwithlitterN2O)+('Mitigation drivers'!C34*DigesterN2OEF))/100</f>
        <v>2.9000000000000002E-3</v>
      </c>
      <c r="I55" s="26">
        <f>(('Mitigation drivers'!D24*LagoonN2O)+('Mitigation drivers'!D25*LiquidN2O)+('Mitigation drivers'!D26*DrylotN2O)+('Mitigation drivers'!D27*SolidStorageN2O)+('Mitigation drivers'!D28*DailyspreadN2O)+('Mitigation drivers'!D29*CompostN2O)+('Mitigation drivers'!D30*ManwithbedN2O)+('Mitigation drivers'!D31*PMwithoutlitterN2O)+('Mitigation drivers'!D32*PMwithlitterN2O)+('Mitigation drivers'!D34*DigesterN2OEF))/100</f>
        <v>2.9000000000000002E-3</v>
      </c>
      <c r="J55" s="26">
        <f>(('Mitigation drivers'!E24*LagoonN2O)+('Mitigation drivers'!E25*LiquidN2O)+('Mitigation drivers'!E26*DrylotN2O)+('Mitigation drivers'!E27*SolidStorageN2O)+('Mitigation drivers'!E28*DailyspreadN2O)+('Mitigation drivers'!E29*CompostN2O)+('Mitigation drivers'!E30*ManwithbedN2O)+('Mitigation drivers'!E31*PMwithoutlitterN2O)+('Mitigation drivers'!E32*PMwithlitterN2O)+('Mitigation drivers'!E34*DigesterN2OEF))/100</f>
        <v>2.9000000000000002E-3</v>
      </c>
      <c r="K55" s="26">
        <f>(('Mitigation drivers'!F24*LagoonN2O)+('Mitigation drivers'!F25*LiquidN2O)+('Mitigation drivers'!F26*DrylotN2O)+('Mitigation drivers'!F27*SolidStorageN2O)+('Mitigation drivers'!F28*DailyspreadN2O)+('Mitigation drivers'!F29*CompostN2O)+('Mitigation drivers'!F30*ManwithbedN2O)+('Mitigation drivers'!F31*PMwithoutlitterN2O)+('Mitigation drivers'!F32*PMwithlitterN2O)+('Mitigation drivers'!F34*DigesterN2OEF))/100</f>
        <v>2.9000000000000002E-3</v>
      </c>
      <c r="L55" s="26">
        <f>(('Mitigation drivers'!G24*LagoonN2O)+('Mitigation drivers'!G25*LiquidN2O)+('Mitigation drivers'!G26*DrylotN2O)+('Mitigation drivers'!G27*SolidStorageN2O)+('Mitigation drivers'!G28*DailyspreadN2O)+('Mitigation drivers'!G29*CompostN2O)+('Mitigation drivers'!G30*ManwithbedN2O)+('Mitigation drivers'!G31*PMwithoutlitterN2O)+('Mitigation drivers'!G32*PMwithlitterN2O)+('Mitigation drivers'!G34*DigesterN2OEF))/100</f>
        <v>2.9000000000000002E-3</v>
      </c>
      <c r="M55" s="26">
        <f>(('Mitigation drivers'!H24*LagoonN2O)+('Mitigation drivers'!H25*LiquidN2O)+('Mitigation drivers'!H26*DrylotN2O)+('Mitigation drivers'!H27*SolidStorageN2O)+('Mitigation drivers'!H28*DailyspreadN2O)+('Mitigation drivers'!H29*CompostN2O)+('Mitigation drivers'!H30*ManwithbedN2O)+('Mitigation drivers'!H31*PMwithoutlitterN2O)+('Mitigation drivers'!H32*PMwithlitterN2O)+('Mitigation drivers'!H34*DigesterN2OEF))/100</f>
        <v>2.9000000000000002E-3</v>
      </c>
      <c r="N55" s="26">
        <f>(('Mitigation drivers'!I24*LagoonN2O)+('Mitigation drivers'!I25*LiquidN2O)+('Mitigation drivers'!I26*DrylotN2O)+('Mitigation drivers'!I27*SolidStorageN2O)+('Mitigation drivers'!I28*DailyspreadN2O)+('Mitigation drivers'!I29*CompostN2O)+('Mitigation drivers'!I30*ManwithbedN2O)+('Mitigation drivers'!I31*PMwithoutlitterN2O)+('Mitigation drivers'!I32*PMwithlitterN2O)+('Mitigation drivers'!I34*DigesterN2OEF))/100</f>
        <v>2.9000000000000002E-3</v>
      </c>
      <c r="O55" s="26">
        <f>(('Mitigation drivers'!J24*LagoonN2O)+('Mitigation drivers'!J25*LiquidN2O)+('Mitigation drivers'!J26*DrylotN2O)+('Mitigation drivers'!J27*SolidStorageN2O)+('Mitigation drivers'!J28*DailyspreadN2O)+('Mitigation drivers'!J29*CompostN2O)+('Mitigation drivers'!J30*ManwithbedN2O)+('Mitigation drivers'!J31*PMwithoutlitterN2O)+('Mitigation drivers'!J32*PMwithlitterN2O)+('Mitigation drivers'!J34*DigesterN2OEF))/100</f>
        <v>2.9000000000000002E-3</v>
      </c>
      <c r="P55" s="26">
        <f>(('Mitigation drivers'!K24*LagoonN2O)+('Mitigation drivers'!K25*LiquidN2O)+('Mitigation drivers'!K26*DrylotN2O)+('Mitigation drivers'!K27*SolidStorageN2O)+('Mitigation drivers'!K28*DailyspreadN2O)+('Mitigation drivers'!K29*CompostN2O)+('Mitigation drivers'!K30*ManwithbedN2O)+('Mitigation drivers'!K31*PMwithoutlitterN2O)+('Mitigation drivers'!K32*PMwithlitterN2O)+('Mitigation drivers'!K34*DigesterN2OEF))/100</f>
        <v>2.9000000000000002E-3</v>
      </c>
      <c r="Q55" s="26">
        <f>(('Mitigation drivers'!L24*LagoonN2O)+('Mitigation drivers'!L25*LiquidN2O)+('Mitigation drivers'!L26*DrylotN2O)+('Mitigation drivers'!L27*SolidStorageN2O)+('Mitigation drivers'!L28*DailyspreadN2O)+('Mitigation drivers'!L29*CompostN2O)+('Mitigation drivers'!L30*ManwithbedN2O)+('Mitigation drivers'!L31*PMwithoutlitterN2O)+('Mitigation drivers'!L32*PMwithlitterN2O)+('Mitigation drivers'!L34*DigesterN2OEF))/100</f>
        <v>2.9000000000000002E-3</v>
      </c>
      <c r="R55" s="26">
        <f>(('Mitigation drivers'!M24*LagoonN2O)+('Mitigation drivers'!M25*LiquidN2O)+('Mitigation drivers'!M26*DrylotN2O)+('Mitigation drivers'!M27*SolidStorageN2O)+('Mitigation drivers'!M28*DailyspreadN2O)+('Mitigation drivers'!M29*CompostN2O)+('Mitigation drivers'!M30*ManwithbedN2O)+('Mitigation drivers'!M31*PMwithoutlitterN2O)+('Mitigation drivers'!M32*PMwithlitterN2O)+('Mitigation drivers'!M34*DigesterN2OEF))/100</f>
        <v>2.9000000000000002E-3</v>
      </c>
      <c r="S55" s="26">
        <f>(('Mitigation drivers'!N24*LagoonN2O)+('Mitigation drivers'!N25*LiquidN2O)+('Mitigation drivers'!N26*DrylotN2O)+('Mitigation drivers'!N27*SolidStorageN2O)+('Mitigation drivers'!N28*DailyspreadN2O)+('Mitigation drivers'!N29*CompostN2O)+('Mitigation drivers'!N30*ManwithbedN2O)+('Mitigation drivers'!N31*PMwithoutlitterN2O)+('Mitigation drivers'!N32*PMwithlitterN2O)+('Mitigation drivers'!N34*DigesterN2OEF))/100</f>
        <v>2.9000000000000002E-3</v>
      </c>
      <c r="T55" s="26">
        <f>(('Mitigation drivers'!O24*LagoonN2O)+('Mitigation drivers'!O25*LiquidN2O)+('Mitigation drivers'!O26*DrylotN2O)+('Mitigation drivers'!O27*SolidStorageN2O)+('Mitigation drivers'!O28*DailyspreadN2O)+('Mitigation drivers'!O29*CompostN2O)+('Mitigation drivers'!O30*ManwithbedN2O)+('Mitigation drivers'!O31*PMwithoutlitterN2O)+('Mitigation drivers'!O32*PMwithlitterN2O)+('Mitigation drivers'!O34*DigesterN2OEF))/100</f>
        <v>2.9000000000000002E-3</v>
      </c>
      <c r="U55" s="26">
        <f>(('Mitigation drivers'!P24*LagoonN2O)+('Mitigation drivers'!P25*LiquidN2O)+('Mitigation drivers'!P26*DrylotN2O)+('Mitigation drivers'!P27*SolidStorageN2O)+('Mitigation drivers'!P28*DailyspreadN2O)+('Mitigation drivers'!P29*CompostN2O)+('Mitigation drivers'!P30*ManwithbedN2O)+('Mitigation drivers'!P31*PMwithoutlitterN2O)+('Mitigation drivers'!P32*PMwithlitterN2O)+('Mitigation drivers'!P34*DigesterN2OEF))/100</f>
        <v>2.9000000000000002E-3</v>
      </c>
      <c r="V55" s="26">
        <f>(('Mitigation drivers'!Q24*LagoonN2O)+('Mitigation drivers'!Q25*LiquidN2O)+('Mitigation drivers'!Q26*DrylotN2O)+('Mitigation drivers'!Q27*SolidStorageN2O)+('Mitigation drivers'!Q28*DailyspreadN2O)+('Mitigation drivers'!Q29*CompostN2O)+('Mitigation drivers'!Q30*ManwithbedN2O)+('Mitigation drivers'!Q31*PMwithoutlitterN2O)+('Mitigation drivers'!Q32*PMwithlitterN2O)+('Mitigation drivers'!Q34*DigesterN2OEF))/100</f>
        <v>2.9000000000000002E-3</v>
      </c>
      <c r="W55" s="26">
        <f>(('Mitigation drivers'!R24*LagoonN2O)+('Mitigation drivers'!R25*LiquidN2O)+('Mitigation drivers'!R26*DrylotN2O)+('Mitigation drivers'!R27*SolidStorageN2O)+('Mitigation drivers'!R28*DailyspreadN2O)+('Mitigation drivers'!R29*CompostN2O)+('Mitigation drivers'!R30*ManwithbedN2O)+('Mitigation drivers'!R31*PMwithoutlitterN2O)+('Mitigation drivers'!R32*PMwithlitterN2O)+('Mitigation drivers'!R34*DigesterN2OEF))/100</f>
        <v>2.9000000000000002E-3</v>
      </c>
      <c r="X55" s="26">
        <f>(('Mitigation drivers'!S24*LagoonN2O)+('Mitigation drivers'!S25*LiquidN2O)+('Mitigation drivers'!S26*DrylotN2O)+('Mitigation drivers'!S27*SolidStorageN2O)+('Mitigation drivers'!S28*DailyspreadN2O)+('Mitigation drivers'!S29*CompostN2O)+('Mitigation drivers'!S30*ManwithbedN2O)+('Mitigation drivers'!S31*PMwithoutlitterN2O)+('Mitigation drivers'!S32*PMwithlitterN2O)+('Mitigation drivers'!S34*DigesterN2OEF))/100</f>
        <v>2.9000000000000002E-3</v>
      </c>
      <c r="Y55" s="26">
        <f>(('Mitigation drivers'!T24*LagoonN2O)+('Mitigation drivers'!T25*LiquidN2O)+('Mitigation drivers'!T26*DrylotN2O)+('Mitigation drivers'!T27*SolidStorageN2O)+('Mitigation drivers'!T28*DailyspreadN2O)+('Mitigation drivers'!T29*CompostN2O)+('Mitigation drivers'!T30*ManwithbedN2O)+('Mitigation drivers'!T31*PMwithoutlitterN2O)+('Mitigation drivers'!T32*PMwithlitterN2O)+('Mitigation drivers'!T34*DigesterN2OEF))/100</f>
        <v>2.9000000000000002E-3</v>
      </c>
      <c r="Z55" s="26">
        <f>(('Mitigation drivers'!U24*LagoonN2O)+('Mitigation drivers'!U25*LiquidN2O)+('Mitigation drivers'!U26*DrylotN2O)+('Mitigation drivers'!U27*SolidStorageN2O)+('Mitigation drivers'!U28*DailyspreadN2O)+('Mitigation drivers'!U29*CompostN2O)+('Mitigation drivers'!U30*ManwithbedN2O)+('Mitigation drivers'!U31*PMwithoutlitterN2O)+('Mitigation drivers'!U32*PMwithlitterN2O)+('Mitigation drivers'!U34*DigesterN2OEF))/100</f>
        <v>2.9000000000000002E-3</v>
      </c>
      <c r="AA55" s="26">
        <f>(('Mitigation drivers'!V24*LagoonN2O)+('Mitigation drivers'!V25*LiquidN2O)+('Mitigation drivers'!V26*DrylotN2O)+('Mitigation drivers'!V27*SolidStorageN2O)+('Mitigation drivers'!V28*DailyspreadN2O)+('Mitigation drivers'!V29*CompostN2O)+('Mitigation drivers'!V30*ManwithbedN2O)+('Mitigation drivers'!V31*PMwithoutlitterN2O)+('Mitigation drivers'!V32*PMwithlitterN2O)+('Mitigation drivers'!V34*DigesterN2OEF))/100</f>
        <v>2.9000000000000002E-3</v>
      </c>
      <c r="AB55" s="26">
        <f>(('Mitigation drivers'!W24*LagoonN2O)+('Mitigation drivers'!W25*LiquidN2O)+('Mitigation drivers'!W26*DrylotN2O)+('Mitigation drivers'!W27*SolidStorageN2O)+('Mitigation drivers'!W28*DailyspreadN2O)+('Mitigation drivers'!W29*CompostN2O)+('Mitigation drivers'!W30*ManwithbedN2O)+('Mitigation drivers'!W31*PMwithoutlitterN2O)+('Mitigation drivers'!W32*PMwithlitterN2O)+('Mitigation drivers'!W34*DigesterN2OEF))/100</f>
        <v>2.9000000000000002E-3</v>
      </c>
      <c r="AC55" s="26">
        <f>(('Mitigation drivers'!X24*LagoonN2O)+('Mitigation drivers'!X25*LiquidN2O)+('Mitigation drivers'!X26*DrylotN2O)+('Mitigation drivers'!X27*SolidStorageN2O)+('Mitigation drivers'!X28*DailyspreadN2O)+('Mitigation drivers'!X29*CompostN2O)+('Mitigation drivers'!X30*ManwithbedN2O)+('Mitigation drivers'!X31*PMwithoutlitterN2O)+('Mitigation drivers'!X32*PMwithlitterN2O)+('Mitigation drivers'!X34*DigesterN2OEF))/100</f>
        <v>2.9000000000000002E-3</v>
      </c>
      <c r="AD55" s="26">
        <f>(('Mitigation drivers'!Y24*LagoonN2O)+('Mitigation drivers'!Y25*LiquidN2O)+('Mitigation drivers'!Y26*DrylotN2O)+('Mitigation drivers'!Y27*SolidStorageN2O)+('Mitigation drivers'!Y28*DailyspreadN2O)+('Mitigation drivers'!Y29*CompostN2O)+('Mitigation drivers'!Y30*ManwithbedN2O)+('Mitigation drivers'!Y31*PMwithoutlitterN2O)+('Mitigation drivers'!Y32*PMwithlitterN2O)+('Mitigation drivers'!Y34*DigesterN2OEF))/100</f>
        <v>2.9000000000000002E-3</v>
      </c>
      <c r="AE55" s="26">
        <f>(('Mitigation drivers'!Z24*LagoonN2O)+('Mitigation drivers'!Z25*LiquidN2O)+('Mitigation drivers'!Z26*DrylotN2O)+('Mitigation drivers'!Z27*SolidStorageN2O)+('Mitigation drivers'!Z28*DailyspreadN2O)+('Mitigation drivers'!Z29*CompostN2O)+('Mitigation drivers'!Z30*ManwithbedN2O)+('Mitigation drivers'!Z31*PMwithoutlitterN2O)+('Mitigation drivers'!Z32*PMwithlitterN2O)+('Mitigation drivers'!Z34*DigesterN2OEF))/100</f>
        <v>2.9000000000000002E-3</v>
      </c>
      <c r="AF55" s="26">
        <f>(('Mitigation drivers'!AA24*LagoonN2O)+('Mitigation drivers'!AA25*LiquidN2O)+('Mitigation drivers'!AA26*DrylotN2O)+('Mitigation drivers'!AA27*SolidStorageN2O)+('Mitigation drivers'!AA28*DailyspreadN2O)+('Mitigation drivers'!AA29*CompostN2O)+('Mitigation drivers'!AA30*ManwithbedN2O)+('Mitigation drivers'!AA31*PMwithoutlitterN2O)+('Mitigation drivers'!AA32*PMwithlitterN2O)+('Mitigation drivers'!AA34*DigesterN2OEF))/100</f>
        <v>2.9000000000000002E-3</v>
      </c>
      <c r="AG55" s="26">
        <f>(('Mitigation drivers'!AB24*LagoonN2O)+('Mitigation drivers'!AB25*LiquidN2O)+('Mitigation drivers'!AB26*DrylotN2O)+('Mitigation drivers'!AB27*SolidStorageN2O)+('Mitigation drivers'!AB28*DailyspreadN2O)+('Mitigation drivers'!AB29*CompostN2O)+('Mitigation drivers'!AB30*ManwithbedN2O)+('Mitigation drivers'!AB31*PMwithoutlitterN2O)+('Mitigation drivers'!AB32*PMwithlitterN2O)+('Mitigation drivers'!AB34*DigesterN2OEF))/100</f>
        <v>2.9000000000000002E-3</v>
      </c>
      <c r="AH55" s="26">
        <f>(('Mitigation drivers'!AC24*LagoonN2O)+('Mitigation drivers'!AC25*LiquidN2O)+('Mitigation drivers'!AC26*DrylotN2O)+('Mitigation drivers'!AC27*SolidStorageN2O)+('Mitigation drivers'!AC28*DailyspreadN2O)+('Mitigation drivers'!AC29*CompostN2O)+('Mitigation drivers'!AC30*ManwithbedN2O)+('Mitigation drivers'!AC31*PMwithoutlitterN2O)+('Mitigation drivers'!AC32*PMwithlitterN2O)+('Mitigation drivers'!AC34*DigesterN2OEF))/100</f>
        <v>2.9000000000000002E-3</v>
      </c>
      <c r="AI55" s="26">
        <f>(('Mitigation drivers'!AD24*LagoonN2O)+('Mitigation drivers'!AD25*LiquidN2O)+('Mitigation drivers'!AD26*DrylotN2O)+('Mitigation drivers'!AD27*SolidStorageN2O)+('Mitigation drivers'!AD28*DailyspreadN2O)+('Mitigation drivers'!AD29*CompostN2O)+('Mitigation drivers'!AD30*ManwithbedN2O)+('Mitigation drivers'!AD31*PMwithoutlitterN2O)+('Mitigation drivers'!AD32*PMwithlitterN2O)+('Mitigation drivers'!AD34*DigesterN2OEF))/100</f>
        <v>2.9000000000000002E-3</v>
      </c>
      <c r="AJ55" s="26">
        <f>(('Mitigation drivers'!AE24*LagoonN2O)+('Mitigation drivers'!AE25*LiquidN2O)+('Mitigation drivers'!AE26*DrylotN2O)+('Mitigation drivers'!AE27*SolidStorageN2O)+('Mitigation drivers'!AE28*DailyspreadN2O)+('Mitigation drivers'!AE29*CompostN2O)+('Mitigation drivers'!AE30*ManwithbedN2O)+('Mitigation drivers'!AE31*PMwithoutlitterN2O)+('Mitigation drivers'!AE32*PMwithlitterN2O)+('Mitigation drivers'!AE34*DigesterN2OEF))/100</f>
        <v>2.9000000000000002E-3</v>
      </c>
      <c r="AK55" s="26">
        <f>(('Mitigation drivers'!AF24*LagoonN2O)+('Mitigation drivers'!AF25*LiquidN2O)+('Mitigation drivers'!AF26*DrylotN2O)+('Mitigation drivers'!AF27*SolidStorageN2O)+('Mitigation drivers'!AF28*DailyspreadN2O)+('Mitigation drivers'!AF29*CompostN2O)+('Mitigation drivers'!AF30*ManwithbedN2O)+('Mitigation drivers'!AF31*PMwithoutlitterN2O)+('Mitigation drivers'!AF32*PMwithlitterN2O)+('Mitigation drivers'!AF34*DigesterN2OEF))/100</f>
        <v>2.9000000000000002E-3</v>
      </c>
      <c r="AL55" s="26">
        <f>(('Mitigation drivers'!AG24*LagoonN2O)+('Mitigation drivers'!AG25*LiquidN2O)+('Mitigation drivers'!AG26*DrylotN2O)+('Mitigation drivers'!AG27*SolidStorageN2O)+('Mitigation drivers'!AG28*DailyspreadN2O)+('Mitigation drivers'!AG29*CompostN2O)+('Mitigation drivers'!AG30*ManwithbedN2O)+('Mitigation drivers'!AG31*PMwithoutlitterN2O)+('Mitigation drivers'!AG32*PMwithlitterN2O)+('Mitigation drivers'!AG34*DigesterN2OEF))/100</f>
        <v>2.9000000000000002E-3</v>
      </c>
      <c r="AM55" s="26">
        <f>(('Mitigation drivers'!AH24*LagoonN2O)+('Mitigation drivers'!AH25*LiquidN2O)+('Mitigation drivers'!AH26*DrylotN2O)+('Mitigation drivers'!AH27*SolidStorageN2O)+('Mitigation drivers'!AH28*DailyspreadN2O)+('Mitigation drivers'!AH29*CompostN2O)+('Mitigation drivers'!AH30*ManwithbedN2O)+('Mitigation drivers'!AH31*PMwithoutlitterN2O)+('Mitigation drivers'!AH32*PMwithlitterN2O)+('Mitigation drivers'!AH34*DigesterN2OEF))/100</f>
        <v>2.9000000000000002E-3</v>
      </c>
      <c r="AN55" s="26">
        <f>(('Mitigation drivers'!AI24*LagoonN2O)+('Mitigation drivers'!AI25*LiquidN2O)+('Mitigation drivers'!AI26*DrylotN2O)+('Mitigation drivers'!AI27*SolidStorageN2O)+('Mitigation drivers'!AI28*DailyspreadN2O)+('Mitigation drivers'!AI29*CompostN2O)+('Mitigation drivers'!AI30*ManwithbedN2O)+('Mitigation drivers'!AI31*PMwithoutlitterN2O)+('Mitigation drivers'!AI32*PMwithlitterN2O)+('Mitigation drivers'!AI34*DigesterN2OEF))/100</f>
        <v>2.9000000000000002E-3</v>
      </c>
      <c r="AO55" s="26">
        <f>(('Mitigation drivers'!AJ24*LagoonN2O)+('Mitigation drivers'!AJ25*LiquidN2O)+('Mitigation drivers'!AJ26*DrylotN2O)+('Mitigation drivers'!AJ27*SolidStorageN2O)+('Mitigation drivers'!AJ28*DailyspreadN2O)+('Mitigation drivers'!AJ29*CompostN2O)+('Mitigation drivers'!AJ30*ManwithbedN2O)+('Mitigation drivers'!AJ31*PMwithoutlitterN2O)+('Mitigation drivers'!AJ32*PMwithlitterN2O)+('Mitigation drivers'!AJ34*DigesterN2OEF))/100</f>
        <v>2.9000000000000002E-3</v>
      </c>
    </row>
    <row r="56" spans="1:41" x14ac:dyDescent="0.25">
      <c r="A56" t="str">
        <f t="shared" si="1"/>
        <v>3A Livestock</v>
      </c>
      <c r="B56" t="str">
        <f t="shared" si="8"/>
        <v>3A2 Manure management (N2O)</v>
      </c>
      <c r="C56" t="str">
        <f>'Activity data'!C7</f>
        <v>3A1aii Other cattle</v>
      </c>
      <c r="D56" t="str">
        <f>'Activity data'!D7</f>
        <v>Non-lactating</v>
      </c>
      <c r="E56" t="str">
        <f t="shared" si="6"/>
        <v>Manure management EF</v>
      </c>
      <c r="F56" t="str">
        <f>F55</f>
        <v>N2O</v>
      </c>
      <c r="G56" t="str">
        <f>G55</f>
        <v>kg N2O-N/kg Nex</v>
      </c>
      <c r="H56" s="26">
        <f>(('Mitigation drivers'!C36*LagoonN2O)+('Mitigation drivers'!C37*LiquidN2O)+('Mitigation drivers'!C38*DrylotN2O)+('Mitigation drivers'!C39*SolidStorageN2O)+('Mitigation drivers'!C40*DailyspreadN2O)+('Mitigation drivers'!C41*CompostN2O)+('Mitigation drivers'!C42*ManwithbedN2O)+('Mitigation drivers'!C43*PMwithoutlitterN2O)+('Mitigation drivers'!C44*PMwithlitterN2O)+('Mitigation drivers'!C46*DigesterN2OEF))/100</f>
        <v>2.9999999999999997E-4</v>
      </c>
      <c r="I56" s="26">
        <f>(('Mitigation drivers'!D36*LagoonN2O)+('Mitigation drivers'!D37*LiquidN2O)+('Mitigation drivers'!D38*DrylotN2O)+('Mitigation drivers'!D39*SolidStorageN2O)+('Mitigation drivers'!D40*DailyspreadN2O)+('Mitigation drivers'!D41*CompostN2O)+('Mitigation drivers'!D42*ManwithbedN2O)+('Mitigation drivers'!D43*PMwithoutlitterN2O)+('Mitigation drivers'!D44*PMwithlitterN2O)+('Mitigation drivers'!D46*DigesterN2OEF))/100</f>
        <v>2.9999999999999997E-4</v>
      </c>
      <c r="J56" s="26">
        <f>(('Mitigation drivers'!E36*LagoonN2O)+('Mitigation drivers'!E37*LiquidN2O)+('Mitigation drivers'!E38*DrylotN2O)+('Mitigation drivers'!E39*SolidStorageN2O)+('Mitigation drivers'!E40*DailyspreadN2O)+('Mitigation drivers'!E41*CompostN2O)+('Mitigation drivers'!E42*ManwithbedN2O)+('Mitigation drivers'!E43*PMwithoutlitterN2O)+('Mitigation drivers'!E44*PMwithlitterN2O)+('Mitigation drivers'!E46*DigesterN2OEF))/100</f>
        <v>2.9999999999999997E-4</v>
      </c>
      <c r="K56" s="26">
        <f>(('Mitigation drivers'!F36*LagoonN2O)+('Mitigation drivers'!F37*LiquidN2O)+('Mitigation drivers'!F38*DrylotN2O)+('Mitigation drivers'!F39*SolidStorageN2O)+('Mitigation drivers'!F40*DailyspreadN2O)+('Mitigation drivers'!F41*CompostN2O)+('Mitigation drivers'!F42*ManwithbedN2O)+('Mitigation drivers'!F43*PMwithoutlitterN2O)+('Mitigation drivers'!F44*PMwithlitterN2O)+('Mitigation drivers'!F46*DigesterN2OEF))/100</f>
        <v>2.9999999999999997E-4</v>
      </c>
      <c r="L56" s="26">
        <f>(('Mitigation drivers'!G36*LagoonN2O)+('Mitigation drivers'!G37*LiquidN2O)+('Mitigation drivers'!G38*DrylotN2O)+('Mitigation drivers'!G39*SolidStorageN2O)+('Mitigation drivers'!G40*DailyspreadN2O)+('Mitigation drivers'!G41*CompostN2O)+('Mitigation drivers'!G42*ManwithbedN2O)+('Mitigation drivers'!G43*PMwithoutlitterN2O)+('Mitigation drivers'!G44*PMwithlitterN2O)+('Mitigation drivers'!G46*DigesterN2OEF))/100</f>
        <v>2.9999999999999997E-4</v>
      </c>
      <c r="M56" s="26">
        <f>(('Mitigation drivers'!H36*LagoonN2O)+('Mitigation drivers'!H37*LiquidN2O)+('Mitigation drivers'!H38*DrylotN2O)+('Mitigation drivers'!H39*SolidStorageN2O)+('Mitigation drivers'!H40*DailyspreadN2O)+('Mitigation drivers'!H41*CompostN2O)+('Mitigation drivers'!H42*ManwithbedN2O)+('Mitigation drivers'!H43*PMwithoutlitterN2O)+('Mitigation drivers'!H44*PMwithlitterN2O)+('Mitigation drivers'!H46*DigesterN2OEF))/100</f>
        <v>2.9999999999999997E-4</v>
      </c>
      <c r="N56" s="26">
        <f>(('Mitigation drivers'!I36*LagoonN2O)+('Mitigation drivers'!I37*LiquidN2O)+('Mitigation drivers'!I38*DrylotN2O)+('Mitigation drivers'!I39*SolidStorageN2O)+('Mitigation drivers'!I40*DailyspreadN2O)+('Mitigation drivers'!I41*CompostN2O)+('Mitigation drivers'!I42*ManwithbedN2O)+('Mitigation drivers'!I43*PMwithoutlitterN2O)+('Mitigation drivers'!I44*PMwithlitterN2O)+('Mitigation drivers'!I46*DigesterN2OEF))/100</f>
        <v>2.9999999999999997E-4</v>
      </c>
      <c r="O56" s="26">
        <f>(('Mitigation drivers'!J36*LagoonN2O)+('Mitigation drivers'!J37*LiquidN2O)+('Mitigation drivers'!J38*DrylotN2O)+('Mitigation drivers'!J39*SolidStorageN2O)+('Mitigation drivers'!J40*DailyspreadN2O)+('Mitigation drivers'!J41*CompostN2O)+('Mitigation drivers'!J42*ManwithbedN2O)+('Mitigation drivers'!J43*PMwithoutlitterN2O)+('Mitigation drivers'!J44*PMwithlitterN2O)+('Mitigation drivers'!J46*DigesterN2OEF))/100</f>
        <v>2.9999999999999997E-4</v>
      </c>
      <c r="P56" s="26">
        <f>(('Mitigation drivers'!K36*LagoonN2O)+('Mitigation drivers'!K37*LiquidN2O)+('Mitigation drivers'!K38*DrylotN2O)+('Mitigation drivers'!K39*SolidStorageN2O)+('Mitigation drivers'!K40*DailyspreadN2O)+('Mitigation drivers'!K41*CompostN2O)+('Mitigation drivers'!K42*ManwithbedN2O)+('Mitigation drivers'!K43*PMwithoutlitterN2O)+('Mitigation drivers'!K44*PMwithlitterN2O)+('Mitigation drivers'!K46*DigesterN2OEF))/100</f>
        <v>2.9999999999999997E-4</v>
      </c>
      <c r="Q56" s="26">
        <f>(('Mitigation drivers'!L36*LagoonN2O)+('Mitigation drivers'!L37*LiquidN2O)+('Mitigation drivers'!L38*DrylotN2O)+('Mitigation drivers'!L39*SolidStorageN2O)+('Mitigation drivers'!L40*DailyspreadN2O)+('Mitigation drivers'!L41*CompostN2O)+('Mitigation drivers'!L42*ManwithbedN2O)+('Mitigation drivers'!L43*PMwithoutlitterN2O)+('Mitigation drivers'!L44*PMwithlitterN2O)+('Mitigation drivers'!L46*DigesterN2OEF))/100</f>
        <v>2.9999999999999997E-4</v>
      </c>
      <c r="R56" s="26">
        <f>(('Mitigation drivers'!M36*LagoonN2O)+('Mitigation drivers'!M37*LiquidN2O)+('Mitigation drivers'!M38*DrylotN2O)+('Mitigation drivers'!M39*SolidStorageN2O)+('Mitigation drivers'!M40*DailyspreadN2O)+('Mitigation drivers'!M41*CompostN2O)+('Mitigation drivers'!M42*ManwithbedN2O)+('Mitigation drivers'!M43*PMwithoutlitterN2O)+('Mitigation drivers'!M44*PMwithlitterN2O)+('Mitigation drivers'!M46*DigesterN2OEF))/100</f>
        <v>2.9999999999999997E-4</v>
      </c>
      <c r="S56" s="26">
        <f>(('Mitigation drivers'!N36*LagoonN2O)+('Mitigation drivers'!N37*LiquidN2O)+('Mitigation drivers'!N38*DrylotN2O)+('Mitigation drivers'!N39*SolidStorageN2O)+('Mitigation drivers'!N40*DailyspreadN2O)+('Mitigation drivers'!N41*CompostN2O)+('Mitigation drivers'!N42*ManwithbedN2O)+('Mitigation drivers'!N43*PMwithoutlitterN2O)+('Mitigation drivers'!N44*PMwithlitterN2O)+('Mitigation drivers'!N46*DigesterN2OEF))/100</f>
        <v>2.9999999999999997E-4</v>
      </c>
      <c r="T56" s="26">
        <f>(('Mitigation drivers'!O36*LagoonN2O)+('Mitigation drivers'!O37*LiquidN2O)+('Mitigation drivers'!O38*DrylotN2O)+('Mitigation drivers'!O39*SolidStorageN2O)+('Mitigation drivers'!O40*DailyspreadN2O)+('Mitigation drivers'!O41*CompostN2O)+('Mitigation drivers'!O42*ManwithbedN2O)+('Mitigation drivers'!O43*PMwithoutlitterN2O)+('Mitigation drivers'!O44*PMwithlitterN2O)+('Mitigation drivers'!O46*DigesterN2OEF))/100</f>
        <v>2.9999999999999997E-4</v>
      </c>
      <c r="U56" s="26">
        <f>(('Mitigation drivers'!P36*LagoonN2O)+('Mitigation drivers'!P37*LiquidN2O)+('Mitigation drivers'!P38*DrylotN2O)+('Mitigation drivers'!P39*SolidStorageN2O)+('Mitigation drivers'!P40*DailyspreadN2O)+('Mitigation drivers'!P41*CompostN2O)+('Mitigation drivers'!P42*ManwithbedN2O)+('Mitigation drivers'!P43*PMwithoutlitterN2O)+('Mitigation drivers'!P44*PMwithlitterN2O)+('Mitigation drivers'!P46*DigesterN2OEF))/100</f>
        <v>2.9999999999999997E-4</v>
      </c>
      <c r="V56" s="26">
        <f>(('Mitigation drivers'!Q36*LagoonN2O)+('Mitigation drivers'!Q37*LiquidN2O)+('Mitigation drivers'!Q38*DrylotN2O)+('Mitigation drivers'!Q39*SolidStorageN2O)+('Mitigation drivers'!Q40*DailyspreadN2O)+('Mitigation drivers'!Q41*CompostN2O)+('Mitigation drivers'!Q42*ManwithbedN2O)+('Mitigation drivers'!Q43*PMwithoutlitterN2O)+('Mitigation drivers'!Q44*PMwithlitterN2O)+('Mitigation drivers'!Q46*DigesterN2OEF))/100</f>
        <v>2.9999999999999997E-4</v>
      </c>
      <c r="W56" s="26">
        <f>(('Mitigation drivers'!R36*LagoonN2O)+('Mitigation drivers'!R37*LiquidN2O)+('Mitigation drivers'!R38*DrylotN2O)+('Mitigation drivers'!R39*SolidStorageN2O)+('Mitigation drivers'!R40*DailyspreadN2O)+('Mitigation drivers'!R41*CompostN2O)+('Mitigation drivers'!R42*ManwithbedN2O)+('Mitigation drivers'!R43*PMwithoutlitterN2O)+('Mitigation drivers'!R44*PMwithlitterN2O)+('Mitigation drivers'!R46*DigesterN2OEF))/100</f>
        <v>2.9999999999999997E-4</v>
      </c>
      <c r="X56" s="26">
        <f>(('Mitigation drivers'!S36*LagoonN2O)+('Mitigation drivers'!S37*LiquidN2O)+('Mitigation drivers'!S38*DrylotN2O)+('Mitigation drivers'!S39*SolidStorageN2O)+('Mitigation drivers'!S40*DailyspreadN2O)+('Mitigation drivers'!S41*CompostN2O)+('Mitigation drivers'!S42*ManwithbedN2O)+('Mitigation drivers'!S43*PMwithoutlitterN2O)+('Mitigation drivers'!S44*PMwithlitterN2O)+('Mitigation drivers'!S46*DigesterN2OEF))/100</f>
        <v>2.9999999999999997E-4</v>
      </c>
      <c r="Y56" s="26">
        <f>(('Mitigation drivers'!T36*LagoonN2O)+('Mitigation drivers'!T37*LiquidN2O)+('Mitigation drivers'!T38*DrylotN2O)+('Mitigation drivers'!T39*SolidStorageN2O)+('Mitigation drivers'!T40*DailyspreadN2O)+('Mitigation drivers'!T41*CompostN2O)+('Mitigation drivers'!T42*ManwithbedN2O)+('Mitigation drivers'!T43*PMwithoutlitterN2O)+('Mitigation drivers'!T44*PMwithlitterN2O)+('Mitigation drivers'!T46*DigesterN2OEF))/100</f>
        <v>2.9999999999999997E-4</v>
      </c>
      <c r="Z56" s="26">
        <f>(('Mitigation drivers'!U36*LagoonN2O)+('Mitigation drivers'!U37*LiquidN2O)+('Mitigation drivers'!U38*DrylotN2O)+('Mitigation drivers'!U39*SolidStorageN2O)+('Mitigation drivers'!U40*DailyspreadN2O)+('Mitigation drivers'!U41*CompostN2O)+('Mitigation drivers'!U42*ManwithbedN2O)+('Mitigation drivers'!U43*PMwithoutlitterN2O)+('Mitigation drivers'!U44*PMwithlitterN2O)+('Mitigation drivers'!U46*DigesterN2OEF))/100</f>
        <v>2.9999999999999997E-4</v>
      </c>
      <c r="AA56" s="26">
        <f>(('Mitigation drivers'!V36*LagoonN2O)+('Mitigation drivers'!V37*LiquidN2O)+('Mitigation drivers'!V38*DrylotN2O)+('Mitigation drivers'!V39*SolidStorageN2O)+('Mitigation drivers'!V40*DailyspreadN2O)+('Mitigation drivers'!V41*CompostN2O)+('Mitigation drivers'!V42*ManwithbedN2O)+('Mitigation drivers'!V43*PMwithoutlitterN2O)+('Mitigation drivers'!V44*PMwithlitterN2O)+('Mitigation drivers'!V46*DigesterN2OEF))/100</f>
        <v>2.9999999999999997E-4</v>
      </c>
      <c r="AB56" s="26">
        <f>(('Mitigation drivers'!W36*LagoonN2O)+('Mitigation drivers'!W37*LiquidN2O)+('Mitigation drivers'!W38*DrylotN2O)+('Mitigation drivers'!W39*SolidStorageN2O)+('Mitigation drivers'!W40*DailyspreadN2O)+('Mitigation drivers'!W41*CompostN2O)+('Mitigation drivers'!W42*ManwithbedN2O)+('Mitigation drivers'!W43*PMwithoutlitterN2O)+('Mitigation drivers'!W44*PMwithlitterN2O)+('Mitigation drivers'!W46*DigesterN2OEF))/100</f>
        <v>2.9999999999999997E-4</v>
      </c>
      <c r="AC56" s="26">
        <f>(('Mitigation drivers'!X36*LagoonN2O)+('Mitigation drivers'!X37*LiquidN2O)+('Mitigation drivers'!X38*DrylotN2O)+('Mitigation drivers'!X39*SolidStorageN2O)+('Mitigation drivers'!X40*DailyspreadN2O)+('Mitigation drivers'!X41*CompostN2O)+('Mitigation drivers'!X42*ManwithbedN2O)+('Mitigation drivers'!X43*PMwithoutlitterN2O)+('Mitigation drivers'!X44*PMwithlitterN2O)+('Mitigation drivers'!X46*DigesterN2OEF))/100</f>
        <v>2.9999999999999997E-4</v>
      </c>
      <c r="AD56" s="26">
        <f>(('Mitigation drivers'!Y36*LagoonN2O)+('Mitigation drivers'!Y37*LiquidN2O)+('Mitigation drivers'!Y38*DrylotN2O)+('Mitigation drivers'!Y39*SolidStorageN2O)+('Mitigation drivers'!Y40*DailyspreadN2O)+('Mitigation drivers'!Y41*CompostN2O)+('Mitigation drivers'!Y42*ManwithbedN2O)+('Mitigation drivers'!Y43*PMwithoutlitterN2O)+('Mitigation drivers'!Y44*PMwithlitterN2O)+('Mitigation drivers'!Y46*DigesterN2OEF))/100</f>
        <v>2.9999999999999997E-4</v>
      </c>
      <c r="AE56" s="26">
        <f>(('Mitigation drivers'!Z36*LagoonN2O)+('Mitigation drivers'!Z37*LiquidN2O)+('Mitigation drivers'!Z38*DrylotN2O)+('Mitigation drivers'!Z39*SolidStorageN2O)+('Mitigation drivers'!Z40*DailyspreadN2O)+('Mitigation drivers'!Z41*CompostN2O)+('Mitigation drivers'!Z42*ManwithbedN2O)+('Mitigation drivers'!Z43*PMwithoutlitterN2O)+('Mitigation drivers'!Z44*PMwithlitterN2O)+('Mitigation drivers'!Z46*DigesterN2OEF))/100</f>
        <v>2.9999999999999997E-4</v>
      </c>
      <c r="AF56" s="26">
        <f>(('Mitigation drivers'!AA36*LagoonN2O)+('Mitigation drivers'!AA37*LiquidN2O)+('Mitigation drivers'!AA38*DrylotN2O)+('Mitigation drivers'!AA39*SolidStorageN2O)+('Mitigation drivers'!AA40*DailyspreadN2O)+('Mitigation drivers'!AA41*CompostN2O)+('Mitigation drivers'!AA42*ManwithbedN2O)+('Mitigation drivers'!AA43*PMwithoutlitterN2O)+('Mitigation drivers'!AA44*PMwithlitterN2O)+('Mitigation drivers'!AA46*DigesterN2OEF))/100</f>
        <v>2.9999999999999997E-4</v>
      </c>
      <c r="AG56" s="26">
        <f>(('Mitigation drivers'!AB36*LagoonN2O)+('Mitigation drivers'!AB37*LiquidN2O)+('Mitigation drivers'!AB38*DrylotN2O)+('Mitigation drivers'!AB39*SolidStorageN2O)+('Mitigation drivers'!AB40*DailyspreadN2O)+('Mitigation drivers'!AB41*CompostN2O)+('Mitigation drivers'!AB42*ManwithbedN2O)+('Mitigation drivers'!AB43*PMwithoutlitterN2O)+('Mitigation drivers'!AB44*PMwithlitterN2O)+('Mitigation drivers'!AB46*DigesterN2OEF))/100</f>
        <v>2.9999999999999997E-4</v>
      </c>
      <c r="AH56" s="26">
        <f>(('Mitigation drivers'!AC36*LagoonN2O)+('Mitigation drivers'!AC37*LiquidN2O)+('Mitigation drivers'!AC38*DrylotN2O)+('Mitigation drivers'!AC39*SolidStorageN2O)+('Mitigation drivers'!AC40*DailyspreadN2O)+('Mitigation drivers'!AC41*CompostN2O)+('Mitigation drivers'!AC42*ManwithbedN2O)+('Mitigation drivers'!AC43*PMwithoutlitterN2O)+('Mitigation drivers'!AC44*PMwithlitterN2O)+('Mitigation drivers'!AC46*DigesterN2OEF))/100</f>
        <v>2.9999999999999997E-4</v>
      </c>
      <c r="AI56" s="26">
        <f>(('Mitigation drivers'!AD36*LagoonN2O)+('Mitigation drivers'!AD37*LiquidN2O)+('Mitigation drivers'!AD38*DrylotN2O)+('Mitigation drivers'!AD39*SolidStorageN2O)+('Mitigation drivers'!AD40*DailyspreadN2O)+('Mitigation drivers'!AD41*CompostN2O)+('Mitigation drivers'!AD42*ManwithbedN2O)+('Mitigation drivers'!AD43*PMwithoutlitterN2O)+('Mitigation drivers'!AD44*PMwithlitterN2O)+('Mitigation drivers'!AD46*DigesterN2OEF))/100</f>
        <v>2.9999999999999997E-4</v>
      </c>
      <c r="AJ56" s="26">
        <f>(('Mitigation drivers'!AE36*LagoonN2O)+('Mitigation drivers'!AE37*LiquidN2O)+('Mitigation drivers'!AE38*DrylotN2O)+('Mitigation drivers'!AE39*SolidStorageN2O)+('Mitigation drivers'!AE40*DailyspreadN2O)+('Mitigation drivers'!AE41*CompostN2O)+('Mitigation drivers'!AE42*ManwithbedN2O)+('Mitigation drivers'!AE43*PMwithoutlitterN2O)+('Mitigation drivers'!AE44*PMwithlitterN2O)+('Mitigation drivers'!AE46*DigesterN2OEF))/100</f>
        <v>2.9999999999999997E-4</v>
      </c>
      <c r="AK56" s="26">
        <f>(('Mitigation drivers'!AF36*LagoonN2O)+('Mitigation drivers'!AF37*LiquidN2O)+('Mitigation drivers'!AF38*DrylotN2O)+('Mitigation drivers'!AF39*SolidStorageN2O)+('Mitigation drivers'!AF40*DailyspreadN2O)+('Mitigation drivers'!AF41*CompostN2O)+('Mitigation drivers'!AF42*ManwithbedN2O)+('Mitigation drivers'!AF43*PMwithoutlitterN2O)+('Mitigation drivers'!AF44*PMwithlitterN2O)+('Mitigation drivers'!AF46*DigesterN2OEF))/100</f>
        <v>2.9999999999999997E-4</v>
      </c>
      <c r="AL56" s="26">
        <f>(('Mitigation drivers'!AG36*LagoonN2O)+('Mitigation drivers'!AG37*LiquidN2O)+('Mitigation drivers'!AG38*DrylotN2O)+('Mitigation drivers'!AG39*SolidStorageN2O)+('Mitigation drivers'!AG40*DailyspreadN2O)+('Mitigation drivers'!AG41*CompostN2O)+('Mitigation drivers'!AG42*ManwithbedN2O)+('Mitigation drivers'!AG43*PMwithoutlitterN2O)+('Mitigation drivers'!AG44*PMwithlitterN2O)+('Mitigation drivers'!AG46*DigesterN2OEF))/100</f>
        <v>2.9999999999999997E-4</v>
      </c>
      <c r="AM56" s="26">
        <f>(('Mitigation drivers'!AH36*LagoonN2O)+('Mitigation drivers'!AH37*LiquidN2O)+('Mitigation drivers'!AH38*DrylotN2O)+('Mitigation drivers'!AH39*SolidStorageN2O)+('Mitigation drivers'!AH40*DailyspreadN2O)+('Mitigation drivers'!AH41*CompostN2O)+('Mitigation drivers'!AH42*ManwithbedN2O)+('Mitigation drivers'!AH43*PMwithoutlitterN2O)+('Mitigation drivers'!AH44*PMwithlitterN2O)+('Mitigation drivers'!AH46*DigesterN2OEF))/100</f>
        <v>2.9999999999999997E-4</v>
      </c>
      <c r="AN56" s="26">
        <f>(('Mitigation drivers'!AI36*LagoonN2O)+('Mitigation drivers'!AI37*LiquidN2O)+('Mitigation drivers'!AI38*DrylotN2O)+('Mitigation drivers'!AI39*SolidStorageN2O)+('Mitigation drivers'!AI40*DailyspreadN2O)+('Mitigation drivers'!AI41*CompostN2O)+('Mitigation drivers'!AI42*ManwithbedN2O)+('Mitigation drivers'!AI43*PMwithoutlitterN2O)+('Mitigation drivers'!AI44*PMwithlitterN2O)+('Mitigation drivers'!AI46*DigesterN2OEF))/100</f>
        <v>2.9999999999999997E-4</v>
      </c>
      <c r="AO56" s="26">
        <f>(('Mitigation drivers'!AJ36*LagoonN2O)+('Mitigation drivers'!AJ37*LiquidN2O)+('Mitigation drivers'!AJ38*DrylotN2O)+('Mitigation drivers'!AJ39*SolidStorageN2O)+('Mitigation drivers'!AJ40*DailyspreadN2O)+('Mitigation drivers'!AJ41*CompostN2O)+('Mitigation drivers'!AJ42*ManwithbedN2O)+('Mitigation drivers'!AJ43*PMwithoutlitterN2O)+('Mitigation drivers'!AJ44*PMwithlitterN2O)+('Mitigation drivers'!AJ46*DigesterN2OEF))/100</f>
        <v>2.9999999999999997E-4</v>
      </c>
    </row>
    <row r="57" spans="1:41" x14ac:dyDescent="0.25">
      <c r="A57" t="str">
        <f t="shared" si="1"/>
        <v>3A Livestock</v>
      </c>
      <c r="B57" t="str">
        <f t="shared" si="8"/>
        <v>3A2 Manure management (N2O)</v>
      </c>
      <c r="C57" t="str">
        <f>'Activity data'!C8</f>
        <v>3A1aii Other cattle</v>
      </c>
      <c r="D57" t="str">
        <f>'Activity data'!D8</f>
        <v>Commercial</v>
      </c>
      <c r="E57" t="str">
        <f>E55</f>
        <v>Manure management EF</v>
      </c>
      <c r="F57" t="str">
        <f>F55</f>
        <v>N2O</v>
      </c>
      <c r="G57" t="str">
        <f>G55</f>
        <v>kg N2O-N/kg Nex</v>
      </c>
      <c r="H57" s="26">
        <f>(('Mitigation drivers'!C49*LagoonN2O)+('Mitigation drivers'!C50*LiquidN2O)+('Mitigation drivers'!C51*DrylotN2O)+('Mitigation drivers'!C52*SolidStorageN2O)+('Mitigation drivers'!C53*DailyspreadN2O)+('Mitigation drivers'!C54*CompostN2O)+('Mitigation drivers'!C55*ManwithbedN2O)+('Mitigation drivers'!C56*PMwithoutlitterN2O)+('Mitigation drivers'!C57*PMwithlitterN2O)+('Mitigation drivers'!C59*DigesterN2OEF))/100</f>
        <v>6.4999999999999997E-4</v>
      </c>
      <c r="I57" s="26">
        <f>(('Mitigation drivers'!D49*LagoonN2O)+('Mitigation drivers'!D50*LiquidN2O)+('Mitigation drivers'!D51*DrylotN2O)+('Mitigation drivers'!D52*SolidStorageN2O)+('Mitigation drivers'!D53*DailyspreadN2O)+('Mitigation drivers'!D54*CompostN2O)+('Mitigation drivers'!D55*ManwithbedN2O)+('Mitigation drivers'!D56*PMwithoutlitterN2O)+('Mitigation drivers'!D57*PMwithlitterN2O)+('Mitigation drivers'!D59*DigesterN2OEF))/100</f>
        <v>6.4999999999999997E-4</v>
      </c>
      <c r="J57" s="26">
        <f>(('Mitigation drivers'!E49*LagoonN2O)+('Mitigation drivers'!E50*LiquidN2O)+('Mitigation drivers'!E51*DrylotN2O)+('Mitigation drivers'!E52*SolidStorageN2O)+('Mitigation drivers'!E53*DailyspreadN2O)+('Mitigation drivers'!E54*CompostN2O)+('Mitigation drivers'!E55*ManwithbedN2O)+('Mitigation drivers'!E56*PMwithoutlitterN2O)+('Mitigation drivers'!E57*PMwithlitterN2O)+('Mitigation drivers'!E59*DigesterN2OEF))/100</f>
        <v>6.4999999999999997E-4</v>
      </c>
      <c r="K57" s="26">
        <f>(('Mitigation drivers'!F49*LagoonN2O)+('Mitigation drivers'!F50*LiquidN2O)+('Mitigation drivers'!F51*DrylotN2O)+('Mitigation drivers'!F52*SolidStorageN2O)+('Mitigation drivers'!F53*DailyspreadN2O)+('Mitigation drivers'!F54*CompostN2O)+('Mitigation drivers'!F55*ManwithbedN2O)+('Mitigation drivers'!F56*PMwithoutlitterN2O)+('Mitigation drivers'!F57*PMwithlitterN2O)+('Mitigation drivers'!F59*DigesterN2OEF))/100</f>
        <v>6.4999999999999997E-4</v>
      </c>
      <c r="L57" s="26">
        <f>(('Mitigation drivers'!G49*LagoonN2O)+('Mitigation drivers'!G50*LiquidN2O)+('Mitigation drivers'!G51*DrylotN2O)+('Mitigation drivers'!G52*SolidStorageN2O)+('Mitigation drivers'!G53*DailyspreadN2O)+('Mitigation drivers'!G54*CompostN2O)+('Mitigation drivers'!G55*ManwithbedN2O)+('Mitigation drivers'!G56*PMwithoutlitterN2O)+('Mitigation drivers'!G57*PMwithlitterN2O)+('Mitigation drivers'!G59*DigesterN2OEF))/100</f>
        <v>6.4999999999999997E-4</v>
      </c>
      <c r="M57" s="26">
        <f>(('Mitigation drivers'!H49*LagoonN2O)+('Mitigation drivers'!H50*LiquidN2O)+('Mitigation drivers'!H51*DrylotN2O)+('Mitigation drivers'!H52*SolidStorageN2O)+('Mitigation drivers'!H53*DailyspreadN2O)+('Mitigation drivers'!H54*CompostN2O)+('Mitigation drivers'!H55*ManwithbedN2O)+('Mitigation drivers'!H56*PMwithoutlitterN2O)+('Mitigation drivers'!H57*PMwithlitterN2O)+('Mitigation drivers'!H59*DigesterN2OEF))/100</f>
        <v>6.4999999999999997E-4</v>
      </c>
      <c r="N57" s="26">
        <f>(('Mitigation drivers'!I49*LagoonN2O)+('Mitigation drivers'!I50*LiquidN2O)+('Mitigation drivers'!I51*DrylotN2O)+('Mitigation drivers'!I52*SolidStorageN2O)+('Mitigation drivers'!I53*DailyspreadN2O)+('Mitigation drivers'!I54*CompostN2O)+('Mitigation drivers'!I55*ManwithbedN2O)+('Mitigation drivers'!I56*PMwithoutlitterN2O)+('Mitigation drivers'!I57*PMwithlitterN2O)+('Mitigation drivers'!I59*DigesterN2OEF))/100</f>
        <v>6.4999999999999997E-4</v>
      </c>
      <c r="O57" s="26">
        <f>(('Mitigation drivers'!J49*LagoonN2O)+('Mitigation drivers'!J50*LiquidN2O)+('Mitigation drivers'!J51*DrylotN2O)+('Mitigation drivers'!J52*SolidStorageN2O)+('Mitigation drivers'!J53*DailyspreadN2O)+('Mitigation drivers'!J54*CompostN2O)+('Mitigation drivers'!J55*ManwithbedN2O)+('Mitigation drivers'!J56*PMwithoutlitterN2O)+('Mitigation drivers'!J57*PMwithlitterN2O)+('Mitigation drivers'!J59*DigesterN2OEF))/100</f>
        <v>6.4999999999999997E-4</v>
      </c>
      <c r="P57" s="26">
        <f>(('Mitigation drivers'!K49*LagoonN2O)+('Mitigation drivers'!K50*LiquidN2O)+('Mitigation drivers'!K51*DrylotN2O)+('Mitigation drivers'!K52*SolidStorageN2O)+('Mitigation drivers'!K53*DailyspreadN2O)+('Mitigation drivers'!K54*CompostN2O)+('Mitigation drivers'!K55*ManwithbedN2O)+('Mitigation drivers'!K56*PMwithoutlitterN2O)+('Mitigation drivers'!K57*PMwithlitterN2O)+('Mitigation drivers'!K59*DigesterN2OEF))/100</f>
        <v>6.4999999999999997E-4</v>
      </c>
      <c r="Q57" s="26">
        <f>(('Mitigation drivers'!L49*LagoonN2O)+('Mitigation drivers'!L50*LiquidN2O)+('Mitigation drivers'!L51*DrylotN2O)+('Mitigation drivers'!L52*SolidStorageN2O)+('Mitigation drivers'!L53*DailyspreadN2O)+('Mitigation drivers'!L54*CompostN2O)+('Mitigation drivers'!L55*ManwithbedN2O)+('Mitigation drivers'!L56*PMwithoutlitterN2O)+('Mitigation drivers'!L57*PMwithlitterN2O)+('Mitigation drivers'!L59*DigesterN2OEF))/100</f>
        <v>6.4999999999999997E-4</v>
      </c>
      <c r="R57" s="26">
        <f>(('Mitigation drivers'!M49*LagoonN2O)+('Mitigation drivers'!M50*LiquidN2O)+('Mitigation drivers'!M51*DrylotN2O)+('Mitigation drivers'!M52*SolidStorageN2O)+('Mitigation drivers'!M53*DailyspreadN2O)+('Mitigation drivers'!M54*CompostN2O)+('Mitigation drivers'!M55*ManwithbedN2O)+('Mitigation drivers'!M56*PMwithoutlitterN2O)+('Mitigation drivers'!M57*PMwithlitterN2O)+('Mitigation drivers'!M59*DigesterN2OEF))/100</f>
        <v>6.4999999999999997E-4</v>
      </c>
      <c r="S57" s="26">
        <f>(('Mitigation drivers'!N49*LagoonN2O)+('Mitigation drivers'!N50*LiquidN2O)+('Mitigation drivers'!N51*DrylotN2O)+('Mitigation drivers'!N52*SolidStorageN2O)+('Mitigation drivers'!N53*DailyspreadN2O)+('Mitigation drivers'!N54*CompostN2O)+('Mitigation drivers'!N55*ManwithbedN2O)+('Mitigation drivers'!N56*PMwithoutlitterN2O)+('Mitigation drivers'!N57*PMwithlitterN2O)+('Mitigation drivers'!N59*DigesterN2OEF))/100</f>
        <v>6.4999999999999997E-4</v>
      </c>
      <c r="T57" s="26">
        <f>(('Mitigation drivers'!O49*LagoonN2O)+('Mitigation drivers'!O50*LiquidN2O)+('Mitigation drivers'!O51*DrylotN2O)+('Mitigation drivers'!O52*SolidStorageN2O)+('Mitigation drivers'!O53*DailyspreadN2O)+('Mitigation drivers'!O54*CompostN2O)+('Mitigation drivers'!O55*ManwithbedN2O)+('Mitigation drivers'!O56*PMwithoutlitterN2O)+('Mitigation drivers'!O57*PMwithlitterN2O)+('Mitigation drivers'!O59*DigesterN2OEF))/100</f>
        <v>6.4999999999999997E-4</v>
      </c>
      <c r="U57" s="26">
        <f>(('Mitigation drivers'!P49*LagoonN2O)+('Mitigation drivers'!P50*LiquidN2O)+('Mitigation drivers'!P51*DrylotN2O)+('Mitigation drivers'!P52*SolidStorageN2O)+('Mitigation drivers'!P53*DailyspreadN2O)+('Mitigation drivers'!P54*CompostN2O)+('Mitigation drivers'!P55*ManwithbedN2O)+('Mitigation drivers'!P56*PMwithoutlitterN2O)+('Mitigation drivers'!P57*PMwithlitterN2O)+('Mitigation drivers'!P59*DigesterN2OEF))/100</f>
        <v>6.4999999999999997E-4</v>
      </c>
      <c r="V57" s="26">
        <f>(('Mitigation drivers'!Q49*LagoonN2O)+('Mitigation drivers'!Q50*LiquidN2O)+('Mitigation drivers'!Q51*DrylotN2O)+('Mitigation drivers'!Q52*SolidStorageN2O)+('Mitigation drivers'!Q53*DailyspreadN2O)+('Mitigation drivers'!Q54*CompostN2O)+('Mitigation drivers'!Q55*ManwithbedN2O)+('Mitigation drivers'!Q56*PMwithoutlitterN2O)+('Mitigation drivers'!Q57*PMwithlitterN2O)+('Mitigation drivers'!Q59*DigesterN2OEF))/100</f>
        <v>6.4999999999999997E-4</v>
      </c>
      <c r="W57" s="26">
        <f>(('Mitigation drivers'!R49*LagoonN2O)+('Mitigation drivers'!R50*LiquidN2O)+('Mitigation drivers'!R51*DrylotN2O)+('Mitigation drivers'!R52*SolidStorageN2O)+('Mitigation drivers'!R53*DailyspreadN2O)+('Mitigation drivers'!R54*CompostN2O)+('Mitigation drivers'!R55*ManwithbedN2O)+('Mitigation drivers'!R56*PMwithoutlitterN2O)+('Mitigation drivers'!R57*PMwithlitterN2O)+('Mitigation drivers'!R59*DigesterN2OEF))/100</f>
        <v>6.4999999999999997E-4</v>
      </c>
      <c r="X57" s="26">
        <f>(('Mitigation drivers'!S49*LagoonN2O)+('Mitigation drivers'!S50*LiquidN2O)+('Mitigation drivers'!S51*DrylotN2O)+('Mitigation drivers'!S52*SolidStorageN2O)+('Mitigation drivers'!S53*DailyspreadN2O)+('Mitigation drivers'!S54*CompostN2O)+('Mitigation drivers'!S55*ManwithbedN2O)+('Mitigation drivers'!S56*PMwithoutlitterN2O)+('Mitigation drivers'!S57*PMwithlitterN2O)+('Mitigation drivers'!S59*DigesterN2OEF))/100</f>
        <v>6.4999999999999997E-4</v>
      </c>
      <c r="Y57" s="26">
        <f>(('Mitigation drivers'!T49*LagoonN2O)+('Mitigation drivers'!T50*LiquidN2O)+('Mitigation drivers'!T51*DrylotN2O)+('Mitigation drivers'!T52*SolidStorageN2O)+('Mitigation drivers'!T53*DailyspreadN2O)+('Mitigation drivers'!T54*CompostN2O)+('Mitigation drivers'!T55*ManwithbedN2O)+('Mitigation drivers'!T56*PMwithoutlitterN2O)+('Mitigation drivers'!T57*PMwithlitterN2O)+('Mitigation drivers'!T59*DigesterN2OEF))/100</f>
        <v>6.4999999999999997E-4</v>
      </c>
      <c r="Z57" s="26">
        <f>(('Mitigation drivers'!U49*LagoonN2O)+('Mitigation drivers'!U50*LiquidN2O)+('Mitigation drivers'!U51*DrylotN2O)+('Mitigation drivers'!U52*SolidStorageN2O)+('Mitigation drivers'!U53*DailyspreadN2O)+('Mitigation drivers'!U54*CompostN2O)+('Mitigation drivers'!U55*ManwithbedN2O)+('Mitigation drivers'!U56*PMwithoutlitterN2O)+('Mitigation drivers'!U57*PMwithlitterN2O)+('Mitigation drivers'!U59*DigesterN2OEF))/100</f>
        <v>6.4999999999999997E-4</v>
      </c>
      <c r="AA57" s="26">
        <f>(('Mitigation drivers'!V49*LagoonN2O)+('Mitigation drivers'!V50*LiquidN2O)+('Mitigation drivers'!V51*DrylotN2O)+('Mitigation drivers'!V52*SolidStorageN2O)+('Mitigation drivers'!V53*DailyspreadN2O)+('Mitigation drivers'!V54*CompostN2O)+('Mitigation drivers'!V55*ManwithbedN2O)+('Mitigation drivers'!V56*PMwithoutlitterN2O)+('Mitigation drivers'!V57*PMwithlitterN2O)+('Mitigation drivers'!V59*DigesterN2OEF))/100</f>
        <v>6.4999999999999997E-4</v>
      </c>
      <c r="AB57" s="26">
        <f>(('Mitigation drivers'!W49*LagoonN2O)+('Mitigation drivers'!W50*LiquidN2O)+('Mitigation drivers'!W51*DrylotN2O)+('Mitigation drivers'!W52*SolidStorageN2O)+('Mitigation drivers'!W53*DailyspreadN2O)+('Mitigation drivers'!W54*CompostN2O)+('Mitigation drivers'!W55*ManwithbedN2O)+('Mitigation drivers'!W56*PMwithoutlitterN2O)+('Mitigation drivers'!W57*PMwithlitterN2O)+('Mitigation drivers'!W59*DigesterN2OEF))/100</f>
        <v>6.4999999999999997E-4</v>
      </c>
      <c r="AC57" s="26">
        <f>(('Mitigation drivers'!X49*LagoonN2O)+('Mitigation drivers'!X50*LiquidN2O)+('Mitigation drivers'!X51*DrylotN2O)+('Mitigation drivers'!X52*SolidStorageN2O)+('Mitigation drivers'!X53*DailyspreadN2O)+('Mitigation drivers'!X54*CompostN2O)+('Mitigation drivers'!X55*ManwithbedN2O)+('Mitigation drivers'!X56*PMwithoutlitterN2O)+('Mitigation drivers'!X57*PMwithlitterN2O)+('Mitigation drivers'!X59*DigesterN2OEF))/100</f>
        <v>6.4999999999999997E-4</v>
      </c>
      <c r="AD57" s="26">
        <f>(('Mitigation drivers'!Y49*LagoonN2O)+('Mitigation drivers'!Y50*LiquidN2O)+('Mitigation drivers'!Y51*DrylotN2O)+('Mitigation drivers'!Y52*SolidStorageN2O)+('Mitigation drivers'!Y53*DailyspreadN2O)+('Mitigation drivers'!Y54*CompostN2O)+('Mitigation drivers'!Y55*ManwithbedN2O)+('Mitigation drivers'!Y56*PMwithoutlitterN2O)+('Mitigation drivers'!Y57*PMwithlitterN2O)+('Mitigation drivers'!Y59*DigesterN2OEF))/100</f>
        <v>6.4999999999999997E-4</v>
      </c>
      <c r="AE57" s="26">
        <f>(('Mitigation drivers'!Z49*LagoonN2O)+('Mitigation drivers'!Z50*LiquidN2O)+('Mitigation drivers'!Z51*DrylotN2O)+('Mitigation drivers'!Z52*SolidStorageN2O)+('Mitigation drivers'!Z53*DailyspreadN2O)+('Mitigation drivers'!Z54*CompostN2O)+('Mitigation drivers'!Z55*ManwithbedN2O)+('Mitigation drivers'!Z56*PMwithoutlitterN2O)+('Mitigation drivers'!Z57*PMwithlitterN2O)+('Mitigation drivers'!Z59*DigesterN2OEF))/100</f>
        <v>6.4999999999999997E-4</v>
      </c>
      <c r="AF57" s="26">
        <f>(('Mitigation drivers'!AA49*LagoonN2O)+('Mitigation drivers'!AA50*LiquidN2O)+('Mitigation drivers'!AA51*DrylotN2O)+('Mitigation drivers'!AA52*SolidStorageN2O)+('Mitigation drivers'!AA53*DailyspreadN2O)+('Mitigation drivers'!AA54*CompostN2O)+('Mitigation drivers'!AA55*ManwithbedN2O)+('Mitigation drivers'!AA56*PMwithoutlitterN2O)+('Mitigation drivers'!AA57*PMwithlitterN2O)+('Mitigation drivers'!AA59*DigesterN2OEF))/100</f>
        <v>6.4999999999999997E-4</v>
      </c>
      <c r="AG57" s="26">
        <f>(('Mitigation drivers'!AB49*LagoonN2O)+('Mitigation drivers'!AB50*LiquidN2O)+('Mitigation drivers'!AB51*DrylotN2O)+('Mitigation drivers'!AB52*SolidStorageN2O)+('Mitigation drivers'!AB53*DailyspreadN2O)+('Mitigation drivers'!AB54*CompostN2O)+('Mitigation drivers'!AB55*ManwithbedN2O)+('Mitigation drivers'!AB56*PMwithoutlitterN2O)+('Mitigation drivers'!AB57*PMwithlitterN2O)+('Mitigation drivers'!AB59*DigesterN2OEF))/100</f>
        <v>6.4999999999999997E-4</v>
      </c>
      <c r="AH57" s="26">
        <f>(('Mitigation drivers'!AC49*LagoonN2O)+('Mitigation drivers'!AC50*LiquidN2O)+('Mitigation drivers'!AC51*DrylotN2O)+('Mitigation drivers'!AC52*SolidStorageN2O)+('Mitigation drivers'!AC53*DailyspreadN2O)+('Mitigation drivers'!AC54*CompostN2O)+('Mitigation drivers'!AC55*ManwithbedN2O)+('Mitigation drivers'!AC56*PMwithoutlitterN2O)+('Mitigation drivers'!AC57*PMwithlitterN2O)+('Mitigation drivers'!AC59*DigesterN2OEF))/100</f>
        <v>6.4999999999999997E-4</v>
      </c>
      <c r="AI57" s="26">
        <f>(('Mitigation drivers'!AD49*LagoonN2O)+('Mitigation drivers'!AD50*LiquidN2O)+('Mitigation drivers'!AD51*DrylotN2O)+('Mitigation drivers'!AD52*SolidStorageN2O)+('Mitigation drivers'!AD53*DailyspreadN2O)+('Mitigation drivers'!AD54*CompostN2O)+('Mitigation drivers'!AD55*ManwithbedN2O)+('Mitigation drivers'!AD56*PMwithoutlitterN2O)+('Mitigation drivers'!AD57*PMwithlitterN2O)+('Mitigation drivers'!AD59*DigesterN2OEF))/100</f>
        <v>6.4999999999999997E-4</v>
      </c>
      <c r="AJ57" s="26">
        <f>(('Mitigation drivers'!AE49*LagoonN2O)+('Mitigation drivers'!AE50*LiquidN2O)+('Mitigation drivers'!AE51*DrylotN2O)+('Mitigation drivers'!AE52*SolidStorageN2O)+('Mitigation drivers'!AE53*DailyspreadN2O)+('Mitigation drivers'!AE54*CompostN2O)+('Mitigation drivers'!AE55*ManwithbedN2O)+('Mitigation drivers'!AE56*PMwithoutlitterN2O)+('Mitigation drivers'!AE57*PMwithlitterN2O)+('Mitigation drivers'!AE59*DigesterN2OEF))/100</f>
        <v>6.4999999999999997E-4</v>
      </c>
      <c r="AK57" s="26">
        <f>(('Mitigation drivers'!AF49*LagoonN2O)+('Mitigation drivers'!AF50*LiquidN2O)+('Mitigation drivers'!AF51*DrylotN2O)+('Mitigation drivers'!AF52*SolidStorageN2O)+('Mitigation drivers'!AF53*DailyspreadN2O)+('Mitigation drivers'!AF54*CompostN2O)+('Mitigation drivers'!AF55*ManwithbedN2O)+('Mitigation drivers'!AF56*PMwithoutlitterN2O)+('Mitigation drivers'!AF57*PMwithlitterN2O)+('Mitigation drivers'!AF59*DigesterN2OEF))/100</f>
        <v>6.4999999999999997E-4</v>
      </c>
      <c r="AL57" s="26">
        <f>(('Mitigation drivers'!AG49*LagoonN2O)+('Mitigation drivers'!AG50*LiquidN2O)+('Mitigation drivers'!AG51*DrylotN2O)+('Mitigation drivers'!AG52*SolidStorageN2O)+('Mitigation drivers'!AG53*DailyspreadN2O)+('Mitigation drivers'!AG54*CompostN2O)+('Mitigation drivers'!AG55*ManwithbedN2O)+('Mitigation drivers'!AG56*PMwithoutlitterN2O)+('Mitigation drivers'!AG57*PMwithlitterN2O)+('Mitigation drivers'!AG59*DigesterN2OEF))/100</f>
        <v>6.4999999999999997E-4</v>
      </c>
      <c r="AM57" s="26">
        <f>(('Mitigation drivers'!AH49*LagoonN2O)+('Mitigation drivers'!AH50*LiquidN2O)+('Mitigation drivers'!AH51*DrylotN2O)+('Mitigation drivers'!AH52*SolidStorageN2O)+('Mitigation drivers'!AH53*DailyspreadN2O)+('Mitigation drivers'!AH54*CompostN2O)+('Mitigation drivers'!AH55*ManwithbedN2O)+('Mitigation drivers'!AH56*PMwithoutlitterN2O)+('Mitigation drivers'!AH57*PMwithlitterN2O)+('Mitigation drivers'!AH59*DigesterN2OEF))/100</f>
        <v>6.4999999999999997E-4</v>
      </c>
      <c r="AN57" s="26">
        <f>(('Mitigation drivers'!AI49*LagoonN2O)+('Mitigation drivers'!AI50*LiquidN2O)+('Mitigation drivers'!AI51*DrylotN2O)+('Mitigation drivers'!AI52*SolidStorageN2O)+('Mitigation drivers'!AI53*DailyspreadN2O)+('Mitigation drivers'!AI54*CompostN2O)+('Mitigation drivers'!AI55*ManwithbedN2O)+('Mitigation drivers'!AI56*PMwithoutlitterN2O)+('Mitigation drivers'!AI57*PMwithlitterN2O)+('Mitigation drivers'!AI59*DigesterN2OEF))/100</f>
        <v>6.4999999999999997E-4</v>
      </c>
      <c r="AO57" s="26">
        <f>(('Mitigation drivers'!AJ49*LagoonN2O)+('Mitigation drivers'!AJ50*LiquidN2O)+('Mitigation drivers'!AJ51*DrylotN2O)+('Mitigation drivers'!AJ52*SolidStorageN2O)+('Mitigation drivers'!AJ53*DailyspreadN2O)+('Mitigation drivers'!AJ54*CompostN2O)+('Mitigation drivers'!AJ55*ManwithbedN2O)+('Mitigation drivers'!AJ56*PMwithoutlitterN2O)+('Mitigation drivers'!AJ57*PMwithlitterN2O)+('Mitigation drivers'!AJ59*DigesterN2OEF))/100</f>
        <v>6.4999999999999997E-4</v>
      </c>
    </row>
    <row r="58" spans="1:41" x14ac:dyDescent="0.25">
      <c r="A58" t="str">
        <f t="shared" si="1"/>
        <v>3A Livestock</v>
      </c>
      <c r="B58" t="str">
        <f t="shared" si="8"/>
        <v>3A2 Manure management (N2O)</v>
      </c>
      <c r="C58" t="str">
        <f>'Activity data'!C9</f>
        <v>3A1aii Other cattle</v>
      </c>
      <c r="D58" t="str">
        <f>'Activity data'!D9</f>
        <v>Subsistence</v>
      </c>
      <c r="E58" t="str">
        <f t="shared" ref="E58:E71" si="27">E57</f>
        <v>Manure management EF</v>
      </c>
      <c r="F58" t="str">
        <f t="shared" ref="F58:F71" si="28">F57</f>
        <v>N2O</v>
      </c>
      <c r="G58" t="str">
        <f t="shared" ref="G58:G71" si="29">G57</f>
        <v>kg N2O-N/kg Nex</v>
      </c>
      <c r="H58" s="26">
        <f>(('Mitigation drivers'!C61*LagoonN2O)+('Mitigation drivers'!C62*LiquidN2O)+('Mitigation drivers'!C63*DrylotN2O)+('Mitigation drivers'!C64*SolidStorageN2O)+('Mitigation drivers'!C65*DailyspreadN2O)+('Mitigation drivers'!C66*CompostN2O)+('Mitigation drivers'!C67*ManwithbedN2O)+('Mitigation drivers'!C68*PMwithoutlitterN2O)+('Mitigation drivers'!C69*PMwithlitterN2O)+('Mitigation drivers'!C71*DigesterN2OEF))/100</f>
        <v>1.5000000000000002E-3</v>
      </c>
      <c r="I58" s="26">
        <f>(('Mitigation drivers'!D61*LagoonN2O)+('Mitigation drivers'!D62*LiquidN2O)+('Mitigation drivers'!D63*DrylotN2O)+('Mitigation drivers'!D64*SolidStorageN2O)+('Mitigation drivers'!D65*DailyspreadN2O)+('Mitigation drivers'!D66*CompostN2O)+('Mitigation drivers'!D67*ManwithbedN2O)+('Mitigation drivers'!D68*PMwithoutlitterN2O)+('Mitigation drivers'!D69*PMwithlitterN2O)+('Mitigation drivers'!D71*DigesterN2OEF))/100</f>
        <v>1.5000000000000002E-3</v>
      </c>
      <c r="J58" s="26">
        <f>(('Mitigation drivers'!E61*LagoonN2O)+('Mitigation drivers'!E62*LiquidN2O)+('Mitigation drivers'!E63*DrylotN2O)+('Mitigation drivers'!E64*SolidStorageN2O)+('Mitigation drivers'!E65*DailyspreadN2O)+('Mitigation drivers'!E66*CompostN2O)+('Mitigation drivers'!E67*ManwithbedN2O)+('Mitigation drivers'!E68*PMwithoutlitterN2O)+('Mitigation drivers'!E69*PMwithlitterN2O)+('Mitigation drivers'!E71*DigesterN2OEF))/100</f>
        <v>1.5000000000000002E-3</v>
      </c>
      <c r="K58" s="26">
        <f>(('Mitigation drivers'!F61*LagoonN2O)+('Mitigation drivers'!F62*LiquidN2O)+('Mitigation drivers'!F63*DrylotN2O)+('Mitigation drivers'!F64*SolidStorageN2O)+('Mitigation drivers'!F65*DailyspreadN2O)+('Mitigation drivers'!F66*CompostN2O)+('Mitigation drivers'!F67*ManwithbedN2O)+('Mitigation drivers'!F68*PMwithoutlitterN2O)+('Mitigation drivers'!F69*PMwithlitterN2O)+('Mitigation drivers'!F71*DigesterN2OEF))/100</f>
        <v>1.5000000000000002E-3</v>
      </c>
      <c r="L58" s="26">
        <f>(('Mitigation drivers'!G61*LagoonN2O)+('Mitigation drivers'!G62*LiquidN2O)+('Mitigation drivers'!G63*DrylotN2O)+('Mitigation drivers'!G64*SolidStorageN2O)+('Mitigation drivers'!G65*DailyspreadN2O)+('Mitigation drivers'!G66*CompostN2O)+('Mitigation drivers'!G67*ManwithbedN2O)+('Mitigation drivers'!G68*PMwithoutlitterN2O)+('Mitigation drivers'!G69*PMwithlitterN2O)+('Mitigation drivers'!G71*DigesterN2OEF))/100</f>
        <v>1.5000000000000002E-3</v>
      </c>
      <c r="M58" s="26">
        <f>(('Mitigation drivers'!H61*LagoonN2O)+('Mitigation drivers'!H62*LiquidN2O)+('Mitigation drivers'!H63*DrylotN2O)+('Mitigation drivers'!H64*SolidStorageN2O)+('Mitigation drivers'!H65*DailyspreadN2O)+('Mitigation drivers'!H66*CompostN2O)+('Mitigation drivers'!H67*ManwithbedN2O)+('Mitigation drivers'!H68*PMwithoutlitterN2O)+('Mitigation drivers'!H69*PMwithlitterN2O)+('Mitigation drivers'!H71*DigesterN2OEF))/100</f>
        <v>1.5000000000000002E-3</v>
      </c>
      <c r="N58" s="26">
        <f>(('Mitigation drivers'!I61*LagoonN2O)+('Mitigation drivers'!I62*LiquidN2O)+('Mitigation drivers'!I63*DrylotN2O)+('Mitigation drivers'!I64*SolidStorageN2O)+('Mitigation drivers'!I65*DailyspreadN2O)+('Mitigation drivers'!I66*CompostN2O)+('Mitigation drivers'!I67*ManwithbedN2O)+('Mitigation drivers'!I68*PMwithoutlitterN2O)+('Mitigation drivers'!I69*PMwithlitterN2O)+('Mitigation drivers'!I71*DigesterN2OEF))/100</f>
        <v>1.5000000000000002E-3</v>
      </c>
      <c r="O58" s="26">
        <f>(('Mitigation drivers'!J61*LagoonN2O)+('Mitigation drivers'!J62*LiquidN2O)+('Mitigation drivers'!J63*DrylotN2O)+('Mitigation drivers'!J64*SolidStorageN2O)+('Mitigation drivers'!J65*DailyspreadN2O)+('Mitigation drivers'!J66*CompostN2O)+('Mitigation drivers'!J67*ManwithbedN2O)+('Mitigation drivers'!J68*PMwithoutlitterN2O)+('Mitigation drivers'!J69*PMwithlitterN2O)+('Mitigation drivers'!J71*DigesterN2OEF))/100</f>
        <v>1.5000000000000002E-3</v>
      </c>
      <c r="P58" s="26">
        <f>(('Mitigation drivers'!K61*LagoonN2O)+('Mitigation drivers'!K62*LiquidN2O)+('Mitigation drivers'!K63*DrylotN2O)+('Mitigation drivers'!K64*SolidStorageN2O)+('Mitigation drivers'!K65*DailyspreadN2O)+('Mitigation drivers'!K66*CompostN2O)+('Mitigation drivers'!K67*ManwithbedN2O)+('Mitigation drivers'!K68*PMwithoutlitterN2O)+('Mitigation drivers'!K69*PMwithlitterN2O)+('Mitigation drivers'!K71*DigesterN2OEF))/100</f>
        <v>1.5000000000000002E-3</v>
      </c>
      <c r="Q58" s="26">
        <f>(('Mitigation drivers'!L61*LagoonN2O)+('Mitigation drivers'!L62*LiquidN2O)+('Mitigation drivers'!L63*DrylotN2O)+('Mitigation drivers'!L64*SolidStorageN2O)+('Mitigation drivers'!L65*DailyspreadN2O)+('Mitigation drivers'!L66*CompostN2O)+('Mitigation drivers'!L67*ManwithbedN2O)+('Mitigation drivers'!L68*PMwithoutlitterN2O)+('Mitigation drivers'!L69*PMwithlitterN2O)+('Mitigation drivers'!L71*DigesterN2OEF))/100</f>
        <v>1.5000000000000002E-3</v>
      </c>
      <c r="R58" s="26">
        <f>(('Mitigation drivers'!M61*LagoonN2O)+('Mitigation drivers'!M62*LiquidN2O)+('Mitigation drivers'!M63*DrylotN2O)+('Mitigation drivers'!M64*SolidStorageN2O)+('Mitigation drivers'!M65*DailyspreadN2O)+('Mitigation drivers'!M66*CompostN2O)+('Mitigation drivers'!M67*ManwithbedN2O)+('Mitigation drivers'!M68*PMwithoutlitterN2O)+('Mitigation drivers'!M69*PMwithlitterN2O)+('Mitigation drivers'!M71*DigesterN2OEF))/100</f>
        <v>1.5000000000000002E-3</v>
      </c>
      <c r="S58" s="26">
        <f>(('Mitigation drivers'!N61*LagoonN2O)+('Mitigation drivers'!N62*LiquidN2O)+('Mitigation drivers'!N63*DrylotN2O)+('Mitigation drivers'!N64*SolidStorageN2O)+('Mitigation drivers'!N65*DailyspreadN2O)+('Mitigation drivers'!N66*CompostN2O)+('Mitigation drivers'!N67*ManwithbedN2O)+('Mitigation drivers'!N68*PMwithoutlitterN2O)+('Mitigation drivers'!N69*PMwithlitterN2O)+('Mitigation drivers'!N71*DigesterN2OEF))/100</f>
        <v>1.5000000000000002E-3</v>
      </c>
      <c r="T58" s="26">
        <f>(('Mitigation drivers'!O61*LagoonN2O)+('Mitigation drivers'!O62*LiquidN2O)+('Mitigation drivers'!O63*DrylotN2O)+('Mitigation drivers'!O64*SolidStorageN2O)+('Mitigation drivers'!O65*DailyspreadN2O)+('Mitigation drivers'!O66*CompostN2O)+('Mitigation drivers'!O67*ManwithbedN2O)+('Mitigation drivers'!O68*PMwithoutlitterN2O)+('Mitigation drivers'!O69*PMwithlitterN2O)+('Mitigation drivers'!O71*DigesterN2OEF))/100</f>
        <v>1.5000000000000002E-3</v>
      </c>
      <c r="U58" s="26">
        <f>(('Mitigation drivers'!P61*LagoonN2O)+('Mitigation drivers'!P62*LiquidN2O)+('Mitigation drivers'!P63*DrylotN2O)+('Mitigation drivers'!P64*SolidStorageN2O)+('Mitigation drivers'!P65*DailyspreadN2O)+('Mitigation drivers'!P66*CompostN2O)+('Mitigation drivers'!P67*ManwithbedN2O)+('Mitigation drivers'!P68*PMwithoutlitterN2O)+('Mitigation drivers'!P69*PMwithlitterN2O)+('Mitigation drivers'!P71*DigesterN2OEF))/100</f>
        <v>1.5000000000000002E-3</v>
      </c>
      <c r="V58" s="26">
        <f>(('Mitigation drivers'!Q61*LagoonN2O)+('Mitigation drivers'!Q62*LiquidN2O)+('Mitigation drivers'!Q63*DrylotN2O)+('Mitigation drivers'!Q64*SolidStorageN2O)+('Mitigation drivers'!Q65*DailyspreadN2O)+('Mitigation drivers'!Q66*CompostN2O)+('Mitigation drivers'!Q67*ManwithbedN2O)+('Mitigation drivers'!Q68*PMwithoutlitterN2O)+('Mitigation drivers'!Q69*PMwithlitterN2O)+('Mitigation drivers'!Q71*DigesterN2OEF))/100</f>
        <v>1.5000000000000002E-3</v>
      </c>
      <c r="W58" s="26">
        <f>(('Mitigation drivers'!R61*LagoonN2O)+('Mitigation drivers'!R62*LiquidN2O)+('Mitigation drivers'!R63*DrylotN2O)+('Mitigation drivers'!R64*SolidStorageN2O)+('Mitigation drivers'!R65*DailyspreadN2O)+('Mitigation drivers'!R66*CompostN2O)+('Mitigation drivers'!R67*ManwithbedN2O)+('Mitigation drivers'!R68*PMwithoutlitterN2O)+('Mitigation drivers'!R69*PMwithlitterN2O)+('Mitigation drivers'!R71*DigesterN2OEF))/100</f>
        <v>1.5000000000000002E-3</v>
      </c>
      <c r="X58" s="26">
        <f>(('Mitigation drivers'!S61*LagoonN2O)+('Mitigation drivers'!S62*LiquidN2O)+('Mitigation drivers'!S63*DrylotN2O)+('Mitigation drivers'!S64*SolidStorageN2O)+('Mitigation drivers'!S65*DailyspreadN2O)+('Mitigation drivers'!S66*CompostN2O)+('Mitigation drivers'!S67*ManwithbedN2O)+('Mitigation drivers'!S68*PMwithoutlitterN2O)+('Mitigation drivers'!S69*PMwithlitterN2O)+('Mitigation drivers'!S71*DigesterN2OEF))/100</f>
        <v>1.5000000000000002E-3</v>
      </c>
      <c r="Y58" s="26">
        <f>(('Mitigation drivers'!T61*LagoonN2O)+('Mitigation drivers'!T62*LiquidN2O)+('Mitigation drivers'!T63*DrylotN2O)+('Mitigation drivers'!T64*SolidStorageN2O)+('Mitigation drivers'!T65*DailyspreadN2O)+('Mitigation drivers'!T66*CompostN2O)+('Mitigation drivers'!T67*ManwithbedN2O)+('Mitigation drivers'!T68*PMwithoutlitterN2O)+('Mitigation drivers'!T69*PMwithlitterN2O)+('Mitigation drivers'!T71*DigesterN2OEF))/100</f>
        <v>1.5000000000000002E-3</v>
      </c>
      <c r="Z58" s="26">
        <f>(('Mitigation drivers'!U61*LagoonN2O)+('Mitigation drivers'!U62*LiquidN2O)+('Mitigation drivers'!U63*DrylotN2O)+('Mitigation drivers'!U64*SolidStorageN2O)+('Mitigation drivers'!U65*DailyspreadN2O)+('Mitigation drivers'!U66*CompostN2O)+('Mitigation drivers'!U67*ManwithbedN2O)+('Mitigation drivers'!U68*PMwithoutlitterN2O)+('Mitigation drivers'!U69*PMwithlitterN2O)+('Mitigation drivers'!U71*DigesterN2OEF))/100</f>
        <v>1.5000000000000002E-3</v>
      </c>
      <c r="AA58" s="26">
        <f>(('Mitigation drivers'!V61*LagoonN2O)+('Mitigation drivers'!V62*LiquidN2O)+('Mitigation drivers'!V63*DrylotN2O)+('Mitigation drivers'!V64*SolidStorageN2O)+('Mitigation drivers'!V65*DailyspreadN2O)+('Mitigation drivers'!V66*CompostN2O)+('Mitigation drivers'!V67*ManwithbedN2O)+('Mitigation drivers'!V68*PMwithoutlitterN2O)+('Mitigation drivers'!V69*PMwithlitterN2O)+('Mitigation drivers'!V71*DigesterN2OEF))/100</f>
        <v>1.5000000000000002E-3</v>
      </c>
      <c r="AB58" s="26">
        <f>(('Mitigation drivers'!W61*LagoonN2O)+('Mitigation drivers'!W62*LiquidN2O)+('Mitigation drivers'!W63*DrylotN2O)+('Mitigation drivers'!W64*SolidStorageN2O)+('Mitigation drivers'!W65*DailyspreadN2O)+('Mitigation drivers'!W66*CompostN2O)+('Mitigation drivers'!W67*ManwithbedN2O)+('Mitigation drivers'!W68*PMwithoutlitterN2O)+('Mitigation drivers'!W69*PMwithlitterN2O)+('Mitigation drivers'!W71*DigesterN2OEF))/100</f>
        <v>1.5000000000000002E-3</v>
      </c>
      <c r="AC58" s="26">
        <f>(('Mitigation drivers'!X61*LagoonN2O)+('Mitigation drivers'!X62*LiquidN2O)+('Mitigation drivers'!X63*DrylotN2O)+('Mitigation drivers'!X64*SolidStorageN2O)+('Mitigation drivers'!X65*DailyspreadN2O)+('Mitigation drivers'!X66*CompostN2O)+('Mitigation drivers'!X67*ManwithbedN2O)+('Mitigation drivers'!X68*PMwithoutlitterN2O)+('Mitigation drivers'!X69*PMwithlitterN2O)+('Mitigation drivers'!X71*DigesterN2OEF))/100</f>
        <v>1.5000000000000002E-3</v>
      </c>
      <c r="AD58" s="26">
        <f>(('Mitigation drivers'!Y61*LagoonN2O)+('Mitigation drivers'!Y62*LiquidN2O)+('Mitigation drivers'!Y63*DrylotN2O)+('Mitigation drivers'!Y64*SolidStorageN2O)+('Mitigation drivers'!Y65*DailyspreadN2O)+('Mitigation drivers'!Y66*CompostN2O)+('Mitigation drivers'!Y67*ManwithbedN2O)+('Mitigation drivers'!Y68*PMwithoutlitterN2O)+('Mitigation drivers'!Y69*PMwithlitterN2O)+('Mitigation drivers'!Y71*DigesterN2OEF))/100</f>
        <v>1.5000000000000002E-3</v>
      </c>
      <c r="AE58" s="26">
        <f>(('Mitigation drivers'!Z61*LagoonN2O)+('Mitigation drivers'!Z62*LiquidN2O)+('Mitigation drivers'!Z63*DrylotN2O)+('Mitigation drivers'!Z64*SolidStorageN2O)+('Mitigation drivers'!Z65*DailyspreadN2O)+('Mitigation drivers'!Z66*CompostN2O)+('Mitigation drivers'!Z67*ManwithbedN2O)+('Mitigation drivers'!Z68*PMwithoutlitterN2O)+('Mitigation drivers'!Z69*PMwithlitterN2O)+('Mitigation drivers'!Z71*DigesterN2OEF))/100</f>
        <v>1.5000000000000002E-3</v>
      </c>
      <c r="AF58" s="26">
        <f>(('Mitigation drivers'!AA61*LagoonN2O)+('Mitigation drivers'!AA62*LiquidN2O)+('Mitigation drivers'!AA63*DrylotN2O)+('Mitigation drivers'!AA64*SolidStorageN2O)+('Mitigation drivers'!AA65*DailyspreadN2O)+('Mitigation drivers'!AA66*CompostN2O)+('Mitigation drivers'!AA67*ManwithbedN2O)+('Mitigation drivers'!AA68*PMwithoutlitterN2O)+('Mitigation drivers'!AA69*PMwithlitterN2O)+('Mitigation drivers'!AA71*DigesterN2OEF))/100</f>
        <v>1.5000000000000002E-3</v>
      </c>
      <c r="AG58" s="26">
        <f>(('Mitigation drivers'!AB61*LagoonN2O)+('Mitigation drivers'!AB62*LiquidN2O)+('Mitigation drivers'!AB63*DrylotN2O)+('Mitigation drivers'!AB64*SolidStorageN2O)+('Mitigation drivers'!AB65*DailyspreadN2O)+('Mitigation drivers'!AB66*CompostN2O)+('Mitigation drivers'!AB67*ManwithbedN2O)+('Mitigation drivers'!AB68*PMwithoutlitterN2O)+('Mitigation drivers'!AB69*PMwithlitterN2O)+('Mitigation drivers'!AB71*DigesterN2OEF))/100</f>
        <v>1.5000000000000002E-3</v>
      </c>
      <c r="AH58" s="26">
        <f>(('Mitigation drivers'!AC61*LagoonN2O)+('Mitigation drivers'!AC62*LiquidN2O)+('Mitigation drivers'!AC63*DrylotN2O)+('Mitigation drivers'!AC64*SolidStorageN2O)+('Mitigation drivers'!AC65*DailyspreadN2O)+('Mitigation drivers'!AC66*CompostN2O)+('Mitigation drivers'!AC67*ManwithbedN2O)+('Mitigation drivers'!AC68*PMwithoutlitterN2O)+('Mitigation drivers'!AC69*PMwithlitterN2O)+('Mitigation drivers'!AC71*DigesterN2OEF))/100</f>
        <v>1.5000000000000002E-3</v>
      </c>
      <c r="AI58" s="26">
        <f>(('Mitigation drivers'!AD61*LagoonN2O)+('Mitigation drivers'!AD62*LiquidN2O)+('Mitigation drivers'!AD63*DrylotN2O)+('Mitigation drivers'!AD64*SolidStorageN2O)+('Mitigation drivers'!AD65*DailyspreadN2O)+('Mitigation drivers'!AD66*CompostN2O)+('Mitigation drivers'!AD67*ManwithbedN2O)+('Mitigation drivers'!AD68*PMwithoutlitterN2O)+('Mitigation drivers'!AD69*PMwithlitterN2O)+('Mitigation drivers'!AD71*DigesterN2OEF))/100</f>
        <v>1.5000000000000002E-3</v>
      </c>
      <c r="AJ58" s="26">
        <f>(('Mitigation drivers'!AE61*LagoonN2O)+('Mitigation drivers'!AE62*LiquidN2O)+('Mitigation drivers'!AE63*DrylotN2O)+('Mitigation drivers'!AE64*SolidStorageN2O)+('Mitigation drivers'!AE65*DailyspreadN2O)+('Mitigation drivers'!AE66*CompostN2O)+('Mitigation drivers'!AE67*ManwithbedN2O)+('Mitigation drivers'!AE68*PMwithoutlitterN2O)+('Mitigation drivers'!AE69*PMwithlitterN2O)+('Mitigation drivers'!AE71*DigesterN2OEF))/100</f>
        <v>1.5000000000000002E-3</v>
      </c>
      <c r="AK58" s="26">
        <f>(('Mitigation drivers'!AF61*LagoonN2O)+('Mitigation drivers'!AF62*LiquidN2O)+('Mitigation drivers'!AF63*DrylotN2O)+('Mitigation drivers'!AF64*SolidStorageN2O)+('Mitigation drivers'!AF65*DailyspreadN2O)+('Mitigation drivers'!AF66*CompostN2O)+('Mitigation drivers'!AF67*ManwithbedN2O)+('Mitigation drivers'!AF68*PMwithoutlitterN2O)+('Mitigation drivers'!AF69*PMwithlitterN2O)+('Mitigation drivers'!AF71*DigesterN2OEF))/100</f>
        <v>1.5000000000000002E-3</v>
      </c>
      <c r="AL58" s="26">
        <f>(('Mitigation drivers'!AG61*LagoonN2O)+('Mitigation drivers'!AG62*LiquidN2O)+('Mitigation drivers'!AG63*DrylotN2O)+('Mitigation drivers'!AG64*SolidStorageN2O)+('Mitigation drivers'!AG65*DailyspreadN2O)+('Mitigation drivers'!AG66*CompostN2O)+('Mitigation drivers'!AG67*ManwithbedN2O)+('Mitigation drivers'!AG68*PMwithoutlitterN2O)+('Mitigation drivers'!AG69*PMwithlitterN2O)+('Mitigation drivers'!AG71*DigesterN2OEF))/100</f>
        <v>1.5000000000000002E-3</v>
      </c>
      <c r="AM58" s="26">
        <f>(('Mitigation drivers'!AH61*LagoonN2O)+('Mitigation drivers'!AH62*LiquidN2O)+('Mitigation drivers'!AH63*DrylotN2O)+('Mitigation drivers'!AH64*SolidStorageN2O)+('Mitigation drivers'!AH65*DailyspreadN2O)+('Mitigation drivers'!AH66*CompostN2O)+('Mitigation drivers'!AH67*ManwithbedN2O)+('Mitigation drivers'!AH68*PMwithoutlitterN2O)+('Mitigation drivers'!AH69*PMwithlitterN2O)+('Mitigation drivers'!AH71*DigesterN2OEF))/100</f>
        <v>1.5000000000000002E-3</v>
      </c>
      <c r="AN58" s="26">
        <f>(('Mitigation drivers'!AI61*LagoonN2O)+('Mitigation drivers'!AI62*LiquidN2O)+('Mitigation drivers'!AI63*DrylotN2O)+('Mitigation drivers'!AI64*SolidStorageN2O)+('Mitigation drivers'!AI65*DailyspreadN2O)+('Mitigation drivers'!AI66*CompostN2O)+('Mitigation drivers'!AI67*ManwithbedN2O)+('Mitigation drivers'!AI68*PMwithoutlitterN2O)+('Mitigation drivers'!AI69*PMwithlitterN2O)+('Mitigation drivers'!AI71*DigesterN2OEF))/100</f>
        <v>1.5000000000000002E-3</v>
      </c>
      <c r="AO58" s="26">
        <f>(('Mitigation drivers'!AJ61*LagoonN2O)+('Mitigation drivers'!AJ62*LiquidN2O)+('Mitigation drivers'!AJ63*DrylotN2O)+('Mitigation drivers'!AJ64*SolidStorageN2O)+('Mitigation drivers'!AJ65*DailyspreadN2O)+('Mitigation drivers'!AJ66*CompostN2O)+('Mitigation drivers'!AJ67*ManwithbedN2O)+('Mitigation drivers'!AJ68*PMwithoutlitterN2O)+('Mitigation drivers'!AJ69*PMwithlitterN2O)+('Mitigation drivers'!AJ71*DigesterN2OEF))/100</f>
        <v>1.5000000000000002E-3</v>
      </c>
    </row>
    <row r="59" spans="1:41" x14ac:dyDescent="0.25">
      <c r="A59" t="str">
        <f t="shared" si="1"/>
        <v>3A Livestock</v>
      </c>
      <c r="B59" t="str">
        <f t="shared" si="8"/>
        <v>3A2 Manure management (N2O)</v>
      </c>
      <c r="C59" t="str">
        <f>'Activity data'!C10</f>
        <v>3A1aii Other cattle</v>
      </c>
      <c r="D59" t="str">
        <f>'Activity data'!D10</f>
        <v>Feedlot</v>
      </c>
      <c r="E59" t="str">
        <f t="shared" si="27"/>
        <v>Manure management EF</v>
      </c>
      <c r="F59" t="str">
        <f t="shared" si="28"/>
        <v>N2O</v>
      </c>
      <c r="G59" t="str">
        <f t="shared" si="29"/>
        <v>kg N2O-N/kg Nex</v>
      </c>
      <c r="H59" s="26">
        <f>(('Mitigation drivers'!C73*LagoonN2O)+('Mitigation drivers'!C74*LiquidN2O)+('Mitigation drivers'!C75*DrylotN2O)+('Mitigation drivers'!C76*SolidStorageN2O)+('Mitigation drivers'!C77*DailyspreadN2O)+('Mitigation drivers'!C78*CompostN2O)+('Mitigation drivers'!C79*ManwithbedN2O)+('Mitigation drivers'!C80*PMwithoutlitterN2O)+('Mitigation drivers'!C81*PMwithlitterN2O)+('Mitigation drivers'!C83*DigesterN2OEF))/100</f>
        <v>1.7500000000000002E-2</v>
      </c>
      <c r="I59" s="26">
        <f>(('Mitigation drivers'!D73*LagoonN2O)+('Mitigation drivers'!D74*LiquidN2O)+('Mitigation drivers'!D75*DrylotN2O)+('Mitigation drivers'!D76*SolidStorageN2O)+('Mitigation drivers'!D77*DailyspreadN2O)+('Mitigation drivers'!D78*CompostN2O)+('Mitigation drivers'!D79*ManwithbedN2O)+('Mitigation drivers'!D80*PMwithoutlitterN2O)+('Mitigation drivers'!D81*PMwithlitterN2O)+('Mitigation drivers'!D83*DigesterN2OEF))/100</f>
        <v>1.7500000000000002E-2</v>
      </c>
      <c r="J59" s="26">
        <f>(('Mitigation drivers'!E73*LagoonN2O)+('Mitigation drivers'!E74*LiquidN2O)+('Mitigation drivers'!E75*DrylotN2O)+('Mitigation drivers'!E76*SolidStorageN2O)+('Mitigation drivers'!E77*DailyspreadN2O)+('Mitigation drivers'!E78*CompostN2O)+('Mitigation drivers'!E79*ManwithbedN2O)+('Mitigation drivers'!E80*PMwithoutlitterN2O)+('Mitigation drivers'!E81*PMwithlitterN2O)+('Mitigation drivers'!E83*DigesterN2OEF))/100</f>
        <v>1.7500000000000002E-2</v>
      </c>
      <c r="K59" s="26">
        <f>(('Mitigation drivers'!F73*LagoonN2O)+('Mitigation drivers'!F74*LiquidN2O)+('Mitigation drivers'!F75*DrylotN2O)+('Mitigation drivers'!F76*SolidStorageN2O)+('Mitigation drivers'!F77*DailyspreadN2O)+('Mitigation drivers'!F78*CompostN2O)+('Mitigation drivers'!F79*ManwithbedN2O)+('Mitigation drivers'!F80*PMwithoutlitterN2O)+('Mitigation drivers'!F81*PMwithlitterN2O)+('Mitigation drivers'!F83*DigesterN2OEF))/100</f>
        <v>1.7500000000000002E-2</v>
      </c>
      <c r="L59" s="26">
        <f>(('Mitigation drivers'!G73*LagoonN2O)+('Mitigation drivers'!G74*LiquidN2O)+('Mitigation drivers'!G75*DrylotN2O)+('Mitigation drivers'!G76*SolidStorageN2O)+('Mitigation drivers'!G77*DailyspreadN2O)+('Mitigation drivers'!G78*CompostN2O)+('Mitigation drivers'!G79*ManwithbedN2O)+('Mitigation drivers'!G80*PMwithoutlitterN2O)+('Mitigation drivers'!G81*PMwithlitterN2O)+('Mitigation drivers'!G83*DigesterN2OEF))/100</f>
        <v>1.7500000000000002E-2</v>
      </c>
      <c r="M59" s="26">
        <f>(('Mitigation drivers'!H73*LagoonN2O)+('Mitigation drivers'!H74*LiquidN2O)+('Mitigation drivers'!H75*DrylotN2O)+('Mitigation drivers'!H76*SolidStorageN2O)+('Mitigation drivers'!H77*DailyspreadN2O)+('Mitigation drivers'!H78*CompostN2O)+('Mitigation drivers'!H79*ManwithbedN2O)+('Mitigation drivers'!H80*PMwithoutlitterN2O)+('Mitigation drivers'!H81*PMwithlitterN2O)+('Mitigation drivers'!H83*DigesterN2OEF))/100</f>
        <v>1.7500000000000002E-2</v>
      </c>
      <c r="N59" s="26">
        <f>(('Mitigation drivers'!I73*LagoonN2O)+('Mitigation drivers'!I74*LiquidN2O)+('Mitigation drivers'!I75*DrylotN2O)+('Mitigation drivers'!I76*SolidStorageN2O)+('Mitigation drivers'!I77*DailyspreadN2O)+('Mitigation drivers'!I78*CompostN2O)+('Mitigation drivers'!I79*ManwithbedN2O)+('Mitigation drivers'!I80*PMwithoutlitterN2O)+('Mitigation drivers'!I81*PMwithlitterN2O)+('Mitigation drivers'!I83*DigesterN2OEF))/100</f>
        <v>1.7500000000000002E-2</v>
      </c>
      <c r="O59" s="26">
        <f>(('Mitigation drivers'!J73*LagoonN2O)+('Mitigation drivers'!J74*LiquidN2O)+('Mitigation drivers'!J75*DrylotN2O)+('Mitigation drivers'!J76*SolidStorageN2O)+('Mitigation drivers'!J77*DailyspreadN2O)+('Mitigation drivers'!J78*CompostN2O)+('Mitigation drivers'!J79*ManwithbedN2O)+('Mitigation drivers'!J80*PMwithoutlitterN2O)+('Mitigation drivers'!J81*PMwithlitterN2O)+('Mitigation drivers'!J83*DigesterN2OEF))/100</f>
        <v>1.7500000000000002E-2</v>
      </c>
      <c r="P59" s="26">
        <f>(('Mitigation drivers'!K73*LagoonN2O)+('Mitigation drivers'!K74*LiquidN2O)+('Mitigation drivers'!K75*DrylotN2O)+('Mitigation drivers'!K76*SolidStorageN2O)+('Mitigation drivers'!K77*DailyspreadN2O)+('Mitigation drivers'!K78*CompostN2O)+('Mitigation drivers'!K79*ManwithbedN2O)+('Mitigation drivers'!K80*PMwithoutlitterN2O)+('Mitigation drivers'!K81*PMwithlitterN2O)+('Mitigation drivers'!K83*DigesterN2OEF))/100</f>
        <v>1.7500000000000002E-2</v>
      </c>
      <c r="Q59" s="26">
        <f>(('Mitigation drivers'!L73*LagoonN2O)+('Mitigation drivers'!L74*LiquidN2O)+('Mitigation drivers'!L75*DrylotN2O)+('Mitigation drivers'!L76*SolidStorageN2O)+('Mitigation drivers'!L77*DailyspreadN2O)+('Mitigation drivers'!L78*CompostN2O)+('Mitigation drivers'!L79*ManwithbedN2O)+('Mitigation drivers'!L80*PMwithoutlitterN2O)+('Mitigation drivers'!L81*PMwithlitterN2O)+('Mitigation drivers'!L83*DigesterN2OEF))/100</f>
        <v>1.7500000000000002E-2</v>
      </c>
      <c r="R59" s="26">
        <f>(('Mitigation drivers'!M73*LagoonN2O)+('Mitigation drivers'!M74*LiquidN2O)+('Mitigation drivers'!M75*DrylotN2O)+('Mitigation drivers'!M76*SolidStorageN2O)+('Mitigation drivers'!M77*DailyspreadN2O)+('Mitigation drivers'!M78*CompostN2O)+('Mitigation drivers'!M79*ManwithbedN2O)+('Mitigation drivers'!M80*PMwithoutlitterN2O)+('Mitigation drivers'!M81*PMwithlitterN2O)+('Mitigation drivers'!M83*DigesterN2OEF))/100</f>
        <v>1.7500000000000002E-2</v>
      </c>
      <c r="S59" s="26">
        <f>(('Mitigation drivers'!N73*LagoonN2O)+('Mitigation drivers'!N74*LiquidN2O)+('Mitigation drivers'!N75*DrylotN2O)+('Mitigation drivers'!N76*SolidStorageN2O)+('Mitigation drivers'!N77*DailyspreadN2O)+('Mitigation drivers'!N78*CompostN2O)+('Mitigation drivers'!N79*ManwithbedN2O)+('Mitigation drivers'!N80*PMwithoutlitterN2O)+('Mitigation drivers'!N81*PMwithlitterN2O)+('Mitigation drivers'!N83*DigesterN2OEF))/100</f>
        <v>1.7500000000000002E-2</v>
      </c>
      <c r="T59" s="26">
        <f>(('Mitigation drivers'!O73*LagoonN2O)+('Mitigation drivers'!O74*LiquidN2O)+('Mitigation drivers'!O75*DrylotN2O)+('Mitigation drivers'!O76*SolidStorageN2O)+('Mitigation drivers'!O77*DailyspreadN2O)+('Mitigation drivers'!O78*CompostN2O)+('Mitigation drivers'!O79*ManwithbedN2O)+('Mitigation drivers'!O80*PMwithoutlitterN2O)+('Mitigation drivers'!O81*PMwithlitterN2O)+('Mitigation drivers'!O83*DigesterN2OEF))/100</f>
        <v>1.7500000000000002E-2</v>
      </c>
      <c r="U59" s="26">
        <f>(('Mitigation drivers'!P73*LagoonN2O)+('Mitigation drivers'!P74*LiquidN2O)+('Mitigation drivers'!P75*DrylotN2O)+('Mitigation drivers'!P76*SolidStorageN2O)+('Mitigation drivers'!P77*DailyspreadN2O)+('Mitigation drivers'!P78*CompostN2O)+('Mitigation drivers'!P79*ManwithbedN2O)+('Mitigation drivers'!P80*PMwithoutlitterN2O)+('Mitigation drivers'!P81*PMwithlitterN2O)+('Mitigation drivers'!P83*DigesterN2OEF))/100</f>
        <v>1.7500000000000002E-2</v>
      </c>
      <c r="V59" s="26">
        <f>(('Mitigation drivers'!Q73*LagoonN2O)+('Mitigation drivers'!Q74*LiquidN2O)+('Mitigation drivers'!Q75*DrylotN2O)+('Mitigation drivers'!Q76*SolidStorageN2O)+('Mitigation drivers'!Q77*DailyspreadN2O)+('Mitigation drivers'!Q78*CompostN2O)+('Mitigation drivers'!Q79*ManwithbedN2O)+('Mitigation drivers'!Q80*PMwithoutlitterN2O)+('Mitigation drivers'!Q81*PMwithlitterN2O)+('Mitigation drivers'!Q83*DigesterN2OEF))/100</f>
        <v>1.7500000000000002E-2</v>
      </c>
      <c r="W59" s="26">
        <f>(('Mitigation drivers'!R73*LagoonN2O)+('Mitigation drivers'!R74*LiquidN2O)+('Mitigation drivers'!R75*DrylotN2O)+('Mitigation drivers'!R76*SolidStorageN2O)+('Mitigation drivers'!R77*DailyspreadN2O)+('Mitigation drivers'!R78*CompostN2O)+('Mitigation drivers'!R79*ManwithbedN2O)+('Mitigation drivers'!R80*PMwithoutlitterN2O)+('Mitigation drivers'!R81*PMwithlitterN2O)+('Mitigation drivers'!R83*DigesterN2OEF))/100</f>
        <v>1.7500000000000002E-2</v>
      </c>
      <c r="X59" s="26">
        <f>(('Mitigation drivers'!S73*LagoonN2O)+('Mitigation drivers'!S74*LiquidN2O)+('Mitigation drivers'!S75*DrylotN2O)+('Mitigation drivers'!S76*SolidStorageN2O)+('Mitigation drivers'!S77*DailyspreadN2O)+('Mitigation drivers'!S78*CompostN2O)+('Mitigation drivers'!S79*ManwithbedN2O)+('Mitigation drivers'!S80*PMwithoutlitterN2O)+('Mitigation drivers'!S81*PMwithlitterN2O)+('Mitigation drivers'!S83*DigesterN2OEF))/100</f>
        <v>1.7500000000000002E-2</v>
      </c>
      <c r="Y59" s="26">
        <f>(('Mitigation drivers'!T73*LagoonN2O)+('Mitigation drivers'!T74*LiquidN2O)+('Mitigation drivers'!T75*DrylotN2O)+('Mitigation drivers'!T76*SolidStorageN2O)+('Mitigation drivers'!T77*DailyspreadN2O)+('Mitigation drivers'!T78*CompostN2O)+('Mitigation drivers'!T79*ManwithbedN2O)+('Mitigation drivers'!T80*PMwithoutlitterN2O)+('Mitigation drivers'!T81*PMwithlitterN2O)+('Mitigation drivers'!T83*DigesterN2OEF))/100</f>
        <v>1.7500000000000002E-2</v>
      </c>
      <c r="Z59" s="26">
        <f>(('Mitigation drivers'!U73*LagoonN2O)+('Mitigation drivers'!U74*LiquidN2O)+('Mitigation drivers'!U75*DrylotN2O)+('Mitigation drivers'!U76*SolidStorageN2O)+('Mitigation drivers'!U77*DailyspreadN2O)+('Mitigation drivers'!U78*CompostN2O)+('Mitigation drivers'!U79*ManwithbedN2O)+('Mitigation drivers'!U80*PMwithoutlitterN2O)+('Mitigation drivers'!U81*PMwithlitterN2O)+('Mitigation drivers'!U83*DigesterN2OEF))/100</f>
        <v>1.7500000000000002E-2</v>
      </c>
      <c r="AA59" s="26">
        <f>(('Mitigation drivers'!V73*LagoonN2O)+('Mitigation drivers'!V74*LiquidN2O)+('Mitigation drivers'!V75*DrylotN2O)+('Mitigation drivers'!V76*SolidStorageN2O)+('Mitigation drivers'!V77*DailyspreadN2O)+('Mitigation drivers'!V78*CompostN2O)+('Mitigation drivers'!V79*ManwithbedN2O)+('Mitigation drivers'!V80*PMwithoutlitterN2O)+('Mitigation drivers'!V81*PMwithlitterN2O)+('Mitigation drivers'!V83*DigesterN2OEF))/100</f>
        <v>1.7500000000000002E-2</v>
      </c>
      <c r="AB59" s="26">
        <f>(('Mitigation drivers'!W73*LagoonN2O)+('Mitigation drivers'!W74*LiquidN2O)+('Mitigation drivers'!W75*DrylotN2O)+('Mitigation drivers'!W76*SolidStorageN2O)+('Mitigation drivers'!W77*DailyspreadN2O)+('Mitigation drivers'!W78*CompostN2O)+('Mitigation drivers'!W79*ManwithbedN2O)+('Mitigation drivers'!W80*PMwithoutlitterN2O)+('Mitigation drivers'!W81*PMwithlitterN2O)+('Mitigation drivers'!W83*DigesterN2OEF))/100</f>
        <v>1.7500000000000002E-2</v>
      </c>
      <c r="AC59" s="26">
        <f>(('Mitigation drivers'!X73*LagoonN2O)+('Mitigation drivers'!X74*LiquidN2O)+('Mitigation drivers'!X75*DrylotN2O)+('Mitigation drivers'!X76*SolidStorageN2O)+('Mitigation drivers'!X77*DailyspreadN2O)+('Mitigation drivers'!X78*CompostN2O)+('Mitigation drivers'!X79*ManwithbedN2O)+('Mitigation drivers'!X80*PMwithoutlitterN2O)+('Mitigation drivers'!X81*PMwithlitterN2O)+('Mitigation drivers'!X83*DigesterN2OEF))/100</f>
        <v>1.7500000000000002E-2</v>
      </c>
      <c r="AD59" s="26">
        <f>(('Mitigation drivers'!Y73*LagoonN2O)+('Mitigation drivers'!Y74*LiquidN2O)+('Mitigation drivers'!Y75*DrylotN2O)+('Mitigation drivers'!Y76*SolidStorageN2O)+('Mitigation drivers'!Y77*DailyspreadN2O)+('Mitigation drivers'!Y78*CompostN2O)+('Mitigation drivers'!Y79*ManwithbedN2O)+('Mitigation drivers'!Y80*PMwithoutlitterN2O)+('Mitigation drivers'!Y81*PMwithlitterN2O)+('Mitigation drivers'!Y83*DigesterN2OEF))/100</f>
        <v>1.7500000000000002E-2</v>
      </c>
      <c r="AE59" s="26">
        <f>(('Mitigation drivers'!Z73*LagoonN2O)+('Mitigation drivers'!Z74*LiquidN2O)+('Mitigation drivers'!Z75*DrylotN2O)+('Mitigation drivers'!Z76*SolidStorageN2O)+('Mitigation drivers'!Z77*DailyspreadN2O)+('Mitigation drivers'!Z78*CompostN2O)+('Mitigation drivers'!Z79*ManwithbedN2O)+('Mitigation drivers'!Z80*PMwithoutlitterN2O)+('Mitigation drivers'!Z81*PMwithlitterN2O)+('Mitigation drivers'!Z83*DigesterN2OEF))/100</f>
        <v>1.7500000000000002E-2</v>
      </c>
      <c r="AF59" s="26">
        <f>(('Mitigation drivers'!AA73*LagoonN2O)+('Mitigation drivers'!AA74*LiquidN2O)+('Mitigation drivers'!AA75*DrylotN2O)+('Mitigation drivers'!AA76*SolidStorageN2O)+('Mitigation drivers'!AA77*DailyspreadN2O)+('Mitigation drivers'!AA78*CompostN2O)+('Mitigation drivers'!AA79*ManwithbedN2O)+('Mitigation drivers'!AA80*PMwithoutlitterN2O)+('Mitigation drivers'!AA81*PMwithlitterN2O)+('Mitigation drivers'!AA83*DigesterN2OEF))/100</f>
        <v>1.7500000000000002E-2</v>
      </c>
      <c r="AG59" s="26">
        <f>(('Mitigation drivers'!AB73*LagoonN2O)+('Mitigation drivers'!AB74*LiquidN2O)+('Mitigation drivers'!AB75*DrylotN2O)+('Mitigation drivers'!AB76*SolidStorageN2O)+('Mitigation drivers'!AB77*DailyspreadN2O)+('Mitigation drivers'!AB78*CompostN2O)+('Mitigation drivers'!AB79*ManwithbedN2O)+('Mitigation drivers'!AB80*PMwithoutlitterN2O)+('Mitigation drivers'!AB81*PMwithlitterN2O)+('Mitigation drivers'!AB83*DigesterN2OEF))/100</f>
        <v>1.7500000000000002E-2</v>
      </c>
      <c r="AH59" s="26">
        <f>(('Mitigation drivers'!AC73*LagoonN2O)+('Mitigation drivers'!AC74*LiquidN2O)+('Mitigation drivers'!AC75*DrylotN2O)+('Mitigation drivers'!AC76*SolidStorageN2O)+('Mitigation drivers'!AC77*DailyspreadN2O)+('Mitigation drivers'!AC78*CompostN2O)+('Mitigation drivers'!AC79*ManwithbedN2O)+('Mitigation drivers'!AC80*PMwithoutlitterN2O)+('Mitigation drivers'!AC81*PMwithlitterN2O)+('Mitigation drivers'!AC83*DigesterN2OEF))/100</f>
        <v>1.7500000000000002E-2</v>
      </c>
      <c r="AI59" s="26">
        <f>(('Mitigation drivers'!AD73*LagoonN2O)+('Mitigation drivers'!AD74*LiquidN2O)+('Mitigation drivers'!AD75*DrylotN2O)+('Mitigation drivers'!AD76*SolidStorageN2O)+('Mitigation drivers'!AD77*DailyspreadN2O)+('Mitigation drivers'!AD78*CompostN2O)+('Mitigation drivers'!AD79*ManwithbedN2O)+('Mitigation drivers'!AD80*PMwithoutlitterN2O)+('Mitigation drivers'!AD81*PMwithlitterN2O)+('Mitigation drivers'!AD83*DigesterN2OEF))/100</f>
        <v>1.7500000000000002E-2</v>
      </c>
      <c r="AJ59" s="26">
        <f>(('Mitigation drivers'!AE73*LagoonN2O)+('Mitigation drivers'!AE74*LiquidN2O)+('Mitigation drivers'!AE75*DrylotN2O)+('Mitigation drivers'!AE76*SolidStorageN2O)+('Mitigation drivers'!AE77*DailyspreadN2O)+('Mitigation drivers'!AE78*CompostN2O)+('Mitigation drivers'!AE79*ManwithbedN2O)+('Mitigation drivers'!AE80*PMwithoutlitterN2O)+('Mitigation drivers'!AE81*PMwithlitterN2O)+('Mitigation drivers'!AE83*DigesterN2OEF))/100</f>
        <v>1.7500000000000002E-2</v>
      </c>
      <c r="AK59" s="26">
        <f>(('Mitigation drivers'!AF73*LagoonN2O)+('Mitigation drivers'!AF74*LiquidN2O)+('Mitigation drivers'!AF75*DrylotN2O)+('Mitigation drivers'!AF76*SolidStorageN2O)+('Mitigation drivers'!AF77*DailyspreadN2O)+('Mitigation drivers'!AF78*CompostN2O)+('Mitigation drivers'!AF79*ManwithbedN2O)+('Mitigation drivers'!AF80*PMwithoutlitterN2O)+('Mitigation drivers'!AF81*PMwithlitterN2O)+('Mitigation drivers'!AF83*DigesterN2OEF))/100</f>
        <v>1.7500000000000002E-2</v>
      </c>
      <c r="AL59" s="26">
        <f>(('Mitigation drivers'!AG73*LagoonN2O)+('Mitigation drivers'!AG74*LiquidN2O)+('Mitigation drivers'!AG75*DrylotN2O)+('Mitigation drivers'!AG76*SolidStorageN2O)+('Mitigation drivers'!AG77*DailyspreadN2O)+('Mitigation drivers'!AG78*CompostN2O)+('Mitigation drivers'!AG79*ManwithbedN2O)+('Mitigation drivers'!AG80*PMwithoutlitterN2O)+('Mitigation drivers'!AG81*PMwithlitterN2O)+('Mitigation drivers'!AG83*DigesterN2OEF))/100</f>
        <v>1.7500000000000002E-2</v>
      </c>
      <c r="AM59" s="26">
        <f>(('Mitigation drivers'!AH73*LagoonN2O)+('Mitigation drivers'!AH74*LiquidN2O)+('Mitigation drivers'!AH75*DrylotN2O)+('Mitigation drivers'!AH76*SolidStorageN2O)+('Mitigation drivers'!AH77*DailyspreadN2O)+('Mitigation drivers'!AH78*CompostN2O)+('Mitigation drivers'!AH79*ManwithbedN2O)+('Mitigation drivers'!AH80*PMwithoutlitterN2O)+('Mitigation drivers'!AH81*PMwithlitterN2O)+('Mitigation drivers'!AH83*DigesterN2OEF))/100</f>
        <v>1.7500000000000002E-2</v>
      </c>
      <c r="AN59" s="26">
        <f>(('Mitigation drivers'!AI73*LagoonN2O)+('Mitigation drivers'!AI74*LiquidN2O)+('Mitigation drivers'!AI75*DrylotN2O)+('Mitigation drivers'!AI76*SolidStorageN2O)+('Mitigation drivers'!AI77*DailyspreadN2O)+('Mitigation drivers'!AI78*CompostN2O)+('Mitigation drivers'!AI79*ManwithbedN2O)+('Mitigation drivers'!AI80*PMwithoutlitterN2O)+('Mitigation drivers'!AI81*PMwithlitterN2O)+('Mitigation drivers'!AI83*DigesterN2OEF))/100</f>
        <v>1.7500000000000002E-2</v>
      </c>
      <c r="AO59" s="26">
        <f>(('Mitigation drivers'!AJ73*LagoonN2O)+('Mitigation drivers'!AJ74*LiquidN2O)+('Mitigation drivers'!AJ75*DrylotN2O)+('Mitigation drivers'!AJ76*SolidStorageN2O)+('Mitigation drivers'!AJ77*DailyspreadN2O)+('Mitigation drivers'!AJ78*CompostN2O)+('Mitigation drivers'!AJ79*ManwithbedN2O)+('Mitigation drivers'!AJ80*PMwithoutlitterN2O)+('Mitigation drivers'!AJ81*PMwithlitterN2O)+('Mitigation drivers'!AJ83*DigesterN2OEF))/100</f>
        <v>1.7500000000000002E-2</v>
      </c>
    </row>
    <row r="60" spans="1:41" x14ac:dyDescent="0.25">
      <c r="A60" t="str">
        <f t="shared" si="1"/>
        <v>3A Livestock</v>
      </c>
      <c r="B60" t="str">
        <f t="shared" si="8"/>
        <v>3A2 Manure management (N2O)</v>
      </c>
      <c r="C60" t="str">
        <f>'Activity data'!C11</f>
        <v>3A1c Sheep</v>
      </c>
      <c r="D60" t="str">
        <f>'Activity data'!D11</f>
        <v>Commercial</v>
      </c>
      <c r="E60" t="str">
        <f t="shared" si="27"/>
        <v>Manure management EF</v>
      </c>
      <c r="F60" t="str">
        <f t="shared" si="28"/>
        <v>N2O</v>
      </c>
      <c r="G60" t="str">
        <f t="shared" si="29"/>
        <v>kg N2O-N/kg Nex</v>
      </c>
      <c r="H60" s="26">
        <f>(('Mitigation drivers'!C86*LagoonN2O)+('Mitigation drivers'!C87*LiquidN2O)+('Mitigation drivers'!C88*DrylotN2O)+('Mitigation drivers'!C89*SolidStorageN2O)+('Mitigation drivers'!C90*DailyspreadN2O)+('Mitigation drivers'!C91*CompostN2O)+('Mitigation drivers'!C92*ManwithbedN2O)+('Mitigation drivers'!C93*PMwithoutlitterN2O)+('Mitigation drivers'!C94*PMwithlitterN2O)+('Mitigation drivers'!C96*DigesterN2OEF))/100</f>
        <v>2.0000000000000001E-4</v>
      </c>
      <c r="I60" s="26">
        <f>(('Mitigation drivers'!D86*LagoonN2O)+('Mitigation drivers'!D87*LiquidN2O)+('Mitigation drivers'!D88*DrylotN2O)+('Mitigation drivers'!D89*SolidStorageN2O)+('Mitigation drivers'!D90*DailyspreadN2O)+('Mitigation drivers'!D91*CompostN2O)+('Mitigation drivers'!D92*ManwithbedN2O)+('Mitigation drivers'!D93*PMwithoutlitterN2O)+('Mitigation drivers'!D94*PMwithlitterN2O)+('Mitigation drivers'!D96*DigesterN2OEF))/100</f>
        <v>2.0000000000000001E-4</v>
      </c>
      <c r="J60" s="26">
        <f>(('Mitigation drivers'!E86*LagoonN2O)+('Mitigation drivers'!E87*LiquidN2O)+('Mitigation drivers'!E88*DrylotN2O)+('Mitigation drivers'!E89*SolidStorageN2O)+('Mitigation drivers'!E90*DailyspreadN2O)+('Mitigation drivers'!E91*CompostN2O)+('Mitigation drivers'!E92*ManwithbedN2O)+('Mitigation drivers'!E93*PMwithoutlitterN2O)+('Mitigation drivers'!E94*PMwithlitterN2O)+('Mitigation drivers'!E96*DigesterN2OEF))/100</f>
        <v>2.0000000000000001E-4</v>
      </c>
      <c r="K60" s="26">
        <f>(('Mitigation drivers'!F86*LagoonN2O)+('Mitigation drivers'!F87*LiquidN2O)+('Mitigation drivers'!F88*DrylotN2O)+('Mitigation drivers'!F89*SolidStorageN2O)+('Mitigation drivers'!F90*DailyspreadN2O)+('Mitigation drivers'!F91*CompostN2O)+('Mitigation drivers'!F92*ManwithbedN2O)+('Mitigation drivers'!F93*PMwithoutlitterN2O)+('Mitigation drivers'!F94*PMwithlitterN2O)+('Mitigation drivers'!F96*DigesterN2OEF))/100</f>
        <v>2.0000000000000001E-4</v>
      </c>
      <c r="L60" s="26">
        <f>(('Mitigation drivers'!G86*LagoonN2O)+('Mitigation drivers'!G87*LiquidN2O)+('Mitigation drivers'!G88*DrylotN2O)+('Mitigation drivers'!G89*SolidStorageN2O)+('Mitigation drivers'!G90*DailyspreadN2O)+('Mitigation drivers'!G91*CompostN2O)+('Mitigation drivers'!G92*ManwithbedN2O)+('Mitigation drivers'!G93*PMwithoutlitterN2O)+('Mitigation drivers'!G94*PMwithlitterN2O)+('Mitigation drivers'!G96*DigesterN2OEF))/100</f>
        <v>2.0000000000000001E-4</v>
      </c>
      <c r="M60" s="26">
        <f>(('Mitigation drivers'!H86*LagoonN2O)+('Mitigation drivers'!H87*LiquidN2O)+('Mitigation drivers'!H88*DrylotN2O)+('Mitigation drivers'!H89*SolidStorageN2O)+('Mitigation drivers'!H90*DailyspreadN2O)+('Mitigation drivers'!H91*CompostN2O)+('Mitigation drivers'!H92*ManwithbedN2O)+('Mitigation drivers'!H93*PMwithoutlitterN2O)+('Mitigation drivers'!H94*PMwithlitterN2O)+('Mitigation drivers'!H96*DigesterN2OEF))/100</f>
        <v>2.0000000000000001E-4</v>
      </c>
      <c r="N60" s="26">
        <f>(('Mitigation drivers'!I86*LagoonN2O)+('Mitigation drivers'!I87*LiquidN2O)+('Mitigation drivers'!I88*DrylotN2O)+('Mitigation drivers'!I89*SolidStorageN2O)+('Mitigation drivers'!I90*DailyspreadN2O)+('Mitigation drivers'!I91*CompostN2O)+('Mitigation drivers'!I92*ManwithbedN2O)+('Mitigation drivers'!I93*PMwithoutlitterN2O)+('Mitigation drivers'!I94*PMwithlitterN2O)+('Mitigation drivers'!I96*DigesterN2OEF))/100</f>
        <v>2.0000000000000001E-4</v>
      </c>
      <c r="O60" s="26">
        <f>(('Mitigation drivers'!J86*LagoonN2O)+('Mitigation drivers'!J87*LiquidN2O)+('Mitigation drivers'!J88*DrylotN2O)+('Mitigation drivers'!J89*SolidStorageN2O)+('Mitigation drivers'!J90*DailyspreadN2O)+('Mitigation drivers'!J91*CompostN2O)+('Mitigation drivers'!J92*ManwithbedN2O)+('Mitigation drivers'!J93*PMwithoutlitterN2O)+('Mitigation drivers'!J94*PMwithlitterN2O)+('Mitigation drivers'!J96*DigesterN2OEF))/100</f>
        <v>2.0000000000000001E-4</v>
      </c>
      <c r="P60" s="26">
        <f>(('Mitigation drivers'!K86*LagoonN2O)+('Mitigation drivers'!K87*LiquidN2O)+('Mitigation drivers'!K88*DrylotN2O)+('Mitigation drivers'!K89*SolidStorageN2O)+('Mitigation drivers'!K90*DailyspreadN2O)+('Mitigation drivers'!K91*CompostN2O)+('Mitigation drivers'!K92*ManwithbedN2O)+('Mitigation drivers'!K93*PMwithoutlitterN2O)+('Mitigation drivers'!K94*PMwithlitterN2O)+('Mitigation drivers'!K96*DigesterN2OEF))/100</f>
        <v>2.0000000000000001E-4</v>
      </c>
      <c r="Q60" s="26">
        <f>(('Mitigation drivers'!L86*LagoonN2O)+('Mitigation drivers'!L87*LiquidN2O)+('Mitigation drivers'!L88*DrylotN2O)+('Mitigation drivers'!L89*SolidStorageN2O)+('Mitigation drivers'!L90*DailyspreadN2O)+('Mitigation drivers'!L91*CompostN2O)+('Mitigation drivers'!L92*ManwithbedN2O)+('Mitigation drivers'!L93*PMwithoutlitterN2O)+('Mitigation drivers'!L94*PMwithlitterN2O)+('Mitigation drivers'!L96*DigesterN2OEF))/100</f>
        <v>2.0000000000000001E-4</v>
      </c>
      <c r="R60" s="26">
        <f>(('Mitigation drivers'!M86*LagoonN2O)+('Mitigation drivers'!M87*LiquidN2O)+('Mitigation drivers'!M88*DrylotN2O)+('Mitigation drivers'!M89*SolidStorageN2O)+('Mitigation drivers'!M90*DailyspreadN2O)+('Mitigation drivers'!M91*CompostN2O)+('Mitigation drivers'!M92*ManwithbedN2O)+('Mitigation drivers'!M93*PMwithoutlitterN2O)+('Mitigation drivers'!M94*PMwithlitterN2O)+('Mitigation drivers'!M96*DigesterN2OEF))/100</f>
        <v>2.0000000000000001E-4</v>
      </c>
      <c r="S60" s="26">
        <f>(('Mitigation drivers'!N86*LagoonN2O)+('Mitigation drivers'!N87*LiquidN2O)+('Mitigation drivers'!N88*DrylotN2O)+('Mitigation drivers'!N89*SolidStorageN2O)+('Mitigation drivers'!N90*DailyspreadN2O)+('Mitigation drivers'!N91*CompostN2O)+('Mitigation drivers'!N92*ManwithbedN2O)+('Mitigation drivers'!N93*PMwithoutlitterN2O)+('Mitigation drivers'!N94*PMwithlitterN2O)+('Mitigation drivers'!N96*DigesterN2OEF))/100</f>
        <v>2.0000000000000001E-4</v>
      </c>
      <c r="T60" s="26">
        <f>(('Mitigation drivers'!O86*LagoonN2O)+('Mitigation drivers'!O87*LiquidN2O)+('Mitigation drivers'!O88*DrylotN2O)+('Mitigation drivers'!O89*SolidStorageN2O)+('Mitigation drivers'!O90*DailyspreadN2O)+('Mitigation drivers'!O91*CompostN2O)+('Mitigation drivers'!O92*ManwithbedN2O)+('Mitigation drivers'!O93*PMwithoutlitterN2O)+('Mitigation drivers'!O94*PMwithlitterN2O)+('Mitigation drivers'!O96*DigesterN2OEF))/100</f>
        <v>2.0000000000000001E-4</v>
      </c>
      <c r="U60" s="26">
        <f>(('Mitigation drivers'!P86*LagoonN2O)+('Mitigation drivers'!P87*LiquidN2O)+('Mitigation drivers'!P88*DrylotN2O)+('Mitigation drivers'!P89*SolidStorageN2O)+('Mitigation drivers'!P90*DailyspreadN2O)+('Mitigation drivers'!P91*CompostN2O)+('Mitigation drivers'!P92*ManwithbedN2O)+('Mitigation drivers'!P93*PMwithoutlitterN2O)+('Mitigation drivers'!P94*PMwithlitterN2O)+('Mitigation drivers'!P96*DigesterN2OEF))/100</f>
        <v>2.0000000000000001E-4</v>
      </c>
      <c r="V60" s="26">
        <f>(('Mitigation drivers'!Q86*LagoonN2O)+('Mitigation drivers'!Q87*LiquidN2O)+('Mitigation drivers'!Q88*DrylotN2O)+('Mitigation drivers'!Q89*SolidStorageN2O)+('Mitigation drivers'!Q90*DailyspreadN2O)+('Mitigation drivers'!Q91*CompostN2O)+('Mitigation drivers'!Q92*ManwithbedN2O)+('Mitigation drivers'!Q93*PMwithoutlitterN2O)+('Mitigation drivers'!Q94*PMwithlitterN2O)+('Mitigation drivers'!Q96*DigesterN2OEF))/100</f>
        <v>2.0000000000000001E-4</v>
      </c>
      <c r="W60" s="26">
        <f>(('Mitigation drivers'!R86*LagoonN2O)+('Mitigation drivers'!R87*LiquidN2O)+('Mitigation drivers'!R88*DrylotN2O)+('Mitigation drivers'!R89*SolidStorageN2O)+('Mitigation drivers'!R90*DailyspreadN2O)+('Mitigation drivers'!R91*CompostN2O)+('Mitigation drivers'!R92*ManwithbedN2O)+('Mitigation drivers'!R93*PMwithoutlitterN2O)+('Mitigation drivers'!R94*PMwithlitterN2O)+('Mitigation drivers'!R96*DigesterN2OEF))/100</f>
        <v>2.0000000000000001E-4</v>
      </c>
      <c r="X60" s="26">
        <f>(('Mitigation drivers'!S86*LagoonN2O)+('Mitigation drivers'!S87*LiquidN2O)+('Mitigation drivers'!S88*DrylotN2O)+('Mitigation drivers'!S89*SolidStorageN2O)+('Mitigation drivers'!S90*DailyspreadN2O)+('Mitigation drivers'!S91*CompostN2O)+('Mitigation drivers'!S92*ManwithbedN2O)+('Mitigation drivers'!S93*PMwithoutlitterN2O)+('Mitigation drivers'!S94*PMwithlitterN2O)+('Mitigation drivers'!S96*DigesterN2OEF))/100</f>
        <v>2.0000000000000001E-4</v>
      </c>
      <c r="Y60" s="26">
        <f>(('Mitigation drivers'!T86*LagoonN2O)+('Mitigation drivers'!T87*LiquidN2O)+('Mitigation drivers'!T88*DrylotN2O)+('Mitigation drivers'!T89*SolidStorageN2O)+('Mitigation drivers'!T90*DailyspreadN2O)+('Mitigation drivers'!T91*CompostN2O)+('Mitigation drivers'!T92*ManwithbedN2O)+('Mitigation drivers'!T93*PMwithoutlitterN2O)+('Mitigation drivers'!T94*PMwithlitterN2O)+('Mitigation drivers'!T96*DigesterN2OEF))/100</f>
        <v>2.0000000000000001E-4</v>
      </c>
      <c r="Z60" s="26">
        <f>(('Mitigation drivers'!U86*LagoonN2O)+('Mitigation drivers'!U87*LiquidN2O)+('Mitigation drivers'!U88*DrylotN2O)+('Mitigation drivers'!U89*SolidStorageN2O)+('Mitigation drivers'!U90*DailyspreadN2O)+('Mitigation drivers'!U91*CompostN2O)+('Mitigation drivers'!U92*ManwithbedN2O)+('Mitigation drivers'!U93*PMwithoutlitterN2O)+('Mitigation drivers'!U94*PMwithlitterN2O)+('Mitigation drivers'!U96*DigesterN2OEF))/100</f>
        <v>2.0000000000000001E-4</v>
      </c>
      <c r="AA60" s="26">
        <f>(('Mitigation drivers'!V86*LagoonN2O)+('Mitigation drivers'!V87*LiquidN2O)+('Mitigation drivers'!V88*DrylotN2O)+('Mitigation drivers'!V89*SolidStorageN2O)+('Mitigation drivers'!V90*DailyspreadN2O)+('Mitigation drivers'!V91*CompostN2O)+('Mitigation drivers'!V92*ManwithbedN2O)+('Mitigation drivers'!V93*PMwithoutlitterN2O)+('Mitigation drivers'!V94*PMwithlitterN2O)+('Mitigation drivers'!V96*DigesterN2OEF))/100</f>
        <v>2.0000000000000001E-4</v>
      </c>
      <c r="AB60" s="26">
        <f>(('Mitigation drivers'!W86*LagoonN2O)+('Mitigation drivers'!W87*LiquidN2O)+('Mitigation drivers'!W88*DrylotN2O)+('Mitigation drivers'!W89*SolidStorageN2O)+('Mitigation drivers'!W90*DailyspreadN2O)+('Mitigation drivers'!W91*CompostN2O)+('Mitigation drivers'!W92*ManwithbedN2O)+('Mitigation drivers'!W93*PMwithoutlitterN2O)+('Mitigation drivers'!W94*PMwithlitterN2O)+('Mitigation drivers'!W96*DigesterN2OEF))/100</f>
        <v>2.0000000000000001E-4</v>
      </c>
      <c r="AC60" s="26">
        <f>(('Mitigation drivers'!X86*LagoonN2O)+('Mitigation drivers'!X87*LiquidN2O)+('Mitigation drivers'!X88*DrylotN2O)+('Mitigation drivers'!X89*SolidStorageN2O)+('Mitigation drivers'!X90*DailyspreadN2O)+('Mitigation drivers'!X91*CompostN2O)+('Mitigation drivers'!X92*ManwithbedN2O)+('Mitigation drivers'!X93*PMwithoutlitterN2O)+('Mitigation drivers'!X94*PMwithlitterN2O)+('Mitigation drivers'!X96*DigesterN2OEF))/100</f>
        <v>2.0000000000000001E-4</v>
      </c>
      <c r="AD60" s="26">
        <f>(('Mitigation drivers'!Y86*LagoonN2O)+('Mitigation drivers'!Y87*LiquidN2O)+('Mitigation drivers'!Y88*DrylotN2O)+('Mitigation drivers'!Y89*SolidStorageN2O)+('Mitigation drivers'!Y90*DailyspreadN2O)+('Mitigation drivers'!Y91*CompostN2O)+('Mitigation drivers'!Y92*ManwithbedN2O)+('Mitigation drivers'!Y93*PMwithoutlitterN2O)+('Mitigation drivers'!Y94*PMwithlitterN2O)+('Mitigation drivers'!Y96*DigesterN2OEF))/100</f>
        <v>2.0000000000000001E-4</v>
      </c>
      <c r="AE60" s="26">
        <f>(('Mitigation drivers'!Z86*LagoonN2O)+('Mitigation drivers'!Z87*LiquidN2O)+('Mitigation drivers'!Z88*DrylotN2O)+('Mitigation drivers'!Z89*SolidStorageN2O)+('Mitigation drivers'!Z90*DailyspreadN2O)+('Mitigation drivers'!Z91*CompostN2O)+('Mitigation drivers'!Z92*ManwithbedN2O)+('Mitigation drivers'!Z93*PMwithoutlitterN2O)+('Mitigation drivers'!Z94*PMwithlitterN2O)+('Mitigation drivers'!Z96*DigesterN2OEF))/100</f>
        <v>2.0000000000000001E-4</v>
      </c>
      <c r="AF60" s="26">
        <f>(('Mitigation drivers'!AA86*LagoonN2O)+('Mitigation drivers'!AA87*LiquidN2O)+('Mitigation drivers'!AA88*DrylotN2O)+('Mitigation drivers'!AA89*SolidStorageN2O)+('Mitigation drivers'!AA90*DailyspreadN2O)+('Mitigation drivers'!AA91*CompostN2O)+('Mitigation drivers'!AA92*ManwithbedN2O)+('Mitigation drivers'!AA93*PMwithoutlitterN2O)+('Mitigation drivers'!AA94*PMwithlitterN2O)+('Mitigation drivers'!AA96*DigesterN2OEF))/100</f>
        <v>2.0000000000000001E-4</v>
      </c>
      <c r="AG60" s="26">
        <f>(('Mitigation drivers'!AB86*LagoonN2O)+('Mitigation drivers'!AB87*LiquidN2O)+('Mitigation drivers'!AB88*DrylotN2O)+('Mitigation drivers'!AB89*SolidStorageN2O)+('Mitigation drivers'!AB90*DailyspreadN2O)+('Mitigation drivers'!AB91*CompostN2O)+('Mitigation drivers'!AB92*ManwithbedN2O)+('Mitigation drivers'!AB93*PMwithoutlitterN2O)+('Mitigation drivers'!AB94*PMwithlitterN2O)+('Mitigation drivers'!AB96*DigesterN2OEF))/100</f>
        <v>2.0000000000000001E-4</v>
      </c>
      <c r="AH60" s="26">
        <f>(('Mitigation drivers'!AC86*LagoonN2O)+('Mitigation drivers'!AC87*LiquidN2O)+('Mitigation drivers'!AC88*DrylotN2O)+('Mitigation drivers'!AC89*SolidStorageN2O)+('Mitigation drivers'!AC90*DailyspreadN2O)+('Mitigation drivers'!AC91*CompostN2O)+('Mitigation drivers'!AC92*ManwithbedN2O)+('Mitigation drivers'!AC93*PMwithoutlitterN2O)+('Mitigation drivers'!AC94*PMwithlitterN2O)+('Mitigation drivers'!AC96*DigesterN2OEF))/100</f>
        <v>2.0000000000000001E-4</v>
      </c>
      <c r="AI60" s="26">
        <f>(('Mitigation drivers'!AD86*LagoonN2O)+('Mitigation drivers'!AD87*LiquidN2O)+('Mitigation drivers'!AD88*DrylotN2O)+('Mitigation drivers'!AD89*SolidStorageN2O)+('Mitigation drivers'!AD90*DailyspreadN2O)+('Mitigation drivers'!AD91*CompostN2O)+('Mitigation drivers'!AD92*ManwithbedN2O)+('Mitigation drivers'!AD93*PMwithoutlitterN2O)+('Mitigation drivers'!AD94*PMwithlitterN2O)+('Mitigation drivers'!AD96*DigesterN2OEF))/100</f>
        <v>2.0000000000000001E-4</v>
      </c>
      <c r="AJ60" s="26">
        <f>(('Mitigation drivers'!AE86*LagoonN2O)+('Mitigation drivers'!AE87*LiquidN2O)+('Mitigation drivers'!AE88*DrylotN2O)+('Mitigation drivers'!AE89*SolidStorageN2O)+('Mitigation drivers'!AE90*DailyspreadN2O)+('Mitigation drivers'!AE91*CompostN2O)+('Mitigation drivers'!AE92*ManwithbedN2O)+('Mitigation drivers'!AE93*PMwithoutlitterN2O)+('Mitigation drivers'!AE94*PMwithlitterN2O)+('Mitigation drivers'!AE96*DigesterN2OEF))/100</f>
        <v>2.0000000000000001E-4</v>
      </c>
      <c r="AK60" s="26">
        <f>(('Mitigation drivers'!AF86*LagoonN2O)+('Mitigation drivers'!AF87*LiquidN2O)+('Mitigation drivers'!AF88*DrylotN2O)+('Mitigation drivers'!AF89*SolidStorageN2O)+('Mitigation drivers'!AF90*DailyspreadN2O)+('Mitigation drivers'!AF91*CompostN2O)+('Mitigation drivers'!AF92*ManwithbedN2O)+('Mitigation drivers'!AF93*PMwithoutlitterN2O)+('Mitigation drivers'!AF94*PMwithlitterN2O)+('Mitigation drivers'!AF96*DigesterN2OEF))/100</f>
        <v>2.0000000000000001E-4</v>
      </c>
      <c r="AL60" s="26">
        <f>(('Mitigation drivers'!AG86*LagoonN2O)+('Mitigation drivers'!AG87*LiquidN2O)+('Mitigation drivers'!AG88*DrylotN2O)+('Mitigation drivers'!AG89*SolidStorageN2O)+('Mitigation drivers'!AG90*DailyspreadN2O)+('Mitigation drivers'!AG91*CompostN2O)+('Mitigation drivers'!AG92*ManwithbedN2O)+('Mitigation drivers'!AG93*PMwithoutlitterN2O)+('Mitigation drivers'!AG94*PMwithlitterN2O)+('Mitigation drivers'!AG96*DigesterN2OEF))/100</f>
        <v>2.0000000000000001E-4</v>
      </c>
      <c r="AM60" s="26">
        <f>(('Mitigation drivers'!AH86*LagoonN2O)+('Mitigation drivers'!AH87*LiquidN2O)+('Mitigation drivers'!AH88*DrylotN2O)+('Mitigation drivers'!AH89*SolidStorageN2O)+('Mitigation drivers'!AH90*DailyspreadN2O)+('Mitigation drivers'!AH91*CompostN2O)+('Mitigation drivers'!AH92*ManwithbedN2O)+('Mitigation drivers'!AH93*PMwithoutlitterN2O)+('Mitigation drivers'!AH94*PMwithlitterN2O)+('Mitigation drivers'!AH96*DigesterN2OEF))/100</f>
        <v>2.0000000000000001E-4</v>
      </c>
      <c r="AN60" s="26">
        <f>(('Mitigation drivers'!AI86*LagoonN2O)+('Mitigation drivers'!AI87*LiquidN2O)+('Mitigation drivers'!AI88*DrylotN2O)+('Mitigation drivers'!AI89*SolidStorageN2O)+('Mitigation drivers'!AI90*DailyspreadN2O)+('Mitigation drivers'!AI91*CompostN2O)+('Mitigation drivers'!AI92*ManwithbedN2O)+('Mitigation drivers'!AI93*PMwithoutlitterN2O)+('Mitigation drivers'!AI94*PMwithlitterN2O)+('Mitigation drivers'!AI96*DigesterN2OEF))/100</f>
        <v>2.0000000000000001E-4</v>
      </c>
      <c r="AO60" s="26">
        <f>(('Mitigation drivers'!AJ86*LagoonN2O)+('Mitigation drivers'!AJ87*LiquidN2O)+('Mitigation drivers'!AJ88*DrylotN2O)+('Mitigation drivers'!AJ89*SolidStorageN2O)+('Mitigation drivers'!AJ90*DailyspreadN2O)+('Mitigation drivers'!AJ91*CompostN2O)+('Mitigation drivers'!AJ92*ManwithbedN2O)+('Mitigation drivers'!AJ93*PMwithoutlitterN2O)+('Mitigation drivers'!AJ94*PMwithlitterN2O)+('Mitigation drivers'!AJ96*DigesterN2OEF))/100</f>
        <v>2.0000000000000001E-4</v>
      </c>
    </row>
    <row r="61" spans="1:41" x14ac:dyDescent="0.25">
      <c r="A61" t="str">
        <f t="shared" si="1"/>
        <v>3A Livestock</v>
      </c>
      <c r="B61" t="str">
        <f t="shared" si="8"/>
        <v>3A2 Manure management (N2O)</v>
      </c>
      <c r="C61" t="str">
        <f>'Activity data'!C12</f>
        <v>3A1c Sheep</v>
      </c>
      <c r="D61" t="str">
        <f>'Activity data'!D12</f>
        <v>Subsistence</v>
      </c>
      <c r="E61" t="str">
        <f t="shared" si="27"/>
        <v>Manure management EF</v>
      </c>
      <c r="F61" t="str">
        <f t="shared" si="28"/>
        <v>N2O</v>
      </c>
      <c r="G61" t="str">
        <f t="shared" si="29"/>
        <v>kg N2O-N/kg Nex</v>
      </c>
      <c r="H61" s="26">
        <f>(('Mitigation drivers'!C97*LagoonN2O)+('Mitigation drivers'!C98*LiquidN2O)+('Mitigation drivers'!C99*DrylotN2O)+('Mitigation drivers'!C100*SolidStorageN2O)+('Mitigation drivers'!C101*DailyspreadN2O)+('Mitigation drivers'!C102*CompostN2O)+('Mitigation drivers'!C103*ManwithbedN2O)+('Mitigation drivers'!C104*PMwithoutlitterN2O)+('Mitigation drivers'!C105*PMwithlitterN2O)+('Mitigation drivers'!C107*DigesterN2OEF))/100</f>
        <v>8.9999999999999998E-4</v>
      </c>
      <c r="I61" s="26">
        <f>(('Mitigation drivers'!D97*LagoonN2O)+('Mitigation drivers'!D98*LiquidN2O)+('Mitigation drivers'!D99*DrylotN2O)+('Mitigation drivers'!D100*SolidStorageN2O)+('Mitigation drivers'!D101*DailyspreadN2O)+('Mitigation drivers'!D102*CompostN2O)+('Mitigation drivers'!D103*ManwithbedN2O)+('Mitigation drivers'!D104*PMwithoutlitterN2O)+('Mitigation drivers'!D105*PMwithlitterN2O)+('Mitigation drivers'!D107*DigesterN2OEF))/100</f>
        <v>8.9999999999999998E-4</v>
      </c>
      <c r="J61" s="26">
        <f>(('Mitigation drivers'!E97*LagoonN2O)+('Mitigation drivers'!E98*LiquidN2O)+('Mitigation drivers'!E99*DrylotN2O)+('Mitigation drivers'!E100*SolidStorageN2O)+('Mitigation drivers'!E101*DailyspreadN2O)+('Mitigation drivers'!E102*CompostN2O)+('Mitigation drivers'!E103*ManwithbedN2O)+('Mitigation drivers'!E104*PMwithoutlitterN2O)+('Mitigation drivers'!E105*PMwithlitterN2O)+('Mitigation drivers'!E107*DigesterN2OEF))/100</f>
        <v>8.9999999999999998E-4</v>
      </c>
      <c r="K61" s="26">
        <f>(('Mitigation drivers'!F97*LagoonN2O)+('Mitigation drivers'!F98*LiquidN2O)+('Mitigation drivers'!F99*DrylotN2O)+('Mitigation drivers'!F100*SolidStorageN2O)+('Mitigation drivers'!F101*DailyspreadN2O)+('Mitigation drivers'!F102*CompostN2O)+('Mitigation drivers'!F103*ManwithbedN2O)+('Mitigation drivers'!F104*PMwithoutlitterN2O)+('Mitigation drivers'!F105*PMwithlitterN2O)+('Mitigation drivers'!F107*DigesterN2OEF))/100</f>
        <v>8.9999999999999998E-4</v>
      </c>
      <c r="L61" s="26">
        <f>(('Mitigation drivers'!G97*LagoonN2O)+('Mitigation drivers'!G98*LiquidN2O)+('Mitigation drivers'!G99*DrylotN2O)+('Mitigation drivers'!G100*SolidStorageN2O)+('Mitigation drivers'!G101*DailyspreadN2O)+('Mitigation drivers'!G102*CompostN2O)+('Mitigation drivers'!G103*ManwithbedN2O)+('Mitigation drivers'!G104*PMwithoutlitterN2O)+('Mitigation drivers'!G105*PMwithlitterN2O)+('Mitigation drivers'!G107*DigesterN2OEF))/100</f>
        <v>8.9999999999999998E-4</v>
      </c>
      <c r="M61" s="26">
        <f>(('Mitigation drivers'!H97*LagoonN2O)+('Mitigation drivers'!H98*LiquidN2O)+('Mitigation drivers'!H99*DrylotN2O)+('Mitigation drivers'!H100*SolidStorageN2O)+('Mitigation drivers'!H101*DailyspreadN2O)+('Mitigation drivers'!H102*CompostN2O)+('Mitigation drivers'!H103*ManwithbedN2O)+('Mitigation drivers'!H104*PMwithoutlitterN2O)+('Mitigation drivers'!H105*PMwithlitterN2O)+('Mitigation drivers'!H107*DigesterN2OEF))/100</f>
        <v>8.9999999999999998E-4</v>
      </c>
      <c r="N61" s="26">
        <f>(('Mitigation drivers'!I97*LagoonN2O)+('Mitigation drivers'!I98*LiquidN2O)+('Mitigation drivers'!I99*DrylotN2O)+('Mitigation drivers'!I100*SolidStorageN2O)+('Mitigation drivers'!I101*DailyspreadN2O)+('Mitigation drivers'!I102*CompostN2O)+('Mitigation drivers'!I103*ManwithbedN2O)+('Mitigation drivers'!I104*PMwithoutlitterN2O)+('Mitigation drivers'!I105*PMwithlitterN2O)+('Mitigation drivers'!I107*DigesterN2OEF))/100</f>
        <v>8.9999999999999998E-4</v>
      </c>
      <c r="O61" s="26">
        <f>(('Mitigation drivers'!J97*LagoonN2O)+('Mitigation drivers'!J98*LiquidN2O)+('Mitigation drivers'!J99*DrylotN2O)+('Mitigation drivers'!J100*SolidStorageN2O)+('Mitigation drivers'!J101*DailyspreadN2O)+('Mitigation drivers'!J102*CompostN2O)+('Mitigation drivers'!J103*ManwithbedN2O)+('Mitigation drivers'!J104*PMwithoutlitterN2O)+('Mitigation drivers'!J105*PMwithlitterN2O)+('Mitigation drivers'!J107*DigesterN2OEF))/100</f>
        <v>8.9999999999999998E-4</v>
      </c>
      <c r="P61" s="26">
        <f>(('Mitigation drivers'!K97*LagoonN2O)+('Mitigation drivers'!K98*LiquidN2O)+('Mitigation drivers'!K99*DrylotN2O)+('Mitigation drivers'!K100*SolidStorageN2O)+('Mitigation drivers'!K101*DailyspreadN2O)+('Mitigation drivers'!K102*CompostN2O)+('Mitigation drivers'!K103*ManwithbedN2O)+('Mitigation drivers'!K104*PMwithoutlitterN2O)+('Mitigation drivers'!K105*PMwithlitterN2O)+('Mitigation drivers'!K107*DigesterN2OEF))/100</f>
        <v>8.9999999999999998E-4</v>
      </c>
      <c r="Q61" s="26">
        <f>(('Mitigation drivers'!L97*LagoonN2O)+('Mitigation drivers'!L98*LiquidN2O)+('Mitigation drivers'!L99*DrylotN2O)+('Mitigation drivers'!L100*SolidStorageN2O)+('Mitigation drivers'!L101*DailyspreadN2O)+('Mitigation drivers'!L102*CompostN2O)+('Mitigation drivers'!L103*ManwithbedN2O)+('Mitigation drivers'!L104*PMwithoutlitterN2O)+('Mitigation drivers'!L105*PMwithlitterN2O)+('Mitigation drivers'!L107*DigesterN2OEF))/100</f>
        <v>8.9999999999999998E-4</v>
      </c>
      <c r="R61" s="26">
        <f>(('Mitigation drivers'!M97*LagoonN2O)+('Mitigation drivers'!M98*LiquidN2O)+('Mitigation drivers'!M99*DrylotN2O)+('Mitigation drivers'!M100*SolidStorageN2O)+('Mitigation drivers'!M101*DailyspreadN2O)+('Mitigation drivers'!M102*CompostN2O)+('Mitigation drivers'!M103*ManwithbedN2O)+('Mitigation drivers'!M104*PMwithoutlitterN2O)+('Mitigation drivers'!M105*PMwithlitterN2O)+('Mitigation drivers'!M107*DigesterN2OEF))/100</f>
        <v>8.9999999999999998E-4</v>
      </c>
      <c r="S61" s="26">
        <f>(('Mitigation drivers'!N97*LagoonN2O)+('Mitigation drivers'!N98*LiquidN2O)+('Mitigation drivers'!N99*DrylotN2O)+('Mitigation drivers'!N100*SolidStorageN2O)+('Mitigation drivers'!N101*DailyspreadN2O)+('Mitigation drivers'!N102*CompostN2O)+('Mitigation drivers'!N103*ManwithbedN2O)+('Mitigation drivers'!N104*PMwithoutlitterN2O)+('Mitigation drivers'!N105*PMwithlitterN2O)+('Mitigation drivers'!N107*DigesterN2OEF))/100</f>
        <v>8.9999999999999998E-4</v>
      </c>
      <c r="T61" s="26">
        <f>(('Mitigation drivers'!O97*LagoonN2O)+('Mitigation drivers'!O98*LiquidN2O)+('Mitigation drivers'!O99*DrylotN2O)+('Mitigation drivers'!O100*SolidStorageN2O)+('Mitigation drivers'!O101*DailyspreadN2O)+('Mitigation drivers'!O102*CompostN2O)+('Mitigation drivers'!O103*ManwithbedN2O)+('Mitigation drivers'!O104*PMwithoutlitterN2O)+('Mitigation drivers'!O105*PMwithlitterN2O)+('Mitigation drivers'!O107*DigesterN2OEF))/100</f>
        <v>8.9999999999999998E-4</v>
      </c>
      <c r="U61" s="26">
        <f>(('Mitigation drivers'!P97*LagoonN2O)+('Mitigation drivers'!P98*LiquidN2O)+('Mitigation drivers'!P99*DrylotN2O)+('Mitigation drivers'!P100*SolidStorageN2O)+('Mitigation drivers'!P101*DailyspreadN2O)+('Mitigation drivers'!P102*CompostN2O)+('Mitigation drivers'!P103*ManwithbedN2O)+('Mitigation drivers'!P104*PMwithoutlitterN2O)+('Mitigation drivers'!P105*PMwithlitterN2O)+('Mitigation drivers'!P107*DigesterN2OEF))/100</f>
        <v>8.9999999999999998E-4</v>
      </c>
      <c r="V61" s="26">
        <f>(('Mitigation drivers'!Q97*LagoonN2O)+('Mitigation drivers'!Q98*LiquidN2O)+('Mitigation drivers'!Q99*DrylotN2O)+('Mitigation drivers'!Q100*SolidStorageN2O)+('Mitigation drivers'!Q101*DailyspreadN2O)+('Mitigation drivers'!Q102*CompostN2O)+('Mitigation drivers'!Q103*ManwithbedN2O)+('Mitigation drivers'!Q104*PMwithoutlitterN2O)+('Mitigation drivers'!Q105*PMwithlitterN2O)+('Mitigation drivers'!Q107*DigesterN2OEF))/100</f>
        <v>8.9999999999999998E-4</v>
      </c>
      <c r="W61" s="26">
        <f>(('Mitigation drivers'!R97*LagoonN2O)+('Mitigation drivers'!R98*LiquidN2O)+('Mitigation drivers'!R99*DrylotN2O)+('Mitigation drivers'!R100*SolidStorageN2O)+('Mitigation drivers'!R101*DailyspreadN2O)+('Mitigation drivers'!R102*CompostN2O)+('Mitigation drivers'!R103*ManwithbedN2O)+('Mitigation drivers'!R104*PMwithoutlitterN2O)+('Mitigation drivers'!R105*PMwithlitterN2O)+('Mitigation drivers'!R107*DigesterN2OEF))/100</f>
        <v>8.9999999999999998E-4</v>
      </c>
      <c r="X61" s="26">
        <f>(('Mitigation drivers'!S97*LagoonN2O)+('Mitigation drivers'!S98*LiquidN2O)+('Mitigation drivers'!S99*DrylotN2O)+('Mitigation drivers'!S100*SolidStorageN2O)+('Mitigation drivers'!S101*DailyspreadN2O)+('Mitigation drivers'!S102*CompostN2O)+('Mitigation drivers'!S103*ManwithbedN2O)+('Mitigation drivers'!S104*PMwithoutlitterN2O)+('Mitigation drivers'!S105*PMwithlitterN2O)+('Mitigation drivers'!S107*DigesterN2OEF))/100</f>
        <v>8.9999999999999998E-4</v>
      </c>
      <c r="Y61" s="26">
        <f>(('Mitigation drivers'!T97*LagoonN2O)+('Mitigation drivers'!T98*LiquidN2O)+('Mitigation drivers'!T99*DrylotN2O)+('Mitigation drivers'!T100*SolidStorageN2O)+('Mitigation drivers'!T101*DailyspreadN2O)+('Mitigation drivers'!T102*CompostN2O)+('Mitigation drivers'!T103*ManwithbedN2O)+('Mitigation drivers'!T104*PMwithoutlitterN2O)+('Mitigation drivers'!T105*PMwithlitterN2O)+('Mitigation drivers'!T107*DigesterN2OEF))/100</f>
        <v>8.9999999999999998E-4</v>
      </c>
      <c r="Z61" s="26">
        <f>(('Mitigation drivers'!U97*LagoonN2O)+('Mitigation drivers'!U98*LiquidN2O)+('Mitigation drivers'!U99*DrylotN2O)+('Mitigation drivers'!U100*SolidStorageN2O)+('Mitigation drivers'!U101*DailyspreadN2O)+('Mitigation drivers'!U102*CompostN2O)+('Mitigation drivers'!U103*ManwithbedN2O)+('Mitigation drivers'!U104*PMwithoutlitterN2O)+('Mitigation drivers'!U105*PMwithlitterN2O)+('Mitigation drivers'!U107*DigesterN2OEF))/100</f>
        <v>8.9999999999999998E-4</v>
      </c>
      <c r="AA61" s="26">
        <f>(('Mitigation drivers'!V97*LagoonN2O)+('Mitigation drivers'!V98*LiquidN2O)+('Mitigation drivers'!V99*DrylotN2O)+('Mitigation drivers'!V100*SolidStorageN2O)+('Mitigation drivers'!V101*DailyspreadN2O)+('Mitigation drivers'!V102*CompostN2O)+('Mitigation drivers'!V103*ManwithbedN2O)+('Mitigation drivers'!V104*PMwithoutlitterN2O)+('Mitigation drivers'!V105*PMwithlitterN2O)+('Mitigation drivers'!V107*DigesterN2OEF))/100</f>
        <v>8.9999999999999998E-4</v>
      </c>
      <c r="AB61" s="26">
        <f>(('Mitigation drivers'!W97*LagoonN2O)+('Mitigation drivers'!W98*LiquidN2O)+('Mitigation drivers'!W99*DrylotN2O)+('Mitigation drivers'!W100*SolidStorageN2O)+('Mitigation drivers'!W101*DailyspreadN2O)+('Mitigation drivers'!W102*CompostN2O)+('Mitigation drivers'!W103*ManwithbedN2O)+('Mitigation drivers'!W104*PMwithoutlitterN2O)+('Mitigation drivers'!W105*PMwithlitterN2O)+('Mitigation drivers'!W107*DigesterN2OEF))/100</f>
        <v>8.9999999999999998E-4</v>
      </c>
      <c r="AC61" s="26">
        <f>(('Mitigation drivers'!X97*LagoonN2O)+('Mitigation drivers'!X98*LiquidN2O)+('Mitigation drivers'!X99*DrylotN2O)+('Mitigation drivers'!X100*SolidStorageN2O)+('Mitigation drivers'!X101*DailyspreadN2O)+('Mitigation drivers'!X102*CompostN2O)+('Mitigation drivers'!X103*ManwithbedN2O)+('Mitigation drivers'!X104*PMwithoutlitterN2O)+('Mitigation drivers'!X105*PMwithlitterN2O)+('Mitigation drivers'!X107*DigesterN2OEF))/100</f>
        <v>8.9999999999999998E-4</v>
      </c>
      <c r="AD61" s="26">
        <f>(('Mitigation drivers'!Y97*LagoonN2O)+('Mitigation drivers'!Y98*LiquidN2O)+('Mitigation drivers'!Y99*DrylotN2O)+('Mitigation drivers'!Y100*SolidStorageN2O)+('Mitigation drivers'!Y101*DailyspreadN2O)+('Mitigation drivers'!Y102*CompostN2O)+('Mitigation drivers'!Y103*ManwithbedN2O)+('Mitigation drivers'!Y104*PMwithoutlitterN2O)+('Mitigation drivers'!Y105*PMwithlitterN2O)+('Mitigation drivers'!Y107*DigesterN2OEF))/100</f>
        <v>8.9999999999999998E-4</v>
      </c>
      <c r="AE61" s="26">
        <f>(('Mitigation drivers'!Z97*LagoonN2O)+('Mitigation drivers'!Z98*LiquidN2O)+('Mitigation drivers'!Z99*DrylotN2O)+('Mitigation drivers'!Z100*SolidStorageN2O)+('Mitigation drivers'!Z101*DailyspreadN2O)+('Mitigation drivers'!Z102*CompostN2O)+('Mitigation drivers'!Z103*ManwithbedN2O)+('Mitigation drivers'!Z104*PMwithoutlitterN2O)+('Mitigation drivers'!Z105*PMwithlitterN2O)+('Mitigation drivers'!Z107*DigesterN2OEF))/100</f>
        <v>8.9999999999999998E-4</v>
      </c>
      <c r="AF61" s="26">
        <f>(('Mitigation drivers'!AA97*LagoonN2O)+('Mitigation drivers'!AA98*LiquidN2O)+('Mitigation drivers'!AA99*DrylotN2O)+('Mitigation drivers'!AA100*SolidStorageN2O)+('Mitigation drivers'!AA101*DailyspreadN2O)+('Mitigation drivers'!AA102*CompostN2O)+('Mitigation drivers'!AA103*ManwithbedN2O)+('Mitigation drivers'!AA104*PMwithoutlitterN2O)+('Mitigation drivers'!AA105*PMwithlitterN2O)+('Mitigation drivers'!AA107*DigesterN2OEF))/100</f>
        <v>8.9999999999999998E-4</v>
      </c>
      <c r="AG61" s="26">
        <f>(('Mitigation drivers'!AB97*LagoonN2O)+('Mitigation drivers'!AB98*LiquidN2O)+('Mitigation drivers'!AB99*DrylotN2O)+('Mitigation drivers'!AB100*SolidStorageN2O)+('Mitigation drivers'!AB101*DailyspreadN2O)+('Mitigation drivers'!AB102*CompostN2O)+('Mitigation drivers'!AB103*ManwithbedN2O)+('Mitigation drivers'!AB104*PMwithoutlitterN2O)+('Mitigation drivers'!AB105*PMwithlitterN2O)+('Mitigation drivers'!AB107*DigesterN2OEF))/100</f>
        <v>8.9999999999999998E-4</v>
      </c>
      <c r="AH61" s="26">
        <f>(('Mitigation drivers'!AC97*LagoonN2O)+('Mitigation drivers'!AC98*LiquidN2O)+('Mitigation drivers'!AC99*DrylotN2O)+('Mitigation drivers'!AC100*SolidStorageN2O)+('Mitigation drivers'!AC101*DailyspreadN2O)+('Mitigation drivers'!AC102*CompostN2O)+('Mitigation drivers'!AC103*ManwithbedN2O)+('Mitigation drivers'!AC104*PMwithoutlitterN2O)+('Mitigation drivers'!AC105*PMwithlitterN2O)+('Mitigation drivers'!AC107*DigesterN2OEF))/100</f>
        <v>8.9999999999999998E-4</v>
      </c>
      <c r="AI61" s="26">
        <f>(('Mitigation drivers'!AD97*LagoonN2O)+('Mitigation drivers'!AD98*LiquidN2O)+('Mitigation drivers'!AD99*DrylotN2O)+('Mitigation drivers'!AD100*SolidStorageN2O)+('Mitigation drivers'!AD101*DailyspreadN2O)+('Mitigation drivers'!AD102*CompostN2O)+('Mitigation drivers'!AD103*ManwithbedN2O)+('Mitigation drivers'!AD104*PMwithoutlitterN2O)+('Mitigation drivers'!AD105*PMwithlitterN2O)+('Mitigation drivers'!AD107*DigesterN2OEF))/100</f>
        <v>8.9999999999999998E-4</v>
      </c>
      <c r="AJ61" s="26">
        <f>(('Mitigation drivers'!AE97*LagoonN2O)+('Mitigation drivers'!AE98*LiquidN2O)+('Mitigation drivers'!AE99*DrylotN2O)+('Mitigation drivers'!AE100*SolidStorageN2O)+('Mitigation drivers'!AE101*DailyspreadN2O)+('Mitigation drivers'!AE102*CompostN2O)+('Mitigation drivers'!AE103*ManwithbedN2O)+('Mitigation drivers'!AE104*PMwithoutlitterN2O)+('Mitigation drivers'!AE105*PMwithlitterN2O)+('Mitigation drivers'!AE107*DigesterN2OEF))/100</f>
        <v>8.9999999999999998E-4</v>
      </c>
      <c r="AK61" s="26">
        <f>(('Mitigation drivers'!AF97*LagoonN2O)+('Mitigation drivers'!AF98*LiquidN2O)+('Mitigation drivers'!AF99*DrylotN2O)+('Mitigation drivers'!AF100*SolidStorageN2O)+('Mitigation drivers'!AF101*DailyspreadN2O)+('Mitigation drivers'!AF102*CompostN2O)+('Mitigation drivers'!AF103*ManwithbedN2O)+('Mitigation drivers'!AF104*PMwithoutlitterN2O)+('Mitigation drivers'!AF105*PMwithlitterN2O)+('Mitigation drivers'!AF107*DigesterN2OEF))/100</f>
        <v>8.9999999999999998E-4</v>
      </c>
      <c r="AL61" s="26">
        <f>(('Mitigation drivers'!AG97*LagoonN2O)+('Mitigation drivers'!AG98*LiquidN2O)+('Mitigation drivers'!AG99*DrylotN2O)+('Mitigation drivers'!AG100*SolidStorageN2O)+('Mitigation drivers'!AG101*DailyspreadN2O)+('Mitigation drivers'!AG102*CompostN2O)+('Mitigation drivers'!AG103*ManwithbedN2O)+('Mitigation drivers'!AG104*PMwithoutlitterN2O)+('Mitigation drivers'!AG105*PMwithlitterN2O)+('Mitigation drivers'!AG107*DigesterN2OEF))/100</f>
        <v>8.9999999999999998E-4</v>
      </c>
      <c r="AM61" s="26">
        <f>(('Mitigation drivers'!AH97*LagoonN2O)+('Mitigation drivers'!AH98*LiquidN2O)+('Mitigation drivers'!AH99*DrylotN2O)+('Mitigation drivers'!AH100*SolidStorageN2O)+('Mitigation drivers'!AH101*DailyspreadN2O)+('Mitigation drivers'!AH102*CompostN2O)+('Mitigation drivers'!AH103*ManwithbedN2O)+('Mitigation drivers'!AH104*PMwithoutlitterN2O)+('Mitigation drivers'!AH105*PMwithlitterN2O)+('Mitigation drivers'!AH107*DigesterN2OEF))/100</f>
        <v>8.9999999999999998E-4</v>
      </c>
      <c r="AN61" s="26">
        <f>(('Mitigation drivers'!AI97*LagoonN2O)+('Mitigation drivers'!AI98*LiquidN2O)+('Mitigation drivers'!AI99*DrylotN2O)+('Mitigation drivers'!AI100*SolidStorageN2O)+('Mitigation drivers'!AI101*DailyspreadN2O)+('Mitigation drivers'!AI102*CompostN2O)+('Mitigation drivers'!AI103*ManwithbedN2O)+('Mitigation drivers'!AI104*PMwithoutlitterN2O)+('Mitigation drivers'!AI105*PMwithlitterN2O)+('Mitigation drivers'!AI107*DigesterN2OEF))/100</f>
        <v>8.9999999999999998E-4</v>
      </c>
      <c r="AO61" s="26">
        <f>(('Mitigation drivers'!AJ97*LagoonN2O)+('Mitigation drivers'!AJ98*LiquidN2O)+('Mitigation drivers'!AJ99*DrylotN2O)+('Mitigation drivers'!AJ100*SolidStorageN2O)+('Mitigation drivers'!AJ101*DailyspreadN2O)+('Mitigation drivers'!AJ102*CompostN2O)+('Mitigation drivers'!AJ103*ManwithbedN2O)+('Mitigation drivers'!AJ104*PMwithoutlitterN2O)+('Mitigation drivers'!AJ105*PMwithlitterN2O)+('Mitigation drivers'!AJ107*DigesterN2OEF))/100</f>
        <v>8.9999999999999998E-4</v>
      </c>
    </row>
    <row r="62" spans="1:41" x14ac:dyDescent="0.25">
      <c r="A62" t="str">
        <f t="shared" si="1"/>
        <v>3A Livestock</v>
      </c>
      <c r="B62" t="str">
        <f t="shared" si="8"/>
        <v>3A2 Manure management (N2O)</v>
      </c>
      <c r="C62" t="str">
        <f>'Activity data'!C13</f>
        <v>3A1d Goats</v>
      </c>
      <c r="D62" t="str">
        <f>'Activity data'!D13</f>
        <v>Commercial</v>
      </c>
      <c r="E62" t="str">
        <f t="shared" si="27"/>
        <v>Manure management EF</v>
      </c>
      <c r="F62" t="str">
        <f t="shared" si="28"/>
        <v>N2O</v>
      </c>
      <c r="G62" t="str">
        <f t="shared" si="29"/>
        <v>kg N2O-N/kg Nex</v>
      </c>
      <c r="H62" s="26">
        <f>(('Mitigation drivers'!C110*LagoonN2O)+('Mitigation drivers'!C111*LiquidN2O)+('Mitigation drivers'!C112*DrylotN2O)+('Mitigation drivers'!C113*SolidStorageN2O)+('Mitigation drivers'!C114*DailyspreadN2O)+('Mitigation drivers'!C115*CompostN2O)+('Mitigation drivers'!C116*ManwithbedN2O)+('Mitigation drivers'!C117*PMwithoutlitterN2O)+('Mitigation drivers'!C118*PMwithlitterN2O)+('Mitigation drivers'!C120*DigesterN2OEF))/100</f>
        <v>2.0000000000000001E-4</v>
      </c>
      <c r="I62" s="26">
        <f>(('Mitigation drivers'!D110*LagoonN2O)+('Mitigation drivers'!D111*LiquidN2O)+('Mitigation drivers'!D112*DrylotN2O)+('Mitigation drivers'!D113*SolidStorageN2O)+('Mitigation drivers'!D114*DailyspreadN2O)+('Mitigation drivers'!D115*CompostN2O)+('Mitigation drivers'!D116*ManwithbedN2O)+('Mitigation drivers'!D117*PMwithoutlitterN2O)+('Mitigation drivers'!D118*PMwithlitterN2O)+('Mitigation drivers'!D120*DigesterN2OEF))/100</f>
        <v>2.0000000000000001E-4</v>
      </c>
      <c r="J62" s="26">
        <f>(('Mitigation drivers'!E110*LagoonN2O)+('Mitigation drivers'!E111*LiquidN2O)+('Mitigation drivers'!E112*DrylotN2O)+('Mitigation drivers'!E113*SolidStorageN2O)+('Mitigation drivers'!E114*DailyspreadN2O)+('Mitigation drivers'!E115*CompostN2O)+('Mitigation drivers'!E116*ManwithbedN2O)+('Mitigation drivers'!E117*PMwithoutlitterN2O)+('Mitigation drivers'!E118*PMwithlitterN2O)+('Mitigation drivers'!E120*DigesterN2OEF))/100</f>
        <v>2.0000000000000001E-4</v>
      </c>
      <c r="K62" s="26">
        <f>(('Mitigation drivers'!F110*LagoonN2O)+('Mitigation drivers'!F111*LiquidN2O)+('Mitigation drivers'!F112*DrylotN2O)+('Mitigation drivers'!F113*SolidStorageN2O)+('Mitigation drivers'!F114*DailyspreadN2O)+('Mitigation drivers'!F115*CompostN2O)+('Mitigation drivers'!F116*ManwithbedN2O)+('Mitigation drivers'!F117*PMwithoutlitterN2O)+('Mitigation drivers'!F118*PMwithlitterN2O)+('Mitigation drivers'!F120*DigesterN2OEF))/100</f>
        <v>2.0000000000000001E-4</v>
      </c>
      <c r="L62" s="26">
        <f>(('Mitigation drivers'!G110*LagoonN2O)+('Mitigation drivers'!G111*LiquidN2O)+('Mitigation drivers'!G112*DrylotN2O)+('Mitigation drivers'!G113*SolidStorageN2O)+('Mitigation drivers'!G114*DailyspreadN2O)+('Mitigation drivers'!G115*CompostN2O)+('Mitigation drivers'!G116*ManwithbedN2O)+('Mitigation drivers'!G117*PMwithoutlitterN2O)+('Mitigation drivers'!G118*PMwithlitterN2O)+('Mitigation drivers'!G120*DigesterN2OEF))/100</f>
        <v>2.0000000000000001E-4</v>
      </c>
      <c r="M62" s="26">
        <f>(('Mitigation drivers'!H110*LagoonN2O)+('Mitigation drivers'!H111*LiquidN2O)+('Mitigation drivers'!H112*DrylotN2O)+('Mitigation drivers'!H113*SolidStorageN2O)+('Mitigation drivers'!H114*DailyspreadN2O)+('Mitigation drivers'!H115*CompostN2O)+('Mitigation drivers'!H116*ManwithbedN2O)+('Mitigation drivers'!H117*PMwithoutlitterN2O)+('Mitigation drivers'!H118*PMwithlitterN2O)+('Mitigation drivers'!H120*DigesterN2OEF))/100</f>
        <v>2.0000000000000001E-4</v>
      </c>
      <c r="N62" s="26">
        <f>(('Mitigation drivers'!I110*LagoonN2O)+('Mitigation drivers'!I111*LiquidN2O)+('Mitigation drivers'!I112*DrylotN2O)+('Mitigation drivers'!I113*SolidStorageN2O)+('Mitigation drivers'!I114*DailyspreadN2O)+('Mitigation drivers'!I115*CompostN2O)+('Mitigation drivers'!I116*ManwithbedN2O)+('Mitigation drivers'!I117*PMwithoutlitterN2O)+('Mitigation drivers'!I118*PMwithlitterN2O)+('Mitigation drivers'!I120*DigesterN2OEF))/100</f>
        <v>2.0000000000000001E-4</v>
      </c>
      <c r="O62" s="26">
        <f>(('Mitigation drivers'!J110*LagoonN2O)+('Mitigation drivers'!J111*LiquidN2O)+('Mitigation drivers'!J112*DrylotN2O)+('Mitigation drivers'!J113*SolidStorageN2O)+('Mitigation drivers'!J114*DailyspreadN2O)+('Mitigation drivers'!J115*CompostN2O)+('Mitigation drivers'!J116*ManwithbedN2O)+('Mitigation drivers'!J117*PMwithoutlitterN2O)+('Mitigation drivers'!J118*PMwithlitterN2O)+('Mitigation drivers'!J120*DigesterN2OEF))/100</f>
        <v>2.0000000000000001E-4</v>
      </c>
      <c r="P62" s="26">
        <f>(('Mitigation drivers'!K110*LagoonN2O)+('Mitigation drivers'!K111*LiquidN2O)+('Mitigation drivers'!K112*DrylotN2O)+('Mitigation drivers'!K113*SolidStorageN2O)+('Mitigation drivers'!K114*DailyspreadN2O)+('Mitigation drivers'!K115*CompostN2O)+('Mitigation drivers'!K116*ManwithbedN2O)+('Mitigation drivers'!K117*PMwithoutlitterN2O)+('Mitigation drivers'!K118*PMwithlitterN2O)+('Mitigation drivers'!K120*DigesterN2OEF))/100</f>
        <v>2.0000000000000001E-4</v>
      </c>
      <c r="Q62" s="26">
        <f>(('Mitigation drivers'!L110*LagoonN2O)+('Mitigation drivers'!L111*LiquidN2O)+('Mitigation drivers'!L112*DrylotN2O)+('Mitigation drivers'!L113*SolidStorageN2O)+('Mitigation drivers'!L114*DailyspreadN2O)+('Mitigation drivers'!L115*CompostN2O)+('Mitigation drivers'!L116*ManwithbedN2O)+('Mitigation drivers'!L117*PMwithoutlitterN2O)+('Mitigation drivers'!L118*PMwithlitterN2O)+('Mitigation drivers'!L120*DigesterN2OEF))/100</f>
        <v>2.0000000000000001E-4</v>
      </c>
      <c r="R62" s="26">
        <f>(('Mitigation drivers'!M110*LagoonN2O)+('Mitigation drivers'!M111*LiquidN2O)+('Mitigation drivers'!M112*DrylotN2O)+('Mitigation drivers'!M113*SolidStorageN2O)+('Mitigation drivers'!M114*DailyspreadN2O)+('Mitigation drivers'!M115*CompostN2O)+('Mitigation drivers'!M116*ManwithbedN2O)+('Mitigation drivers'!M117*PMwithoutlitterN2O)+('Mitigation drivers'!M118*PMwithlitterN2O)+('Mitigation drivers'!M120*DigesterN2OEF))/100</f>
        <v>2.0000000000000001E-4</v>
      </c>
      <c r="S62" s="26">
        <f>(('Mitigation drivers'!N110*LagoonN2O)+('Mitigation drivers'!N111*LiquidN2O)+('Mitigation drivers'!N112*DrylotN2O)+('Mitigation drivers'!N113*SolidStorageN2O)+('Mitigation drivers'!N114*DailyspreadN2O)+('Mitigation drivers'!N115*CompostN2O)+('Mitigation drivers'!N116*ManwithbedN2O)+('Mitigation drivers'!N117*PMwithoutlitterN2O)+('Mitigation drivers'!N118*PMwithlitterN2O)+('Mitigation drivers'!N120*DigesterN2OEF))/100</f>
        <v>2.0000000000000001E-4</v>
      </c>
      <c r="T62" s="26">
        <f>(('Mitigation drivers'!O110*LagoonN2O)+('Mitigation drivers'!O111*LiquidN2O)+('Mitigation drivers'!O112*DrylotN2O)+('Mitigation drivers'!O113*SolidStorageN2O)+('Mitigation drivers'!O114*DailyspreadN2O)+('Mitigation drivers'!O115*CompostN2O)+('Mitigation drivers'!O116*ManwithbedN2O)+('Mitigation drivers'!O117*PMwithoutlitterN2O)+('Mitigation drivers'!O118*PMwithlitterN2O)+('Mitigation drivers'!O120*DigesterN2OEF))/100</f>
        <v>2.0000000000000001E-4</v>
      </c>
      <c r="U62" s="26">
        <f>(('Mitigation drivers'!P110*LagoonN2O)+('Mitigation drivers'!P111*LiquidN2O)+('Mitigation drivers'!P112*DrylotN2O)+('Mitigation drivers'!P113*SolidStorageN2O)+('Mitigation drivers'!P114*DailyspreadN2O)+('Mitigation drivers'!P115*CompostN2O)+('Mitigation drivers'!P116*ManwithbedN2O)+('Mitigation drivers'!P117*PMwithoutlitterN2O)+('Mitigation drivers'!P118*PMwithlitterN2O)+('Mitigation drivers'!P120*DigesterN2OEF))/100</f>
        <v>2.0000000000000001E-4</v>
      </c>
      <c r="V62" s="26">
        <f>(('Mitigation drivers'!Q110*LagoonN2O)+('Mitigation drivers'!Q111*LiquidN2O)+('Mitigation drivers'!Q112*DrylotN2O)+('Mitigation drivers'!Q113*SolidStorageN2O)+('Mitigation drivers'!Q114*DailyspreadN2O)+('Mitigation drivers'!Q115*CompostN2O)+('Mitigation drivers'!Q116*ManwithbedN2O)+('Mitigation drivers'!Q117*PMwithoutlitterN2O)+('Mitigation drivers'!Q118*PMwithlitterN2O)+('Mitigation drivers'!Q120*DigesterN2OEF))/100</f>
        <v>2.0000000000000001E-4</v>
      </c>
      <c r="W62" s="26">
        <f>(('Mitigation drivers'!R110*LagoonN2O)+('Mitigation drivers'!R111*LiquidN2O)+('Mitigation drivers'!R112*DrylotN2O)+('Mitigation drivers'!R113*SolidStorageN2O)+('Mitigation drivers'!R114*DailyspreadN2O)+('Mitigation drivers'!R115*CompostN2O)+('Mitigation drivers'!R116*ManwithbedN2O)+('Mitigation drivers'!R117*PMwithoutlitterN2O)+('Mitigation drivers'!R118*PMwithlitterN2O)+('Mitigation drivers'!R120*DigesterN2OEF))/100</f>
        <v>2.0000000000000001E-4</v>
      </c>
      <c r="X62" s="26">
        <f>(('Mitigation drivers'!S110*LagoonN2O)+('Mitigation drivers'!S111*LiquidN2O)+('Mitigation drivers'!S112*DrylotN2O)+('Mitigation drivers'!S113*SolidStorageN2O)+('Mitigation drivers'!S114*DailyspreadN2O)+('Mitigation drivers'!S115*CompostN2O)+('Mitigation drivers'!S116*ManwithbedN2O)+('Mitigation drivers'!S117*PMwithoutlitterN2O)+('Mitigation drivers'!S118*PMwithlitterN2O)+('Mitigation drivers'!S120*DigesterN2OEF))/100</f>
        <v>2.0000000000000001E-4</v>
      </c>
      <c r="Y62" s="26">
        <f>(('Mitigation drivers'!T110*LagoonN2O)+('Mitigation drivers'!T111*LiquidN2O)+('Mitigation drivers'!T112*DrylotN2O)+('Mitigation drivers'!T113*SolidStorageN2O)+('Mitigation drivers'!T114*DailyspreadN2O)+('Mitigation drivers'!T115*CompostN2O)+('Mitigation drivers'!T116*ManwithbedN2O)+('Mitigation drivers'!T117*PMwithoutlitterN2O)+('Mitigation drivers'!T118*PMwithlitterN2O)+('Mitigation drivers'!T120*DigesterN2OEF))/100</f>
        <v>2.0000000000000001E-4</v>
      </c>
      <c r="Z62" s="26">
        <f>(('Mitigation drivers'!U110*LagoonN2O)+('Mitigation drivers'!U111*LiquidN2O)+('Mitigation drivers'!U112*DrylotN2O)+('Mitigation drivers'!U113*SolidStorageN2O)+('Mitigation drivers'!U114*DailyspreadN2O)+('Mitigation drivers'!U115*CompostN2O)+('Mitigation drivers'!U116*ManwithbedN2O)+('Mitigation drivers'!U117*PMwithoutlitterN2O)+('Mitigation drivers'!U118*PMwithlitterN2O)+('Mitigation drivers'!U120*DigesterN2OEF))/100</f>
        <v>2.0000000000000001E-4</v>
      </c>
      <c r="AA62" s="26">
        <f>(('Mitigation drivers'!V110*LagoonN2O)+('Mitigation drivers'!V111*LiquidN2O)+('Mitigation drivers'!V112*DrylotN2O)+('Mitigation drivers'!V113*SolidStorageN2O)+('Mitigation drivers'!V114*DailyspreadN2O)+('Mitigation drivers'!V115*CompostN2O)+('Mitigation drivers'!V116*ManwithbedN2O)+('Mitigation drivers'!V117*PMwithoutlitterN2O)+('Mitigation drivers'!V118*PMwithlitterN2O)+('Mitigation drivers'!V120*DigesterN2OEF))/100</f>
        <v>2.0000000000000001E-4</v>
      </c>
      <c r="AB62" s="26">
        <f>(('Mitigation drivers'!W110*LagoonN2O)+('Mitigation drivers'!W111*LiquidN2O)+('Mitigation drivers'!W112*DrylotN2O)+('Mitigation drivers'!W113*SolidStorageN2O)+('Mitigation drivers'!W114*DailyspreadN2O)+('Mitigation drivers'!W115*CompostN2O)+('Mitigation drivers'!W116*ManwithbedN2O)+('Mitigation drivers'!W117*PMwithoutlitterN2O)+('Mitigation drivers'!W118*PMwithlitterN2O)+('Mitigation drivers'!W120*DigesterN2OEF))/100</f>
        <v>2.0000000000000001E-4</v>
      </c>
      <c r="AC62" s="26">
        <f>(('Mitigation drivers'!X110*LagoonN2O)+('Mitigation drivers'!X111*LiquidN2O)+('Mitigation drivers'!X112*DrylotN2O)+('Mitigation drivers'!X113*SolidStorageN2O)+('Mitigation drivers'!X114*DailyspreadN2O)+('Mitigation drivers'!X115*CompostN2O)+('Mitigation drivers'!X116*ManwithbedN2O)+('Mitigation drivers'!X117*PMwithoutlitterN2O)+('Mitigation drivers'!X118*PMwithlitterN2O)+('Mitigation drivers'!X120*DigesterN2OEF))/100</f>
        <v>2.0000000000000001E-4</v>
      </c>
      <c r="AD62" s="26">
        <f>(('Mitigation drivers'!Y110*LagoonN2O)+('Mitigation drivers'!Y111*LiquidN2O)+('Mitigation drivers'!Y112*DrylotN2O)+('Mitigation drivers'!Y113*SolidStorageN2O)+('Mitigation drivers'!Y114*DailyspreadN2O)+('Mitigation drivers'!Y115*CompostN2O)+('Mitigation drivers'!Y116*ManwithbedN2O)+('Mitigation drivers'!Y117*PMwithoutlitterN2O)+('Mitigation drivers'!Y118*PMwithlitterN2O)+('Mitigation drivers'!Y120*DigesterN2OEF))/100</f>
        <v>2.0000000000000001E-4</v>
      </c>
      <c r="AE62" s="26">
        <f>(('Mitigation drivers'!Z110*LagoonN2O)+('Mitigation drivers'!Z111*LiquidN2O)+('Mitigation drivers'!Z112*DrylotN2O)+('Mitigation drivers'!Z113*SolidStorageN2O)+('Mitigation drivers'!Z114*DailyspreadN2O)+('Mitigation drivers'!Z115*CompostN2O)+('Mitigation drivers'!Z116*ManwithbedN2O)+('Mitigation drivers'!Z117*PMwithoutlitterN2O)+('Mitigation drivers'!Z118*PMwithlitterN2O)+('Mitigation drivers'!Z120*DigesterN2OEF))/100</f>
        <v>2.0000000000000001E-4</v>
      </c>
      <c r="AF62" s="26">
        <f>(('Mitigation drivers'!AA110*LagoonN2O)+('Mitigation drivers'!AA111*LiquidN2O)+('Mitigation drivers'!AA112*DrylotN2O)+('Mitigation drivers'!AA113*SolidStorageN2O)+('Mitigation drivers'!AA114*DailyspreadN2O)+('Mitigation drivers'!AA115*CompostN2O)+('Mitigation drivers'!AA116*ManwithbedN2O)+('Mitigation drivers'!AA117*PMwithoutlitterN2O)+('Mitigation drivers'!AA118*PMwithlitterN2O)+('Mitigation drivers'!AA120*DigesterN2OEF))/100</f>
        <v>2.0000000000000001E-4</v>
      </c>
      <c r="AG62" s="26">
        <f>(('Mitigation drivers'!AB110*LagoonN2O)+('Mitigation drivers'!AB111*LiquidN2O)+('Mitigation drivers'!AB112*DrylotN2O)+('Mitigation drivers'!AB113*SolidStorageN2O)+('Mitigation drivers'!AB114*DailyspreadN2O)+('Mitigation drivers'!AB115*CompostN2O)+('Mitigation drivers'!AB116*ManwithbedN2O)+('Mitigation drivers'!AB117*PMwithoutlitterN2O)+('Mitigation drivers'!AB118*PMwithlitterN2O)+('Mitigation drivers'!AB120*DigesterN2OEF))/100</f>
        <v>2.0000000000000001E-4</v>
      </c>
      <c r="AH62" s="26">
        <f>(('Mitigation drivers'!AC110*LagoonN2O)+('Mitigation drivers'!AC111*LiquidN2O)+('Mitigation drivers'!AC112*DrylotN2O)+('Mitigation drivers'!AC113*SolidStorageN2O)+('Mitigation drivers'!AC114*DailyspreadN2O)+('Mitigation drivers'!AC115*CompostN2O)+('Mitigation drivers'!AC116*ManwithbedN2O)+('Mitigation drivers'!AC117*PMwithoutlitterN2O)+('Mitigation drivers'!AC118*PMwithlitterN2O)+('Mitigation drivers'!AC120*DigesterN2OEF))/100</f>
        <v>2.0000000000000001E-4</v>
      </c>
      <c r="AI62" s="26">
        <f>(('Mitigation drivers'!AD110*LagoonN2O)+('Mitigation drivers'!AD111*LiquidN2O)+('Mitigation drivers'!AD112*DrylotN2O)+('Mitigation drivers'!AD113*SolidStorageN2O)+('Mitigation drivers'!AD114*DailyspreadN2O)+('Mitigation drivers'!AD115*CompostN2O)+('Mitigation drivers'!AD116*ManwithbedN2O)+('Mitigation drivers'!AD117*PMwithoutlitterN2O)+('Mitigation drivers'!AD118*PMwithlitterN2O)+('Mitigation drivers'!AD120*DigesterN2OEF))/100</f>
        <v>2.0000000000000001E-4</v>
      </c>
      <c r="AJ62" s="26">
        <f>(('Mitigation drivers'!AE110*LagoonN2O)+('Mitigation drivers'!AE111*LiquidN2O)+('Mitigation drivers'!AE112*DrylotN2O)+('Mitigation drivers'!AE113*SolidStorageN2O)+('Mitigation drivers'!AE114*DailyspreadN2O)+('Mitigation drivers'!AE115*CompostN2O)+('Mitigation drivers'!AE116*ManwithbedN2O)+('Mitigation drivers'!AE117*PMwithoutlitterN2O)+('Mitigation drivers'!AE118*PMwithlitterN2O)+('Mitigation drivers'!AE120*DigesterN2OEF))/100</f>
        <v>2.0000000000000001E-4</v>
      </c>
      <c r="AK62" s="26">
        <f>(('Mitigation drivers'!AF110*LagoonN2O)+('Mitigation drivers'!AF111*LiquidN2O)+('Mitigation drivers'!AF112*DrylotN2O)+('Mitigation drivers'!AF113*SolidStorageN2O)+('Mitigation drivers'!AF114*DailyspreadN2O)+('Mitigation drivers'!AF115*CompostN2O)+('Mitigation drivers'!AF116*ManwithbedN2O)+('Mitigation drivers'!AF117*PMwithoutlitterN2O)+('Mitigation drivers'!AF118*PMwithlitterN2O)+('Mitigation drivers'!AF120*DigesterN2OEF))/100</f>
        <v>2.0000000000000001E-4</v>
      </c>
      <c r="AL62" s="26">
        <f>(('Mitigation drivers'!AG110*LagoonN2O)+('Mitigation drivers'!AG111*LiquidN2O)+('Mitigation drivers'!AG112*DrylotN2O)+('Mitigation drivers'!AG113*SolidStorageN2O)+('Mitigation drivers'!AG114*DailyspreadN2O)+('Mitigation drivers'!AG115*CompostN2O)+('Mitigation drivers'!AG116*ManwithbedN2O)+('Mitigation drivers'!AG117*PMwithoutlitterN2O)+('Mitigation drivers'!AG118*PMwithlitterN2O)+('Mitigation drivers'!AG120*DigesterN2OEF))/100</f>
        <v>2.0000000000000001E-4</v>
      </c>
      <c r="AM62" s="26">
        <f>(('Mitigation drivers'!AH110*LagoonN2O)+('Mitigation drivers'!AH111*LiquidN2O)+('Mitigation drivers'!AH112*DrylotN2O)+('Mitigation drivers'!AH113*SolidStorageN2O)+('Mitigation drivers'!AH114*DailyspreadN2O)+('Mitigation drivers'!AH115*CompostN2O)+('Mitigation drivers'!AH116*ManwithbedN2O)+('Mitigation drivers'!AH117*PMwithoutlitterN2O)+('Mitigation drivers'!AH118*PMwithlitterN2O)+('Mitigation drivers'!AH120*DigesterN2OEF))/100</f>
        <v>2.0000000000000001E-4</v>
      </c>
      <c r="AN62" s="26">
        <f>(('Mitigation drivers'!AI110*LagoonN2O)+('Mitigation drivers'!AI111*LiquidN2O)+('Mitigation drivers'!AI112*DrylotN2O)+('Mitigation drivers'!AI113*SolidStorageN2O)+('Mitigation drivers'!AI114*DailyspreadN2O)+('Mitigation drivers'!AI115*CompostN2O)+('Mitigation drivers'!AI116*ManwithbedN2O)+('Mitigation drivers'!AI117*PMwithoutlitterN2O)+('Mitigation drivers'!AI118*PMwithlitterN2O)+('Mitigation drivers'!AI120*DigesterN2OEF))/100</f>
        <v>2.0000000000000001E-4</v>
      </c>
      <c r="AO62" s="26">
        <f>(('Mitigation drivers'!AJ110*LagoonN2O)+('Mitigation drivers'!AJ111*LiquidN2O)+('Mitigation drivers'!AJ112*DrylotN2O)+('Mitigation drivers'!AJ113*SolidStorageN2O)+('Mitigation drivers'!AJ114*DailyspreadN2O)+('Mitigation drivers'!AJ115*CompostN2O)+('Mitigation drivers'!AJ116*ManwithbedN2O)+('Mitigation drivers'!AJ117*PMwithoutlitterN2O)+('Mitigation drivers'!AJ118*PMwithlitterN2O)+('Mitigation drivers'!AJ120*DigesterN2OEF))/100</f>
        <v>2.0000000000000001E-4</v>
      </c>
    </row>
    <row r="63" spans="1:41" x14ac:dyDescent="0.25">
      <c r="A63" t="str">
        <f t="shared" si="1"/>
        <v>3A Livestock</v>
      </c>
      <c r="B63" t="str">
        <f t="shared" si="8"/>
        <v>3A2 Manure management (N2O)</v>
      </c>
      <c r="C63" t="str">
        <f>'Activity data'!C14</f>
        <v>3A1d Goats</v>
      </c>
      <c r="D63" t="str">
        <f>'Activity data'!D14</f>
        <v>Subsistence</v>
      </c>
      <c r="E63" t="str">
        <f t="shared" si="27"/>
        <v>Manure management EF</v>
      </c>
      <c r="F63" t="str">
        <f t="shared" si="28"/>
        <v>N2O</v>
      </c>
      <c r="G63" t="str">
        <f t="shared" si="29"/>
        <v>kg N2O-N/kg Nex</v>
      </c>
      <c r="H63" s="26">
        <f>(('Mitigation drivers'!C122*LagoonN2O)+('Mitigation drivers'!C123*LiquidN2O)+('Mitigation drivers'!C124*DrylotN2O)+('Mitigation drivers'!C125*SolidStorageN2O)+('Mitigation drivers'!C126*DailyspreadN2O)+('Mitigation drivers'!C127*CompostN2O)+('Mitigation drivers'!C128*ManwithbedN2O)+('Mitigation drivers'!C129*PMwithoutlitterN2O)+('Mitigation drivers'!C130*PMwithlitterN2O)+('Mitigation drivers'!C132*DigesterN2OEF))/100</f>
        <v>8.9999999999999998E-4</v>
      </c>
      <c r="I63" s="26">
        <f>(('Mitigation drivers'!D122*LagoonN2O)+('Mitigation drivers'!D123*LiquidN2O)+('Mitigation drivers'!D124*DrylotN2O)+('Mitigation drivers'!D125*SolidStorageN2O)+('Mitigation drivers'!D126*DailyspreadN2O)+('Mitigation drivers'!D127*CompostN2O)+('Mitigation drivers'!D128*ManwithbedN2O)+('Mitigation drivers'!D129*PMwithoutlitterN2O)+('Mitigation drivers'!D130*PMwithlitterN2O)+('Mitigation drivers'!D132*DigesterN2OEF))/100</f>
        <v>8.9999999999999998E-4</v>
      </c>
      <c r="J63" s="26">
        <f>(('Mitigation drivers'!E122*LagoonN2O)+('Mitigation drivers'!E123*LiquidN2O)+('Mitigation drivers'!E124*DrylotN2O)+('Mitigation drivers'!E125*SolidStorageN2O)+('Mitigation drivers'!E126*DailyspreadN2O)+('Mitigation drivers'!E127*CompostN2O)+('Mitigation drivers'!E128*ManwithbedN2O)+('Mitigation drivers'!E129*PMwithoutlitterN2O)+('Mitigation drivers'!E130*PMwithlitterN2O)+('Mitigation drivers'!E132*DigesterN2OEF))/100</f>
        <v>8.9999999999999998E-4</v>
      </c>
      <c r="K63" s="26">
        <f>(('Mitigation drivers'!F122*LagoonN2O)+('Mitigation drivers'!F123*LiquidN2O)+('Mitigation drivers'!F124*DrylotN2O)+('Mitigation drivers'!F125*SolidStorageN2O)+('Mitigation drivers'!F126*DailyspreadN2O)+('Mitigation drivers'!F127*CompostN2O)+('Mitigation drivers'!F128*ManwithbedN2O)+('Mitigation drivers'!F129*PMwithoutlitterN2O)+('Mitigation drivers'!F130*PMwithlitterN2O)+('Mitigation drivers'!F132*DigesterN2OEF))/100</f>
        <v>8.9999999999999998E-4</v>
      </c>
      <c r="L63" s="26">
        <f>(('Mitigation drivers'!G122*LagoonN2O)+('Mitigation drivers'!G123*LiquidN2O)+('Mitigation drivers'!G124*DrylotN2O)+('Mitigation drivers'!G125*SolidStorageN2O)+('Mitigation drivers'!G126*DailyspreadN2O)+('Mitigation drivers'!G127*CompostN2O)+('Mitigation drivers'!G128*ManwithbedN2O)+('Mitigation drivers'!G129*PMwithoutlitterN2O)+('Mitigation drivers'!G130*PMwithlitterN2O)+('Mitigation drivers'!G132*DigesterN2OEF))/100</f>
        <v>8.9999999999999998E-4</v>
      </c>
      <c r="M63" s="26">
        <f>(('Mitigation drivers'!H122*LagoonN2O)+('Mitigation drivers'!H123*LiquidN2O)+('Mitigation drivers'!H124*DrylotN2O)+('Mitigation drivers'!H125*SolidStorageN2O)+('Mitigation drivers'!H126*DailyspreadN2O)+('Mitigation drivers'!H127*CompostN2O)+('Mitigation drivers'!H128*ManwithbedN2O)+('Mitigation drivers'!H129*PMwithoutlitterN2O)+('Mitigation drivers'!H130*PMwithlitterN2O)+('Mitigation drivers'!H132*DigesterN2OEF))/100</f>
        <v>8.9999999999999998E-4</v>
      </c>
      <c r="N63" s="26">
        <f>(('Mitigation drivers'!I122*LagoonN2O)+('Mitigation drivers'!I123*LiquidN2O)+('Mitigation drivers'!I124*DrylotN2O)+('Mitigation drivers'!I125*SolidStorageN2O)+('Mitigation drivers'!I126*DailyspreadN2O)+('Mitigation drivers'!I127*CompostN2O)+('Mitigation drivers'!I128*ManwithbedN2O)+('Mitigation drivers'!I129*PMwithoutlitterN2O)+('Mitigation drivers'!I130*PMwithlitterN2O)+('Mitigation drivers'!I132*DigesterN2OEF))/100</f>
        <v>8.9999999999999998E-4</v>
      </c>
      <c r="O63" s="26">
        <f>(('Mitigation drivers'!J122*LagoonN2O)+('Mitigation drivers'!J123*LiquidN2O)+('Mitigation drivers'!J124*DrylotN2O)+('Mitigation drivers'!J125*SolidStorageN2O)+('Mitigation drivers'!J126*DailyspreadN2O)+('Mitigation drivers'!J127*CompostN2O)+('Mitigation drivers'!J128*ManwithbedN2O)+('Mitigation drivers'!J129*PMwithoutlitterN2O)+('Mitigation drivers'!J130*PMwithlitterN2O)+('Mitigation drivers'!J132*DigesterN2OEF))/100</f>
        <v>8.9999999999999998E-4</v>
      </c>
      <c r="P63" s="26">
        <f>(('Mitigation drivers'!K122*LagoonN2O)+('Mitigation drivers'!K123*LiquidN2O)+('Mitigation drivers'!K124*DrylotN2O)+('Mitigation drivers'!K125*SolidStorageN2O)+('Mitigation drivers'!K126*DailyspreadN2O)+('Mitigation drivers'!K127*CompostN2O)+('Mitigation drivers'!K128*ManwithbedN2O)+('Mitigation drivers'!K129*PMwithoutlitterN2O)+('Mitigation drivers'!K130*PMwithlitterN2O)+('Mitigation drivers'!K132*DigesterN2OEF))/100</f>
        <v>8.9999999999999998E-4</v>
      </c>
      <c r="Q63" s="26">
        <f>(('Mitigation drivers'!L122*LagoonN2O)+('Mitigation drivers'!L123*LiquidN2O)+('Mitigation drivers'!L124*DrylotN2O)+('Mitigation drivers'!L125*SolidStorageN2O)+('Mitigation drivers'!L126*DailyspreadN2O)+('Mitigation drivers'!L127*CompostN2O)+('Mitigation drivers'!L128*ManwithbedN2O)+('Mitigation drivers'!L129*PMwithoutlitterN2O)+('Mitigation drivers'!L130*PMwithlitterN2O)+('Mitigation drivers'!L132*DigesterN2OEF))/100</f>
        <v>8.9999999999999998E-4</v>
      </c>
      <c r="R63" s="26">
        <f>(('Mitigation drivers'!M122*LagoonN2O)+('Mitigation drivers'!M123*LiquidN2O)+('Mitigation drivers'!M124*DrylotN2O)+('Mitigation drivers'!M125*SolidStorageN2O)+('Mitigation drivers'!M126*DailyspreadN2O)+('Mitigation drivers'!M127*CompostN2O)+('Mitigation drivers'!M128*ManwithbedN2O)+('Mitigation drivers'!M129*PMwithoutlitterN2O)+('Mitigation drivers'!M130*PMwithlitterN2O)+('Mitigation drivers'!M132*DigesterN2OEF))/100</f>
        <v>8.9999999999999998E-4</v>
      </c>
      <c r="S63" s="26">
        <f>(('Mitigation drivers'!N122*LagoonN2O)+('Mitigation drivers'!N123*LiquidN2O)+('Mitigation drivers'!N124*DrylotN2O)+('Mitigation drivers'!N125*SolidStorageN2O)+('Mitigation drivers'!N126*DailyspreadN2O)+('Mitigation drivers'!N127*CompostN2O)+('Mitigation drivers'!N128*ManwithbedN2O)+('Mitigation drivers'!N129*PMwithoutlitterN2O)+('Mitigation drivers'!N130*PMwithlitterN2O)+('Mitigation drivers'!N132*DigesterN2OEF))/100</f>
        <v>8.9999999999999998E-4</v>
      </c>
      <c r="T63" s="26">
        <f>(('Mitigation drivers'!O122*LagoonN2O)+('Mitigation drivers'!O123*LiquidN2O)+('Mitigation drivers'!O124*DrylotN2O)+('Mitigation drivers'!O125*SolidStorageN2O)+('Mitigation drivers'!O126*DailyspreadN2O)+('Mitigation drivers'!O127*CompostN2O)+('Mitigation drivers'!O128*ManwithbedN2O)+('Mitigation drivers'!O129*PMwithoutlitterN2O)+('Mitigation drivers'!O130*PMwithlitterN2O)+('Mitigation drivers'!O132*DigesterN2OEF))/100</f>
        <v>8.9999999999999998E-4</v>
      </c>
      <c r="U63" s="26">
        <f>(('Mitigation drivers'!P122*LagoonN2O)+('Mitigation drivers'!P123*LiquidN2O)+('Mitigation drivers'!P124*DrylotN2O)+('Mitigation drivers'!P125*SolidStorageN2O)+('Mitigation drivers'!P126*DailyspreadN2O)+('Mitigation drivers'!P127*CompostN2O)+('Mitigation drivers'!P128*ManwithbedN2O)+('Mitigation drivers'!P129*PMwithoutlitterN2O)+('Mitigation drivers'!P130*PMwithlitterN2O)+('Mitigation drivers'!P132*DigesterN2OEF))/100</f>
        <v>8.9999999999999998E-4</v>
      </c>
      <c r="V63" s="26">
        <f>(('Mitigation drivers'!Q122*LagoonN2O)+('Mitigation drivers'!Q123*LiquidN2O)+('Mitigation drivers'!Q124*DrylotN2O)+('Mitigation drivers'!Q125*SolidStorageN2O)+('Mitigation drivers'!Q126*DailyspreadN2O)+('Mitigation drivers'!Q127*CompostN2O)+('Mitigation drivers'!Q128*ManwithbedN2O)+('Mitigation drivers'!Q129*PMwithoutlitterN2O)+('Mitigation drivers'!Q130*PMwithlitterN2O)+('Mitigation drivers'!Q132*DigesterN2OEF))/100</f>
        <v>8.9999999999999998E-4</v>
      </c>
      <c r="W63" s="26">
        <f>(('Mitigation drivers'!R122*LagoonN2O)+('Mitigation drivers'!R123*LiquidN2O)+('Mitigation drivers'!R124*DrylotN2O)+('Mitigation drivers'!R125*SolidStorageN2O)+('Mitigation drivers'!R126*DailyspreadN2O)+('Mitigation drivers'!R127*CompostN2O)+('Mitigation drivers'!R128*ManwithbedN2O)+('Mitigation drivers'!R129*PMwithoutlitterN2O)+('Mitigation drivers'!R130*PMwithlitterN2O)+('Mitigation drivers'!R132*DigesterN2OEF))/100</f>
        <v>8.9999999999999998E-4</v>
      </c>
      <c r="X63" s="26">
        <f>(('Mitigation drivers'!S122*LagoonN2O)+('Mitigation drivers'!S123*LiquidN2O)+('Mitigation drivers'!S124*DrylotN2O)+('Mitigation drivers'!S125*SolidStorageN2O)+('Mitigation drivers'!S126*DailyspreadN2O)+('Mitigation drivers'!S127*CompostN2O)+('Mitigation drivers'!S128*ManwithbedN2O)+('Mitigation drivers'!S129*PMwithoutlitterN2O)+('Mitigation drivers'!S130*PMwithlitterN2O)+('Mitigation drivers'!S132*DigesterN2OEF))/100</f>
        <v>8.9999999999999998E-4</v>
      </c>
      <c r="Y63" s="26">
        <f>(('Mitigation drivers'!T122*LagoonN2O)+('Mitigation drivers'!T123*LiquidN2O)+('Mitigation drivers'!T124*DrylotN2O)+('Mitigation drivers'!T125*SolidStorageN2O)+('Mitigation drivers'!T126*DailyspreadN2O)+('Mitigation drivers'!T127*CompostN2O)+('Mitigation drivers'!T128*ManwithbedN2O)+('Mitigation drivers'!T129*PMwithoutlitterN2O)+('Mitigation drivers'!T130*PMwithlitterN2O)+('Mitigation drivers'!T132*DigesterN2OEF))/100</f>
        <v>8.9999999999999998E-4</v>
      </c>
      <c r="Z63" s="26">
        <f>(('Mitigation drivers'!U122*LagoonN2O)+('Mitigation drivers'!U123*LiquidN2O)+('Mitigation drivers'!U124*DrylotN2O)+('Mitigation drivers'!U125*SolidStorageN2O)+('Mitigation drivers'!U126*DailyspreadN2O)+('Mitigation drivers'!U127*CompostN2O)+('Mitigation drivers'!U128*ManwithbedN2O)+('Mitigation drivers'!U129*PMwithoutlitterN2O)+('Mitigation drivers'!U130*PMwithlitterN2O)+('Mitigation drivers'!U132*DigesterN2OEF))/100</f>
        <v>8.9999999999999998E-4</v>
      </c>
      <c r="AA63" s="26">
        <f>(('Mitigation drivers'!V122*LagoonN2O)+('Mitigation drivers'!V123*LiquidN2O)+('Mitigation drivers'!V124*DrylotN2O)+('Mitigation drivers'!V125*SolidStorageN2O)+('Mitigation drivers'!V126*DailyspreadN2O)+('Mitigation drivers'!V127*CompostN2O)+('Mitigation drivers'!V128*ManwithbedN2O)+('Mitigation drivers'!V129*PMwithoutlitterN2O)+('Mitigation drivers'!V130*PMwithlitterN2O)+('Mitigation drivers'!V132*DigesterN2OEF))/100</f>
        <v>8.9999999999999998E-4</v>
      </c>
      <c r="AB63" s="26">
        <f>(('Mitigation drivers'!W122*LagoonN2O)+('Mitigation drivers'!W123*LiquidN2O)+('Mitigation drivers'!W124*DrylotN2O)+('Mitigation drivers'!W125*SolidStorageN2O)+('Mitigation drivers'!W126*DailyspreadN2O)+('Mitigation drivers'!W127*CompostN2O)+('Mitigation drivers'!W128*ManwithbedN2O)+('Mitigation drivers'!W129*PMwithoutlitterN2O)+('Mitigation drivers'!W130*PMwithlitterN2O)+('Mitigation drivers'!W132*DigesterN2OEF))/100</f>
        <v>8.9999999999999998E-4</v>
      </c>
      <c r="AC63" s="26">
        <f>(('Mitigation drivers'!X122*LagoonN2O)+('Mitigation drivers'!X123*LiquidN2O)+('Mitigation drivers'!X124*DrylotN2O)+('Mitigation drivers'!X125*SolidStorageN2O)+('Mitigation drivers'!X126*DailyspreadN2O)+('Mitigation drivers'!X127*CompostN2O)+('Mitigation drivers'!X128*ManwithbedN2O)+('Mitigation drivers'!X129*PMwithoutlitterN2O)+('Mitigation drivers'!X130*PMwithlitterN2O)+('Mitigation drivers'!X132*DigesterN2OEF))/100</f>
        <v>8.9999999999999998E-4</v>
      </c>
      <c r="AD63" s="26">
        <f>(('Mitigation drivers'!Y122*LagoonN2O)+('Mitigation drivers'!Y123*LiquidN2O)+('Mitigation drivers'!Y124*DrylotN2O)+('Mitigation drivers'!Y125*SolidStorageN2O)+('Mitigation drivers'!Y126*DailyspreadN2O)+('Mitigation drivers'!Y127*CompostN2O)+('Mitigation drivers'!Y128*ManwithbedN2O)+('Mitigation drivers'!Y129*PMwithoutlitterN2O)+('Mitigation drivers'!Y130*PMwithlitterN2O)+('Mitigation drivers'!Y132*DigesterN2OEF))/100</f>
        <v>8.9999999999999998E-4</v>
      </c>
      <c r="AE63" s="26">
        <f>(('Mitigation drivers'!Z122*LagoonN2O)+('Mitigation drivers'!Z123*LiquidN2O)+('Mitigation drivers'!Z124*DrylotN2O)+('Mitigation drivers'!Z125*SolidStorageN2O)+('Mitigation drivers'!Z126*DailyspreadN2O)+('Mitigation drivers'!Z127*CompostN2O)+('Mitigation drivers'!Z128*ManwithbedN2O)+('Mitigation drivers'!Z129*PMwithoutlitterN2O)+('Mitigation drivers'!Z130*PMwithlitterN2O)+('Mitigation drivers'!Z132*DigesterN2OEF))/100</f>
        <v>8.9999999999999998E-4</v>
      </c>
      <c r="AF63" s="26">
        <f>(('Mitigation drivers'!AA122*LagoonN2O)+('Mitigation drivers'!AA123*LiquidN2O)+('Mitigation drivers'!AA124*DrylotN2O)+('Mitigation drivers'!AA125*SolidStorageN2O)+('Mitigation drivers'!AA126*DailyspreadN2O)+('Mitigation drivers'!AA127*CompostN2O)+('Mitigation drivers'!AA128*ManwithbedN2O)+('Mitigation drivers'!AA129*PMwithoutlitterN2O)+('Mitigation drivers'!AA130*PMwithlitterN2O)+('Mitigation drivers'!AA132*DigesterN2OEF))/100</f>
        <v>8.9999999999999998E-4</v>
      </c>
      <c r="AG63" s="26">
        <f>(('Mitigation drivers'!AB122*LagoonN2O)+('Mitigation drivers'!AB123*LiquidN2O)+('Mitigation drivers'!AB124*DrylotN2O)+('Mitigation drivers'!AB125*SolidStorageN2O)+('Mitigation drivers'!AB126*DailyspreadN2O)+('Mitigation drivers'!AB127*CompostN2O)+('Mitigation drivers'!AB128*ManwithbedN2O)+('Mitigation drivers'!AB129*PMwithoutlitterN2O)+('Mitigation drivers'!AB130*PMwithlitterN2O)+('Mitigation drivers'!AB132*DigesterN2OEF))/100</f>
        <v>8.9999999999999998E-4</v>
      </c>
      <c r="AH63" s="26">
        <f>(('Mitigation drivers'!AC122*LagoonN2O)+('Mitigation drivers'!AC123*LiquidN2O)+('Mitigation drivers'!AC124*DrylotN2O)+('Mitigation drivers'!AC125*SolidStorageN2O)+('Mitigation drivers'!AC126*DailyspreadN2O)+('Mitigation drivers'!AC127*CompostN2O)+('Mitigation drivers'!AC128*ManwithbedN2O)+('Mitigation drivers'!AC129*PMwithoutlitterN2O)+('Mitigation drivers'!AC130*PMwithlitterN2O)+('Mitigation drivers'!AC132*DigesterN2OEF))/100</f>
        <v>8.9999999999999998E-4</v>
      </c>
      <c r="AI63" s="26">
        <f>(('Mitigation drivers'!AD122*LagoonN2O)+('Mitigation drivers'!AD123*LiquidN2O)+('Mitigation drivers'!AD124*DrylotN2O)+('Mitigation drivers'!AD125*SolidStorageN2O)+('Mitigation drivers'!AD126*DailyspreadN2O)+('Mitigation drivers'!AD127*CompostN2O)+('Mitigation drivers'!AD128*ManwithbedN2O)+('Mitigation drivers'!AD129*PMwithoutlitterN2O)+('Mitigation drivers'!AD130*PMwithlitterN2O)+('Mitigation drivers'!AD132*DigesterN2OEF))/100</f>
        <v>8.9999999999999998E-4</v>
      </c>
      <c r="AJ63" s="26">
        <f>(('Mitigation drivers'!AE122*LagoonN2O)+('Mitigation drivers'!AE123*LiquidN2O)+('Mitigation drivers'!AE124*DrylotN2O)+('Mitigation drivers'!AE125*SolidStorageN2O)+('Mitigation drivers'!AE126*DailyspreadN2O)+('Mitigation drivers'!AE127*CompostN2O)+('Mitigation drivers'!AE128*ManwithbedN2O)+('Mitigation drivers'!AE129*PMwithoutlitterN2O)+('Mitigation drivers'!AE130*PMwithlitterN2O)+('Mitigation drivers'!AE132*DigesterN2OEF))/100</f>
        <v>8.9999999999999998E-4</v>
      </c>
      <c r="AK63" s="26">
        <f>(('Mitigation drivers'!AF122*LagoonN2O)+('Mitigation drivers'!AF123*LiquidN2O)+('Mitigation drivers'!AF124*DrylotN2O)+('Mitigation drivers'!AF125*SolidStorageN2O)+('Mitigation drivers'!AF126*DailyspreadN2O)+('Mitigation drivers'!AF127*CompostN2O)+('Mitigation drivers'!AF128*ManwithbedN2O)+('Mitigation drivers'!AF129*PMwithoutlitterN2O)+('Mitigation drivers'!AF130*PMwithlitterN2O)+('Mitigation drivers'!AF132*DigesterN2OEF))/100</f>
        <v>8.9999999999999998E-4</v>
      </c>
      <c r="AL63" s="26">
        <f>(('Mitigation drivers'!AG122*LagoonN2O)+('Mitigation drivers'!AG123*LiquidN2O)+('Mitigation drivers'!AG124*DrylotN2O)+('Mitigation drivers'!AG125*SolidStorageN2O)+('Mitigation drivers'!AG126*DailyspreadN2O)+('Mitigation drivers'!AG127*CompostN2O)+('Mitigation drivers'!AG128*ManwithbedN2O)+('Mitigation drivers'!AG129*PMwithoutlitterN2O)+('Mitigation drivers'!AG130*PMwithlitterN2O)+('Mitigation drivers'!AG132*DigesterN2OEF))/100</f>
        <v>8.9999999999999998E-4</v>
      </c>
      <c r="AM63" s="26">
        <f>(('Mitigation drivers'!AH122*LagoonN2O)+('Mitigation drivers'!AH123*LiquidN2O)+('Mitigation drivers'!AH124*DrylotN2O)+('Mitigation drivers'!AH125*SolidStorageN2O)+('Mitigation drivers'!AH126*DailyspreadN2O)+('Mitigation drivers'!AH127*CompostN2O)+('Mitigation drivers'!AH128*ManwithbedN2O)+('Mitigation drivers'!AH129*PMwithoutlitterN2O)+('Mitigation drivers'!AH130*PMwithlitterN2O)+('Mitigation drivers'!AH132*DigesterN2OEF))/100</f>
        <v>8.9999999999999998E-4</v>
      </c>
      <c r="AN63" s="26">
        <f>(('Mitigation drivers'!AI122*LagoonN2O)+('Mitigation drivers'!AI123*LiquidN2O)+('Mitigation drivers'!AI124*DrylotN2O)+('Mitigation drivers'!AI125*SolidStorageN2O)+('Mitigation drivers'!AI126*DailyspreadN2O)+('Mitigation drivers'!AI127*CompostN2O)+('Mitigation drivers'!AI128*ManwithbedN2O)+('Mitigation drivers'!AI129*PMwithoutlitterN2O)+('Mitigation drivers'!AI130*PMwithlitterN2O)+('Mitigation drivers'!AI132*DigesterN2OEF))/100</f>
        <v>8.9999999999999998E-4</v>
      </c>
      <c r="AO63" s="26">
        <f>(('Mitigation drivers'!AJ122*LagoonN2O)+('Mitigation drivers'!AJ123*LiquidN2O)+('Mitigation drivers'!AJ124*DrylotN2O)+('Mitigation drivers'!AJ125*SolidStorageN2O)+('Mitigation drivers'!AJ126*DailyspreadN2O)+('Mitigation drivers'!AJ127*CompostN2O)+('Mitigation drivers'!AJ128*ManwithbedN2O)+('Mitigation drivers'!AJ129*PMwithoutlitterN2O)+('Mitigation drivers'!AJ130*PMwithlitterN2O)+('Mitigation drivers'!AJ132*DigesterN2OEF))/100</f>
        <v>8.9999999999999998E-4</v>
      </c>
    </row>
    <row r="64" spans="1:41" x14ac:dyDescent="0.25">
      <c r="A64" t="str">
        <f t="shared" si="1"/>
        <v>3A Livestock</v>
      </c>
      <c r="B64" t="str">
        <f t="shared" si="8"/>
        <v>3A2 Manure management (N2O)</v>
      </c>
      <c r="C64" t="str">
        <f>'Activity data'!C15</f>
        <v>3A1f Horses</v>
      </c>
      <c r="D64" t="str">
        <f>'Activity data'!D15</f>
        <v>Horses</v>
      </c>
      <c r="E64" t="str">
        <f t="shared" si="27"/>
        <v>Manure management EF</v>
      </c>
      <c r="F64" t="str">
        <f t="shared" si="28"/>
        <v>N2O</v>
      </c>
      <c r="G64" t="str">
        <f t="shared" si="29"/>
        <v>kg N2O-N/kg Nex</v>
      </c>
      <c r="H64" s="26">
        <f>IFERROR((('Mitigation drivers'!C135*LagoonN2O)+('Mitigation drivers'!C136*LiquidN2O)+('Mitigation drivers'!C137*DrylotN2O)+('Mitigation drivers'!C138*SolidStorageN2O)+('Mitigation drivers'!C139*DailyspreadN2O)+('Mitigation drivers'!C140*CompostN2O)+('Mitigation drivers'!C141*ManwithbedN2O)+('Mitigation drivers'!C142*PMwithoutlitterN2O)+('Mitigation drivers'!C143*PMwithlitterN2O+('Mitigation drivers'!C145*DigesterN2OEF)))/100,0)</f>
        <v>0</v>
      </c>
      <c r="I64" s="26">
        <f>IFERROR((('Mitigation drivers'!D135*LagoonN2O)+('Mitigation drivers'!D136*LiquidN2O)+('Mitigation drivers'!D137*DrylotN2O)+('Mitigation drivers'!D138*SolidStorageN2O)+('Mitigation drivers'!D139*DailyspreadN2O)+('Mitigation drivers'!D140*CompostN2O)+('Mitigation drivers'!D141*ManwithbedN2O)+('Mitigation drivers'!D142*PMwithoutlitterN2O)+('Mitigation drivers'!D143*PMwithlitterN2O+('Mitigation drivers'!D145*DigesterN2OEF)))/100,0)</f>
        <v>0</v>
      </c>
      <c r="J64" s="26">
        <f>IFERROR((('Mitigation drivers'!E135*LagoonN2O)+('Mitigation drivers'!E136*LiquidN2O)+('Mitigation drivers'!E137*DrylotN2O)+('Mitigation drivers'!E138*SolidStorageN2O)+('Mitigation drivers'!E139*DailyspreadN2O)+('Mitigation drivers'!E140*CompostN2O)+('Mitigation drivers'!E141*ManwithbedN2O)+('Mitigation drivers'!E142*PMwithoutlitterN2O)+('Mitigation drivers'!E143*PMwithlitterN2O+('Mitigation drivers'!E145*DigesterN2OEF)))/100,0)</f>
        <v>0</v>
      </c>
      <c r="K64" s="26">
        <f>IFERROR((('Mitigation drivers'!F135*LagoonN2O)+('Mitigation drivers'!F136*LiquidN2O)+('Mitigation drivers'!F137*DrylotN2O)+('Mitigation drivers'!F138*SolidStorageN2O)+('Mitigation drivers'!F139*DailyspreadN2O)+('Mitigation drivers'!F140*CompostN2O)+('Mitigation drivers'!F141*ManwithbedN2O)+('Mitigation drivers'!F142*PMwithoutlitterN2O)+('Mitigation drivers'!F143*PMwithlitterN2O+('Mitigation drivers'!F145*DigesterN2OEF)))/100,0)</f>
        <v>0</v>
      </c>
      <c r="L64" s="26">
        <f>IFERROR((('Mitigation drivers'!G135*LagoonN2O)+('Mitigation drivers'!G136*LiquidN2O)+('Mitigation drivers'!G137*DrylotN2O)+('Mitigation drivers'!G138*SolidStorageN2O)+('Mitigation drivers'!G139*DailyspreadN2O)+('Mitigation drivers'!G140*CompostN2O)+('Mitigation drivers'!G141*ManwithbedN2O)+('Mitigation drivers'!G142*PMwithoutlitterN2O)+('Mitigation drivers'!G143*PMwithlitterN2O+('Mitigation drivers'!G145*DigesterN2OEF)))/100,0)</f>
        <v>0</v>
      </c>
      <c r="M64" s="26">
        <f>IFERROR((('Mitigation drivers'!H135*LagoonN2O)+('Mitigation drivers'!H136*LiquidN2O)+('Mitigation drivers'!H137*DrylotN2O)+('Mitigation drivers'!H138*SolidStorageN2O)+('Mitigation drivers'!H139*DailyspreadN2O)+('Mitigation drivers'!H140*CompostN2O)+('Mitigation drivers'!H141*ManwithbedN2O)+('Mitigation drivers'!H142*PMwithoutlitterN2O)+('Mitigation drivers'!H143*PMwithlitterN2O+('Mitigation drivers'!H145*DigesterN2OEF)))/100,0)</f>
        <v>0</v>
      </c>
      <c r="N64" s="26">
        <f>IFERROR((('Mitigation drivers'!I135*LagoonN2O)+('Mitigation drivers'!I136*LiquidN2O)+('Mitigation drivers'!I137*DrylotN2O)+('Mitigation drivers'!I138*SolidStorageN2O)+('Mitigation drivers'!I139*DailyspreadN2O)+('Mitigation drivers'!I140*CompostN2O)+('Mitigation drivers'!I141*ManwithbedN2O)+('Mitigation drivers'!I142*PMwithoutlitterN2O)+('Mitigation drivers'!I143*PMwithlitterN2O+('Mitigation drivers'!I145*DigesterN2OEF)))/100,0)</f>
        <v>0</v>
      </c>
      <c r="O64" s="26">
        <f>IFERROR((('Mitigation drivers'!J135*LagoonN2O)+('Mitigation drivers'!J136*LiquidN2O)+('Mitigation drivers'!J137*DrylotN2O)+('Mitigation drivers'!J138*SolidStorageN2O)+('Mitigation drivers'!J139*DailyspreadN2O)+('Mitigation drivers'!J140*CompostN2O)+('Mitigation drivers'!J141*ManwithbedN2O)+('Mitigation drivers'!J142*PMwithoutlitterN2O)+('Mitigation drivers'!J143*PMwithlitterN2O+('Mitigation drivers'!J145*DigesterN2OEF)))/100,0)</f>
        <v>0</v>
      </c>
      <c r="P64" s="26">
        <f>IFERROR((('Mitigation drivers'!K135*LagoonN2O)+('Mitigation drivers'!K136*LiquidN2O)+('Mitigation drivers'!K137*DrylotN2O)+('Mitigation drivers'!K138*SolidStorageN2O)+('Mitigation drivers'!K139*DailyspreadN2O)+('Mitigation drivers'!K140*CompostN2O)+('Mitigation drivers'!K141*ManwithbedN2O)+('Mitigation drivers'!K142*PMwithoutlitterN2O)+('Mitigation drivers'!K143*PMwithlitterN2O+('Mitigation drivers'!K145*DigesterN2OEF)))/100,0)</f>
        <v>0</v>
      </c>
      <c r="Q64" s="26">
        <f>IFERROR((('Mitigation drivers'!L135*LagoonN2O)+('Mitigation drivers'!L136*LiquidN2O)+('Mitigation drivers'!L137*DrylotN2O)+('Mitigation drivers'!L138*SolidStorageN2O)+('Mitigation drivers'!L139*DailyspreadN2O)+('Mitigation drivers'!L140*CompostN2O)+('Mitigation drivers'!L141*ManwithbedN2O)+('Mitigation drivers'!L142*PMwithoutlitterN2O)+('Mitigation drivers'!L143*PMwithlitterN2O+('Mitigation drivers'!L145*DigesterN2OEF)))/100,0)</f>
        <v>0</v>
      </c>
      <c r="R64" s="26">
        <f>IFERROR((('Mitigation drivers'!M135*LagoonN2O)+('Mitigation drivers'!M136*LiquidN2O)+('Mitigation drivers'!M137*DrylotN2O)+('Mitigation drivers'!M138*SolidStorageN2O)+('Mitigation drivers'!M139*DailyspreadN2O)+('Mitigation drivers'!M140*CompostN2O)+('Mitigation drivers'!M141*ManwithbedN2O)+('Mitigation drivers'!M142*PMwithoutlitterN2O)+('Mitigation drivers'!M143*PMwithlitterN2O+('Mitigation drivers'!M145*DigesterN2OEF)))/100,0)</f>
        <v>0</v>
      </c>
      <c r="S64" s="26">
        <f>IFERROR((('Mitigation drivers'!N135*LagoonN2O)+('Mitigation drivers'!N136*LiquidN2O)+('Mitigation drivers'!N137*DrylotN2O)+('Mitigation drivers'!N138*SolidStorageN2O)+('Mitigation drivers'!N139*DailyspreadN2O)+('Mitigation drivers'!N140*CompostN2O)+('Mitigation drivers'!N141*ManwithbedN2O)+('Mitigation drivers'!N142*PMwithoutlitterN2O)+('Mitigation drivers'!N143*PMwithlitterN2O+('Mitigation drivers'!N145*DigesterN2OEF)))/100,0)</f>
        <v>0</v>
      </c>
      <c r="T64" s="26">
        <f>IFERROR((('Mitigation drivers'!O135*LagoonN2O)+('Mitigation drivers'!O136*LiquidN2O)+('Mitigation drivers'!O137*DrylotN2O)+('Mitigation drivers'!O138*SolidStorageN2O)+('Mitigation drivers'!O139*DailyspreadN2O)+('Mitigation drivers'!O140*CompostN2O)+('Mitigation drivers'!O141*ManwithbedN2O)+('Mitigation drivers'!O142*PMwithoutlitterN2O)+('Mitigation drivers'!O143*PMwithlitterN2O+('Mitigation drivers'!O145*DigesterN2OEF)))/100,0)</f>
        <v>0</v>
      </c>
      <c r="U64" s="26">
        <f>IFERROR((('Mitigation drivers'!P135*LagoonN2O)+('Mitigation drivers'!P136*LiquidN2O)+('Mitigation drivers'!P137*DrylotN2O)+('Mitigation drivers'!P138*SolidStorageN2O)+('Mitigation drivers'!P139*DailyspreadN2O)+('Mitigation drivers'!P140*CompostN2O)+('Mitigation drivers'!P141*ManwithbedN2O)+('Mitigation drivers'!P142*PMwithoutlitterN2O)+('Mitigation drivers'!P143*PMwithlitterN2O+('Mitigation drivers'!P145*DigesterN2OEF)))/100,0)</f>
        <v>0</v>
      </c>
      <c r="V64" s="26">
        <f>IFERROR((('Mitigation drivers'!Q135*LagoonN2O)+('Mitigation drivers'!Q136*LiquidN2O)+('Mitigation drivers'!Q137*DrylotN2O)+('Mitigation drivers'!Q138*SolidStorageN2O)+('Mitigation drivers'!Q139*DailyspreadN2O)+('Mitigation drivers'!Q140*CompostN2O)+('Mitigation drivers'!Q141*ManwithbedN2O)+('Mitigation drivers'!Q142*PMwithoutlitterN2O)+('Mitigation drivers'!Q143*PMwithlitterN2O+('Mitigation drivers'!Q145*DigesterN2OEF)))/100,0)</f>
        <v>0</v>
      </c>
      <c r="W64" s="26">
        <f>IFERROR((('Mitigation drivers'!R135*LagoonN2O)+('Mitigation drivers'!R136*LiquidN2O)+('Mitigation drivers'!R137*DrylotN2O)+('Mitigation drivers'!R138*SolidStorageN2O)+('Mitigation drivers'!R139*DailyspreadN2O)+('Mitigation drivers'!R140*CompostN2O)+('Mitigation drivers'!R141*ManwithbedN2O)+('Mitigation drivers'!R142*PMwithoutlitterN2O)+('Mitigation drivers'!R143*PMwithlitterN2O+('Mitigation drivers'!R145*DigesterN2OEF)))/100,0)</f>
        <v>0</v>
      </c>
      <c r="X64" s="26">
        <f>IFERROR((('Mitigation drivers'!S135*LagoonN2O)+('Mitigation drivers'!S136*LiquidN2O)+('Mitigation drivers'!S137*DrylotN2O)+('Mitigation drivers'!S138*SolidStorageN2O)+('Mitigation drivers'!S139*DailyspreadN2O)+('Mitigation drivers'!S140*CompostN2O)+('Mitigation drivers'!S141*ManwithbedN2O)+('Mitigation drivers'!S142*PMwithoutlitterN2O)+('Mitigation drivers'!S143*PMwithlitterN2O+('Mitigation drivers'!S145*DigesterN2OEF)))/100,0)</f>
        <v>0</v>
      </c>
      <c r="Y64" s="26">
        <f>IFERROR((('Mitigation drivers'!T135*LagoonN2O)+('Mitigation drivers'!T136*LiquidN2O)+('Mitigation drivers'!T137*DrylotN2O)+('Mitigation drivers'!T138*SolidStorageN2O)+('Mitigation drivers'!T139*DailyspreadN2O)+('Mitigation drivers'!T140*CompostN2O)+('Mitigation drivers'!T141*ManwithbedN2O)+('Mitigation drivers'!T142*PMwithoutlitterN2O)+('Mitigation drivers'!T143*PMwithlitterN2O+('Mitigation drivers'!T145*DigesterN2OEF)))/100,0)</f>
        <v>0</v>
      </c>
      <c r="Z64" s="26">
        <f>IFERROR((('Mitigation drivers'!U135*LagoonN2O)+('Mitigation drivers'!U136*LiquidN2O)+('Mitigation drivers'!U137*DrylotN2O)+('Mitigation drivers'!U138*SolidStorageN2O)+('Mitigation drivers'!U139*DailyspreadN2O)+('Mitigation drivers'!U140*CompostN2O)+('Mitigation drivers'!U141*ManwithbedN2O)+('Mitigation drivers'!U142*PMwithoutlitterN2O)+('Mitigation drivers'!U143*PMwithlitterN2O+('Mitigation drivers'!U145*DigesterN2OEF)))/100,0)</f>
        <v>0</v>
      </c>
      <c r="AA64" s="26">
        <f>IFERROR((('Mitigation drivers'!V135*LagoonN2O)+('Mitigation drivers'!V136*LiquidN2O)+('Mitigation drivers'!V137*DrylotN2O)+('Mitigation drivers'!V138*SolidStorageN2O)+('Mitigation drivers'!V139*DailyspreadN2O)+('Mitigation drivers'!V140*CompostN2O)+('Mitigation drivers'!V141*ManwithbedN2O)+('Mitigation drivers'!V142*PMwithoutlitterN2O)+('Mitigation drivers'!V143*PMwithlitterN2O+('Mitigation drivers'!V145*DigesterN2OEF)))/100,0)</f>
        <v>0</v>
      </c>
      <c r="AB64" s="26">
        <f>IFERROR((('Mitigation drivers'!W135*LagoonN2O)+('Mitigation drivers'!W136*LiquidN2O)+('Mitigation drivers'!W137*DrylotN2O)+('Mitigation drivers'!W138*SolidStorageN2O)+('Mitigation drivers'!W139*DailyspreadN2O)+('Mitigation drivers'!W140*CompostN2O)+('Mitigation drivers'!W141*ManwithbedN2O)+('Mitigation drivers'!W142*PMwithoutlitterN2O)+('Mitigation drivers'!W143*PMwithlitterN2O+('Mitigation drivers'!W145*DigesterN2OEF)))/100,0)</f>
        <v>0</v>
      </c>
      <c r="AC64" s="26">
        <f>IFERROR((('Mitigation drivers'!X135*LagoonN2O)+('Mitigation drivers'!X136*LiquidN2O)+('Mitigation drivers'!X137*DrylotN2O)+('Mitigation drivers'!X138*SolidStorageN2O)+('Mitigation drivers'!X139*DailyspreadN2O)+('Mitigation drivers'!X140*CompostN2O)+('Mitigation drivers'!X141*ManwithbedN2O)+('Mitigation drivers'!X142*PMwithoutlitterN2O)+('Mitigation drivers'!X143*PMwithlitterN2O+('Mitigation drivers'!X145*DigesterN2OEF)))/100,0)</f>
        <v>0</v>
      </c>
      <c r="AD64" s="26">
        <f>IFERROR((('Mitigation drivers'!Y135*LagoonN2O)+('Mitigation drivers'!Y136*LiquidN2O)+('Mitigation drivers'!Y137*DrylotN2O)+('Mitigation drivers'!Y138*SolidStorageN2O)+('Mitigation drivers'!Y139*DailyspreadN2O)+('Mitigation drivers'!Y140*CompostN2O)+('Mitigation drivers'!Y141*ManwithbedN2O)+('Mitigation drivers'!Y142*PMwithoutlitterN2O)+('Mitigation drivers'!Y143*PMwithlitterN2O+('Mitigation drivers'!Y145*DigesterN2OEF)))/100,0)</f>
        <v>0</v>
      </c>
      <c r="AE64" s="26">
        <f>IFERROR((('Mitigation drivers'!Z135*LagoonN2O)+('Mitigation drivers'!Z136*LiquidN2O)+('Mitigation drivers'!Z137*DrylotN2O)+('Mitigation drivers'!Z138*SolidStorageN2O)+('Mitigation drivers'!Z139*DailyspreadN2O)+('Mitigation drivers'!Z140*CompostN2O)+('Mitigation drivers'!Z141*ManwithbedN2O)+('Mitigation drivers'!Z142*PMwithoutlitterN2O)+('Mitigation drivers'!Z143*PMwithlitterN2O+('Mitigation drivers'!Z145*DigesterN2OEF)))/100,0)</f>
        <v>0</v>
      </c>
      <c r="AF64" s="26">
        <f>IFERROR((('Mitigation drivers'!AA135*LagoonN2O)+('Mitigation drivers'!AA136*LiquidN2O)+('Mitigation drivers'!AA137*DrylotN2O)+('Mitigation drivers'!AA138*SolidStorageN2O)+('Mitigation drivers'!AA139*DailyspreadN2O)+('Mitigation drivers'!AA140*CompostN2O)+('Mitigation drivers'!AA141*ManwithbedN2O)+('Mitigation drivers'!AA142*PMwithoutlitterN2O)+('Mitigation drivers'!AA143*PMwithlitterN2O+('Mitigation drivers'!AA145*DigesterN2OEF)))/100,0)</f>
        <v>0</v>
      </c>
      <c r="AG64" s="26">
        <f>IFERROR((('Mitigation drivers'!AB135*LagoonN2O)+('Mitigation drivers'!AB136*LiquidN2O)+('Mitigation drivers'!AB137*DrylotN2O)+('Mitigation drivers'!AB138*SolidStorageN2O)+('Mitigation drivers'!AB139*DailyspreadN2O)+('Mitigation drivers'!AB140*CompostN2O)+('Mitigation drivers'!AB141*ManwithbedN2O)+('Mitigation drivers'!AB142*PMwithoutlitterN2O)+('Mitigation drivers'!AB143*PMwithlitterN2O+('Mitigation drivers'!AB145*DigesterN2OEF)))/100,0)</f>
        <v>0</v>
      </c>
      <c r="AH64" s="26">
        <f>IFERROR((('Mitigation drivers'!AC135*LagoonN2O)+('Mitigation drivers'!AC136*LiquidN2O)+('Mitigation drivers'!AC137*DrylotN2O)+('Mitigation drivers'!AC138*SolidStorageN2O)+('Mitigation drivers'!AC139*DailyspreadN2O)+('Mitigation drivers'!AC140*CompostN2O)+('Mitigation drivers'!AC141*ManwithbedN2O)+('Mitigation drivers'!AC142*PMwithoutlitterN2O)+('Mitigation drivers'!AC143*PMwithlitterN2O+('Mitigation drivers'!AC145*DigesterN2OEF)))/100,0)</f>
        <v>0</v>
      </c>
      <c r="AI64" s="26">
        <f>IFERROR((('Mitigation drivers'!AD135*LagoonN2O)+('Mitigation drivers'!AD136*LiquidN2O)+('Mitigation drivers'!AD137*DrylotN2O)+('Mitigation drivers'!AD138*SolidStorageN2O)+('Mitigation drivers'!AD139*DailyspreadN2O)+('Mitigation drivers'!AD140*CompostN2O)+('Mitigation drivers'!AD141*ManwithbedN2O)+('Mitigation drivers'!AD142*PMwithoutlitterN2O)+('Mitigation drivers'!AD143*PMwithlitterN2O+('Mitigation drivers'!AD145*DigesterN2OEF)))/100,0)</f>
        <v>0</v>
      </c>
      <c r="AJ64" s="26">
        <f>IFERROR((('Mitigation drivers'!AE135*LagoonN2O)+('Mitigation drivers'!AE136*LiquidN2O)+('Mitigation drivers'!AE137*DrylotN2O)+('Mitigation drivers'!AE138*SolidStorageN2O)+('Mitigation drivers'!AE139*DailyspreadN2O)+('Mitigation drivers'!AE140*CompostN2O)+('Mitigation drivers'!AE141*ManwithbedN2O)+('Mitigation drivers'!AE142*PMwithoutlitterN2O)+('Mitigation drivers'!AE143*PMwithlitterN2O+('Mitigation drivers'!AE145*DigesterN2OEF)))/100,0)</f>
        <v>0</v>
      </c>
      <c r="AK64" s="26">
        <f>IFERROR((('Mitigation drivers'!AF135*LagoonN2O)+('Mitigation drivers'!AF136*LiquidN2O)+('Mitigation drivers'!AF137*DrylotN2O)+('Mitigation drivers'!AF138*SolidStorageN2O)+('Mitigation drivers'!AF139*DailyspreadN2O)+('Mitigation drivers'!AF140*CompostN2O)+('Mitigation drivers'!AF141*ManwithbedN2O)+('Mitigation drivers'!AF142*PMwithoutlitterN2O)+('Mitigation drivers'!AF143*PMwithlitterN2O+('Mitigation drivers'!AF145*DigesterN2OEF)))/100,0)</f>
        <v>0</v>
      </c>
      <c r="AL64" s="26">
        <f>IFERROR((('Mitigation drivers'!AG135*LagoonN2O)+('Mitigation drivers'!AG136*LiquidN2O)+('Mitigation drivers'!AG137*DrylotN2O)+('Mitigation drivers'!AG138*SolidStorageN2O)+('Mitigation drivers'!AG139*DailyspreadN2O)+('Mitigation drivers'!AG140*CompostN2O)+('Mitigation drivers'!AG141*ManwithbedN2O)+('Mitigation drivers'!AG142*PMwithoutlitterN2O)+('Mitigation drivers'!AG143*PMwithlitterN2O+('Mitigation drivers'!AG145*DigesterN2OEF)))/100,0)</f>
        <v>0</v>
      </c>
      <c r="AM64" s="26">
        <f>IFERROR((('Mitigation drivers'!AH135*LagoonN2O)+('Mitigation drivers'!AH136*LiquidN2O)+('Mitigation drivers'!AH137*DrylotN2O)+('Mitigation drivers'!AH138*SolidStorageN2O)+('Mitigation drivers'!AH139*DailyspreadN2O)+('Mitigation drivers'!AH140*CompostN2O)+('Mitigation drivers'!AH141*ManwithbedN2O)+('Mitigation drivers'!AH142*PMwithoutlitterN2O)+('Mitigation drivers'!AH143*PMwithlitterN2O+('Mitigation drivers'!AH145*DigesterN2OEF)))/100,0)</f>
        <v>0</v>
      </c>
      <c r="AN64" s="26">
        <f>IFERROR((('Mitigation drivers'!AI135*LagoonN2O)+('Mitigation drivers'!AI136*LiquidN2O)+('Mitigation drivers'!AI137*DrylotN2O)+('Mitigation drivers'!AI138*SolidStorageN2O)+('Mitigation drivers'!AI139*DailyspreadN2O)+('Mitigation drivers'!AI140*CompostN2O)+('Mitigation drivers'!AI141*ManwithbedN2O)+('Mitigation drivers'!AI142*PMwithoutlitterN2O)+('Mitigation drivers'!AI143*PMwithlitterN2O+('Mitigation drivers'!AI145*DigesterN2OEF)))/100,0)</f>
        <v>0</v>
      </c>
      <c r="AO64" s="26">
        <f>IFERROR((('Mitigation drivers'!AJ135*LagoonN2O)+('Mitigation drivers'!AJ136*LiquidN2O)+('Mitigation drivers'!AJ137*DrylotN2O)+('Mitigation drivers'!AJ138*SolidStorageN2O)+('Mitigation drivers'!AJ139*DailyspreadN2O)+('Mitigation drivers'!AJ140*CompostN2O)+('Mitigation drivers'!AJ141*ManwithbedN2O)+('Mitigation drivers'!AJ142*PMwithoutlitterN2O)+('Mitigation drivers'!AJ143*PMwithlitterN2O+('Mitigation drivers'!AJ145*DigesterN2OEF)))/100,0)</f>
        <v>0</v>
      </c>
    </row>
    <row r="65" spans="1:41" x14ac:dyDescent="0.25">
      <c r="A65" t="str">
        <f t="shared" si="1"/>
        <v>3A Livestock</v>
      </c>
      <c r="B65" t="str">
        <f t="shared" si="8"/>
        <v>3A2 Manure management (N2O)</v>
      </c>
      <c r="C65" t="str">
        <f>'Activity data'!C16</f>
        <v>3A1g Mules &amp; asses</v>
      </c>
      <c r="D65" t="str">
        <f>'Activity data'!D16</f>
        <v>Mules &amp; Asses</v>
      </c>
      <c r="E65" t="str">
        <f t="shared" si="27"/>
        <v>Manure management EF</v>
      </c>
      <c r="F65" t="str">
        <f t="shared" si="28"/>
        <v>N2O</v>
      </c>
      <c r="G65" t="str">
        <f t="shared" si="29"/>
        <v>kg N2O-N/kg Nex</v>
      </c>
      <c r="H65" s="26">
        <f>IFERROR((('Mitigation drivers'!C147*LagoonN2O)+('Mitigation drivers'!C148*LiquidN2O)+('Mitigation drivers'!C149*DrylotN2O)+('Mitigation drivers'!C150*SolidStorageN2O)+('Mitigation drivers'!C151*DailyspreadN2O)+('Mitigation drivers'!C152*CompostN2O)+('Mitigation drivers'!C153*ManwithbedN2O)+('Mitigation drivers'!C154*PMwithoutlitterN2O)+('Mitigation drivers'!C155*PMwithlitterN2O)+('Mitigation drivers'!C157*DigesterN2OEF))/100,0)</f>
        <v>0</v>
      </c>
      <c r="I65" s="26">
        <f>IFERROR((('Mitigation drivers'!D147*LagoonN2O)+('Mitigation drivers'!D148*LiquidN2O)+('Mitigation drivers'!D149*DrylotN2O)+('Mitigation drivers'!D150*SolidStorageN2O)+('Mitigation drivers'!D151*DailyspreadN2O)+('Mitigation drivers'!D152*CompostN2O)+('Mitigation drivers'!D153*ManwithbedN2O)+('Mitigation drivers'!D154*PMwithoutlitterN2O)+('Mitigation drivers'!D155*PMwithlitterN2O)+('Mitigation drivers'!D157*DigesterN2OEF))/100,0)</f>
        <v>0</v>
      </c>
      <c r="J65" s="26">
        <f>IFERROR((('Mitigation drivers'!E147*LagoonN2O)+('Mitigation drivers'!E148*LiquidN2O)+('Mitigation drivers'!E149*DrylotN2O)+('Mitigation drivers'!E150*SolidStorageN2O)+('Mitigation drivers'!E151*DailyspreadN2O)+('Mitigation drivers'!E152*CompostN2O)+('Mitigation drivers'!E153*ManwithbedN2O)+('Mitigation drivers'!E154*PMwithoutlitterN2O)+('Mitigation drivers'!E155*PMwithlitterN2O)+('Mitigation drivers'!E157*DigesterN2OEF))/100,0)</f>
        <v>0</v>
      </c>
      <c r="K65" s="26">
        <f>IFERROR((('Mitigation drivers'!F147*LagoonN2O)+('Mitigation drivers'!F148*LiquidN2O)+('Mitigation drivers'!F149*DrylotN2O)+('Mitigation drivers'!F150*SolidStorageN2O)+('Mitigation drivers'!F151*DailyspreadN2O)+('Mitigation drivers'!F152*CompostN2O)+('Mitigation drivers'!F153*ManwithbedN2O)+('Mitigation drivers'!F154*PMwithoutlitterN2O)+('Mitigation drivers'!F155*PMwithlitterN2O)+('Mitigation drivers'!F157*DigesterN2OEF))/100,0)</f>
        <v>0</v>
      </c>
      <c r="L65" s="26">
        <f>IFERROR((('Mitigation drivers'!G147*LagoonN2O)+('Mitigation drivers'!G148*LiquidN2O)+('Mitigation drivers'!G149*DrylotN2O)+('Mitigation drivers'!G150*SolidStorageN2O)+('Mitigation drivers'!G151*DailyspreadN2O)+('Mitigation drivers'!G152*CompostN2O)+('Mitigation drivers'!G153*ManwithbedN2O)+('Mitigation drivers'!G154*PMwithoutlitterN2O)+('Mitigation drivers'!G155*PMwithlitterN2O)+('Mitigation drivers'!G157*DigesterN2OEF))/100,0)</f>
        <v>0</v>
      </c>
      <c r="M65" s="26">
        <f>IFERROR((('Mitigation drivers'!H147*LagoonN2O)+('Mitigation drivers'!H148*LiquidN2O)+('Mitigation drivers'!H149*DrylotN2O)+('Mitigation drivers'!H150*SolidStorageN2O)+('Mitigation drivers'!H151*DailyspreadN2O)+('Mitigation drivers'!H152*CompostN2O)+('Mitigation drivers'!H153*ManwithbedN2O)+('Mitigation drivers'!H154*PMwithoutlitterN2O)+('Mitigation drivers'!H155*PMwithlitterN2O)+('Mitigation drivers'!H157*DigesterN2OEF))/100,0)</f>
        <v>0</v>
      </c>
      <c r="N65" s="26">
        <f>IFERROR((('Mitigation drivers'!I147*LagoonN2O)+('Mitigation drivers'!I148*LiquidN2O)+('Mitigation drivers'!I149*DrylotN2O)+('Mitigation drivers'!I150*SolidStorageN2O)+('Mitigation drivers'!I151*DailyspreadN2O)+('Mitigation drivers'!I152*CompostN2O)+('Mitigation drivers'!I153*ManwithbedN2O)+('Mitigation drivers'!I154*PMwithoutlitterN2O)+('Mitigation drivers'!I155*PMwithlitterN2O)+('Mitigation drivers'!I157*DigesterN2OEF))/100,0)</f>
        <v>0</v>
      </c>
      <c r="O65" s="26">
        <f>IFERROR((('Mitigation drivers'!J147*LagoonN2O)+('Mitigation drivers'!J148*LiquidN2O)+('Mitigation drivers'!J149*DrylotN2O)+('Mitigation drivers'!J150*SolidStorageN2O)+('Mitigation drivers'!J151*DailyspreadN2O)+('Mitigation drivers'!J152*CompostN2O)+('Mitigation drivers'!J153*ManwithbedN2O)+('Mitigation drivers'!J154*PMwithoutlitterN2O)+('Mitigation drivers'!J155*PMwithlitterN2O)+('Mitigation drivers'!J157*DigesterN2OEF))/100,0)</f>
        <v>0</v>
      </c>
      <c r="P65" s="26">
        <f>IFERROR((('Mitigation drivers'!K147*LagoonN2O)+('Mitigation drivers'!K148*LiquidN2O)+('Mitigation drivers'!K149*DrylotN2O)+('Mitigation drivers'!K150*SolidStorageN2O)+('Mitigation drivers'!K151*DailyspreadN2O)+('Mitigation drivers'!K152*CompostN2O)+('Mitigation drivers'!K153*ManwithbedN2O)+('Mitigation drivers'!K154*PMwithoutlitterN2O)+('Mitigation drivers'!K155*PMwithlitterN2O)+('Mitigation drivers'!K157*DigesterN2OEF))/100,0)</f>
        <v>0</v>
      </c>
      <c r="Q65" s="26">
        <f>IFERROR((('Mitigation drivers'!L147*LagoonN2O)+('Mitigation drivers'!L148*LiquidN2O)+('Mitigation drivers'!L149*DrylotN2O)+('Mitigation drivers'!L150*SolidStorageN2O)+('Mitigation drivers'!L151*DailyspreadN2O)+('Mitigation drivers'!L152*CompostN2O)+('Mitigation drivers'!L153*ManwithbedN2O)+('Mitigation drivers'!L154*PMwithoutlitterN2O)+('Mitigation drivers'!L155*PMwithlitterN2O)+('Mitigation drivers'!L157*DigesterN2OEF))/100,0)</f>
        <v>0</v>
      </c>
      <c r="R65" s="26">
        <f>IFERROR((('Mitigation drivers'!M147*LagoonN2O)+('Mitigation drivers'!M148*LiquidN2O)+('Mitigation drivers'!M149*DrylotN2O)+('Mitigation drivers'!M150*SolidStorageN2O)+('Mitigation drivers'!M151*DailyspreadN2O)+('Mitigation drivers'!M152*CompostN2O)+('Mitigation drivers'!M153*ManwithbedN2O)+('Mitigation drivers'!M154*PMwithoutlitterN2O)+('Mitigation drivers'!M155*PMwithlitterN2O)+('Mitigation drivers'!M157*DigesterN2OEF))/100,0)</f>
        <v>0</v>
      </c>
      <c r="S65" s="26">
        <f>IFERROR((('Mitigation drivers'!N147*LagoonN2O)+('Mitigation drivers'!N148*LiquidN2O)+('Mitigation drivers'!N149*DrylotN2O)+('Mitigation drivers'!N150*SolidStorageN2O)+('Mitigation drivers'!N151*DailyspreadN2O)+('Mitigation drivers'!N152*CompostN2O)+('Mitigation drivers'!N153*ManwithbedN2O)+('Mitigation drivers'!N154*PMwithoutlitterN2O)+('Mitigation drivers'!N155*PMwithlitterN2O)+('Mitigation drivers'!N157*DigesterN2OEF))/100,0)</f>
        <v>0</v>
      </c>
      <c r="T65" s="26">
        <f>IFERROR((('Mitigation drivers'!O147*LagoonN2O)+('Mitigation drivers'!O148*LiquidN2O)+('Mitigation drivers'!O149*DrylotN2O)+('Mitigation drivers'!O150*SolidStorageN2O)+('Mitigation drivers'!O151*DailyspreadN2O)+('Mitigation drivers'!O152*CompostN2O)+('Mitigation drivers'!O153*ManwithbedN2O)+('Mitigation drivers'!O154*PMwithoutlitterN2O)+('Mitigation drivers'!O155*PMwithlitterN2O)+('Mitigation drivers'!O157*DigesterN2OEF))/100,0)</f>
        <v>0</v>
      </c>
      <c r="U65" s="26">
        <f>IFERROR((('Mitigation drivers'!P147*LagoonN2O)+('Mitigation drivers'!P148*LiquidN2O)+('Mitigation drivers'!P149*DrylotN2O)+('Mitigation drivers'!P150*SolidStorageN2O)+('Mitigation drivers'!P151*DailyspreadN2O)+('Mitigation drivers'!P152*CompostN2O)+('Mitigation drivers'!P153*ManwithbedN2O)+('Mitigation drivers'!P154*PMwithoutlitterN2O)+('Mitigation drivers'!P155*PMwithlitterN2O)+('Mitigation drivers'!P157*DigesterN2OEF))/100,0)</f>
        <v>0</v>
      </c>
      <c r="V65" s="26">
        <f>IFERROR((('Mitigation drivers'!Q147*LagoonN2O)+('Mitigation drivers'!Q148*LiquidN2O)+('Mitigation drivers'!Q149*DrylotN2O)+('Mitigation drivers'!Q150*SolidStorageN2O)+('Mitigation drivers'!Q151*DailyspreadN2O)+('Mitigation drivers'!Q152*CompostN2O)+('Mitigation drivers'!Q153*ManwithbedN2O)+('Mitigation drivers'!Q154*PMwithoutlitterN2O)+('Mitigation drivers'!Q155*PMwithlitterN2O)+('Mitigation drivers'!Q157*DigesterN2OEF))/100,0)</f>
        <v>0</v>
      </c>
      <c r="W65" s="26">
        <f>IFERROR((('Mitigation drivers'!R147*LagoonN2O)+('Mitigation drivers'!R148*LiquidN2O)+('Mitigation drivers'!R149*DrylotN2O)+('Mitigation drivers'!R150*SolidStorageN2O)+('Mitigation drivers'!R151*DailyspreadN2O)+('Mitigation drivers'!R152*CompostN2O)+('Mitigation drivers'!R153*ManwithbedN2O)+('Mitigation drivers'!R154*PMwithoutlitterN2O)+('Mitigation drivers'!R155*PMwithlitterN2O)+('Mitigation drivers'!R157*DigesterN2OEF))/100,0)</f>
        <v>0</v>
      </c>
      <c r="X65" s="26">
        <f>IFERROR((('Mitigation drivers'!S147*LagoonN2O)+('Mitigation drivers'!S148*LiquidN2O)+('Mitigation drivers'!S149*DrylotN2O)+('Mitigation drivers'!S150*SolidStorageN2O)+('Mitigation drivers'!S151*DailyspreadN2O)+('Mitigation drivers'!S152*CompostN2O)+('Mitigation drivers'!S153*ManwithbedN2O)+('Mitigation drivers'!S154*PMwithoutlitterN2O)+('Mitigation drivers'!S155*PMwithlitterN2O)+('Mitigation drivers'!S157*DigesterN2OEF))/100,0)</f>
        <v>0</v>
      </c>
      <c r="Y65" s="26">
        <f>IFERROR((('Mitigation drivers'!T147*LagoonN2O)+('Mitigation drivers'!T148*LiquidN2O)+('Mitigation drivers'!T149*DrylotN2O)+('Mitigation drivers'!T150*SolidStorageN2O)+('Mitigation drivers'!T151*DailyspreadN2O)+('Mitigation drivers'!T152*CompostN2O)+('Mitigation drivers'!T153*ManwithbedN2O)+('Mitigation drivers'!T154*PMwithoutlitterN2O)+('Mitigation drivers'!T155*PMwithlitterN2O)+('Mitigation drivers'!T157*DigesterN2OEF))/100,0)</f>
        <v>0</v>
      </c>
      <c r="Z65" s="26">
        <f>IFERROR((('Mitigation drivers'!U147*LagoonN2O)+('Mitigation drivers'!U148*LiquidN2O)+('Mitigation drivers'!U149*DrylotN2O)+('Mitigation drivers'!U150*SolidStorageN2O)+('Mitigation drivers'!U151*DailyspreadN2O)+('Mitigation drivers'!U152*CompostN2O)+('Mitigation drivers'!U153*ManwithbedN2O)+('Mitigation drivers'!U154*PMwithoutlitterN2O)+('Mitigation drivers'!U155*PMwithlitterN2O)+('Mitigation drivers'!U157*DigesterN2OEF))/100,0)</f>
        <v>0</v>
      </c>
      <c r="AA65" s="26">
        <f>IFERROR((('Mitigation drivers'!V147*LagoonN2O)+('Mitigation drivers'!V148*LiquidN2O)+('Mitigation drivers'!V149*DrylotN2O)+('Mitigation drivers'!V150*SolidStorageN2O)+('Mitigation drivers'!V151*DailyspreadN2O)+('Mitigation drivers'!V152*CompostN2O)+('Mitigation drivers'!V153*ManwithbedN2O)+('Mitigation drivers'!V154*PMwithoutlitterN2O)+('Mitigation drivers'!V155*PMwithlitterN2O)+('Mitigation drivers'!V157*DigesterN2OEF))/100,0)</f>
        <v>0</v>
      </c>
      <c r="AB65" s="26">
        <f>IFERROR((('Mitigation drivers'!W147*LagoonN2O)+('Mitigation drivers'!W148*LiquidN2O)+('Mitigation drivers'!W149*DrylotN2O)+('Mitigation drivers'!W150*SolidStorageN2O)+('Mitigation drivers'!W151*DailyspreadN2O)+('Mitigation drivers'!W152*CompostN2O)+('Mitigation drivers'!W153*ManwithbedN2O)+('Mitigation drivers'!W154*PMwithoutlitterN2O)+('Mitigation drivers'!W155*PMwithlitterN2O)+('Mitigation drivers'!W157*DigesterN2OEF))/100,0)</f>
        <v>0</v>
      </c>
      <c r="AC65" s="26">
        <f>IFERROR((('Mitigation drivers'!X147*LagoonN2O)+('Mitigation drivers'!X148*LiquidN2O)+('Mitigation drivers'!X149*DrylotN2O)+('Mitigation drivers'!X150*SolidStorageN2O)+('Mitigation drivers'!X151*DailyspreadN2O)+('Mitigation drivers'!X152*CompostN2O)+('Mitigation drivers'!X153*ManwithbedN2O)+('Mitigation drivers'!X154*PMwithoutlitterN2O)+('Mitigation drivers'!X155*PMwithlitterN2O)+('Mitigation drivers'!X157*DigesterN2OEF))/100,0)</f>
        <v>0</v>
      </c>
      <c r="AD65" s="26">
        <f>IFERROR((('Mitigation drivers'!Y147*LagoonN2O)+('Mitigation drivers'!Y148*LiquidN2O)+('Mitigation drivers'!Y149*DrylotN2O)+('Mitigation drivers'!Y150*SolidStorageN2O)+('Mitigation drivers'!Y151*DailyspreadN2O)+('Mitigation drivers'!Y152*CompostN2O)+('Mitigation drivers'!Y153*ManwithbedN2O)+('Mitigation drivers'!Y154*PMwithoutlitterN2O)+('Mitigation drivers'!Y155*PMwithlitterN2O)+('Mitigation drivers'!Y157*DigesterN2OEF))/100,0)</f>
        <v>0</v>
      </c>
      <c r="AE65" s="26">
        <f>IFERROR((('Mitigation drivers'!Z147*LagoonN2O)+('Mitigation drivers'!Z148*LiquidN2O)+('Mitigation drivers'!Z149*DrylotN2O)+('Mitigation drivers'!Z150*SolidStorageN2O)+('Mitigation drivers'!Z151*DailyspreadN2O)+('Mitigation drivers'!Z152*CompostN2O)+('Mitigation drivers'!Z153*ManwithbedN2O)+('Mitigation drivers'!Z154*PMwithoutlitterN2O)+('Mitigation drivers'!Z155*PMwithlitterN2O)+('Mitigation drivers'!Z157*DigesterN2OEF))/100,0)</f>
        <v>0</v>
      </c>
      <c r="AF65" s="26">
        <f>IFERROR((('Mitigation drivers'!AA147*LagoonN2O)+('Mitigation drivers'!AA148*LiquidN2O)+('Mitigation drivers'!AA149*DrylotN2O)+('Mitigation drivers'!AA150*SolidStorageN2O)+('Mitigation drivers'!AA151*DailyspreadN2O)+('Mitigation drivers'!AA152*CompostN2O)+('Mitigation drivers'!AA153*ManwithbedN2O)+('Mitigation drivers'!AA154*PMwithoutlitterN2O)+('Mitigation drivers'!AA155*PMwithlitterN2O)+('Mitigation drivers'!AA157*DigesterN2OEF))/100,0)</f>
        <v>0</v>
      </c>
      <c r="AG65" s="26">
        <f>IFERROR((('Mitigation drivers'!AB147*LagoonN2O)+('Mitigation drivers'!AB148*LiquidN2O)+('Mitigation drivers'!AB149*DrylotN2O)+('Mitigation drivers'!AB150*SolidStorageN2O)+('Mitigation drivers'!AB151*DailyspreadN2O)+('Mitigation drivers'!AB152*CompostN2O)+('Mitigation drivers'!AB153*ManwithbedN2O)+('Mitigation drivers'!AB154*PMwithoutlitterN2O)+('Mitigation drivers'!AB155*PMwithlitterN2O)+('Mitigation drivers'!AB157*DigesterN2OEF))/100,0)</f>
        <v>0</v>
      </c>
      <c r="AH65" s="26">
        <f>IFERROR((('Mitigation drivers'!AC147*LagoonN2O)+('Mitigation drivers'!AC148*LiquidN2O)+('Mitigation drivers'!AC149*DrylotN2O)+('Mitigation drivers'!AC150*SolidStorageN2O)+('Mitigation drivers'!AC151*DailyspreadN2O)+('Mitigation drivers'!AC152*CompostN2O)+('Mitigation drivers'!AC153*ManwithbedN2O)+('Mitigation drivers'!AC154*PMwithoutlitterN2O)+('Mitigation drivers'!AC155*PMwithlitterN2O)+('Mitigation drivers'!AC157*DigesterN2OEF))/100,0)</f>
        <v>0</v>
      </c>
      <c r="AI65" s="26">
        <f>IFERROR((('Mitigation drivers'!AD147*LagoonN2O)+('Mitigation drivers'!AD148*LiquidN2O)+('Mitigation drivers'!AD149*DrylotN2O)+('Mitigation drivers'!AD150*SolidStorageN2O)+('Mitigation drivers'!AD151*DailyspreadN2O)+('Mitigation drivers'!AD152*CompostN2O)+('Mitigation drivers'!AD153*ManwithbedN2O)+('Mitigation drivers'!AD154*PMwithoutlitterN2O)+('Mitigation drivers'!AD155*PMwithlitterN2O)+('Mitigation drivers'!AD157*DigesterN2OEF))/100,0)</f>
        <v>0</v>
      </c>
      <c r="AJ65" s="26">
        <f>IFERROR((('Mitigation drivers'!AE147*LagoonN2O)+('Mitigation drivers'!AE148*LiquidN2O)+('Mitigation drivers'!AE149*DrylotN2O)+('Mitigation drivers'!AE150*SolidStorageN2O)+('Mitigation drivers'!AE151*DailyspreadN2O)+('Mitigation drivers'!AE152*CompostN2O)+('Mitigation drivers'!AE153*ManwithbedN2O)+('Mitigation drivers'!AE154*PMwithoutlitterN2O)+('Mitigation drivers'!AE155*PMwithlitterN2O)+('Mitigation drivers'!AE157*DigesterN2OEF))/100,0)</f>
        <v>0</v>
      </c>
      <c r="AK65" s="26">
        <f>IFERROR((('Mitigation drivers'!AF147*LagoonN2O)+('Mitigation drivers'!AF148*LiquidN2O)+('Mitigation drivers'!AF149*DrylotN2O)+('Mitigation drivers'!AF150*SolidStorageN2O)+('Mitigation drivers'!AF151*DailyspreadN2O)+('Mitigation drivers'!AF152*CompostN2O)+('Mitigation drivers'!AF153*ManwithbedN2O)+('Mitigation drivers'!AF154*PMwithoutlitterN2O)+('Mitigation drivers'!AF155*PMwithlitterN2O)+('Mitigation drivers'!AF157*DigesterN2OEF))/100,0)</f>
        <v>0</v>
      </c>
      <c r="AL65" s="26">
        <f>IFERROR((('Mitigation drivers'!AG147*LagoonN2O)+('Mitigation drivers'!AG148*LiquidN2O)+('Mitigation drivers'!AG149*DrylotN2O)+('Mitigation drivers'!AG150*SolidStorageN2O)+('Mitigation drivers'!AG151*DailyspreadN2O)+('Mitigation drivers'!AG152*CompostN2O)+('Mitigation drivers'!AG153*ManwithbedN2O)+('Mitigation drivers'!AG154*PMwithoutlitterN2O)+('Mitigation drivers'!AG155*PMwithlitterN2O)+('Mitigation drivers'!AG157*DigesterN2OEF))/100,0)</f>
        <v>0</v>
      </c>
      <c r="AM65" s="26">
        <f>IFERROR((('Mitigation drivers'!AH147*LagoonN2O)+('Mitigation drivers'!AH148*LiquidN2O)+('Mitigation drivers'!AH149*DrylotN2O)+('Mitigation drivers'!AH150*SolidStorageN2O)+('Mitigation drivers'!AH151*DailyspreadN2O)+('Mitigation drivers'!AH152*CompostN2O)+('Mitigation drivers'!AH153*ManwithbedN2O)+('Mitigation drivers'!AH154*PMwithoutlitterN2O)+('Mitigation drivers'!AH155*PMwithlitterN2O)+('Mitigation drivers'!AH157*DigesterN2OEF))/100,0)</f>
        <v>0</v>
      </c>
      <c r="AN65" s="26">
        <f>IFERROR((('Mitigation drivers'!AI147*LagoonN2O)+('Mitigation drivers'!AI148*LiquidN2O)+('Mitigation drivers'!AI149*DrylotN2O)+('Mitigation drivers'!AI150*SolidStorageN2O)+('Mitigation drivers'!AI151*DailyspreadN2O)+('Mitigation drivers'!AI152*CompostN2O)+('Mitigation drivers'!AI153*ManwithbedN2O)+('Mitigation drivers'!AI154*PMwithoutlitterN2O)+('Mitigation drivers'!AI155*PMwithlitterN2O)+('Mitigation drivers'!AI157*DigesterN2OEF))/100,0)</f>
        <v>0</v>
      </c>
      <c r="AO65" s="26">
        <f>IFERROR((('Mitigation drivers'!AJ147*LagoonN2O)+('Mitigation drivers'!AJ148*LiquidN2O)+('Mitigation drivers'!AJ149*DrylotN2O)+('Mitigation drivers'!AJ150*SolidStorageN2O)+('Mitigation drivers'!AJ151*DailyspreadN2O)+('Mitigation drivers'!AJ152*CompostN2O)+('Mitigation drivers'!AJ153*ManwithbedN2O)+('Mitigation drivers'!AJ154*PMwithoutlitterN2O)+('Mitigation drivers'!AJ155*PMwithlitterN2O)+('Mitigation drivers'!AJ157*DigesterN2OEF))/100,0)</f>
        <v>0</v>
      </c>
    </row>
    <row r="66" spans="1:41" x14ac:dyDescent="0.25">
      <c r="A66" t="str">
        <f t="shared" si="1"/>
        <v>3A Livestock</v>
      </c>
      <c r="B66" t="str">
        <f t="shared" si="8"/>
        <v>3A2 Manure management (N2O)</v>
      </c>
      <c r="C66" t="str">
        <f>'Activity data'!C17</f>
        <v>3A1h Swine</v>
      </c>
      <c r="D66" t="str">
        <f>'Activity data'!D17</f>
        <v>Commercial</v>
      </c>
      <c r="E66" t="str">
        <f t="shared" si="27"/>
        <v>Manure management EF</v>
      </c>
      <c r="F66" t="str">
        <f t="shared" si="28"/>
        <v>N2O</v>
      </c>
      <c r="G66" t="str">
        <f t="shared" si="29"/>
        <v>kg N2O-N/kg Nex</v>
      </c>
      <c r="H66" s="26">
        <f>(('Mitigation drivers'!C160*LagoonN2O)+('Mitigation drivers'!C161*LiquidN2O)+('Mitigation drivers'!C162*DrylotN2O)+('Mitigation drivers'!C163*SolidStorageN2O)+('Mitigation drivers'!C164*DailyspreadN2O)+('Mitigation drivers'!C165*CompostN2O)+('Mitigation drivers'!C166*ManwithbedN2O)+('Mitigation drivers'!C167*PMwithoutlitterN2O)+('Mitigation drivers'!C168*PMwithlitterN2O)+('Mitigation drivers'!C170*DigesterN2OEF))/100</f>
        <v>2.7200000000000002E-3</v>
      </c>
      <c r="I66" s="26">
        <f>(('Mitigation drivers'!D160*LagoonN2O)+('Mitigation drivers'!D161*LiquidN2O)+('Mitigation drivers'!D162*DrylotN2O)+('Mitigation drivers'!D163*SolidStorageN2O)+('Mitigation drivers'!D164*DailyspreadN2O)+('Mitigation drivers'!D165*CompostN2O)+('Mitigation drivers'!D166*ManwithbedN2O)+('Mitigation drivers'!D167*PMwithoutlitterN2O)+('Mitigation drivers'!D168*PMwithlitterN2O)+('Mitigation drivers'!D170*DigesterN2OEF))/100</f>
        <v>2.7200000000000002E-3</v>
      </c>
      <c r="J66" s="26">
        <f>(('Mitigation drivers'!E160*LagoonN2O)+('Mitigation drivers'!E161*LiquidN2O)+('Mitigation drivers'!E162*DrylotN2O)+('Mitigation drivers'!E163*SolidStorageN2O)+('Mitigation drivers'!E164*DailyspreadN2O)+('Mitigation drivers'!E165*CompostN2O)+('Mitigation drivers'!E166*ManwithbedN2O)+('Mitigation drivers'!E167*PMwithoutlitterN2O)+('Mitigation drivers'!E168*PMwithlitterN2O)+('Mitigation drivers'!E170*DigesterN2OEF))/100</f>
        <v>2.7200000000000002E-3</v>
      </c>
      <c r="K66" s="26">
        <f>(('Mitigation drivers'!F160*LagoonN2O)+('Mitigation drivers'!F161*LiquidN2O)+('Mitigation drivers'!F162*DrylotN2O)+('Mitigation drivers'!F163*SolidStorageN2O)+('Mitigation drivers'!F164*DailyspreadN2O)+('Mitigation drivers'!F165*CompostN2O)+('Mitigation drivers'!F166*ManwithbedN2O)+('Mitigation drivers'!F167*PMwithoutlitterN2O)+('Mitigation drivers'!F168*PMwithlitterN2O)+('Mitigation drivers'!F170*DigesterN2OEF))/100</f>
        <v>2.7200000000000002E-3</v>
      </c>
      <c r="L66" s="26">
        <f>(('Mitigation drivers'!G160*LagoonN2O)+('Mitigation drivers'!G161*LiquidN2O)+('Mitigation drivers'!G162*DrylotN2O)+('Mitigation drivers'!G163*SolidStorageN2O)+('Mitigation drivers'!G164*DailyspreadN2O)+('Mitigation drivers'!G165*CompostN2O)+('Mitigation drivers'!G166*ManwithbedN2O)+('Mitigation drivers'!G167*PMwithoutlitterN2O)+('Mitigation drivers'!G168*PMwithlitterN2O)+('Mitigation drivers'!G170*DigesterN2OEF))/100</f>
        <v>2.7200000000000002E-3</v>
      </c>
      <c r="M66" s="26">
        <f>(('Mitigation drivers'!H160*LagoonN2O)+('Mitigation drivers'!H161*LiquidN2O)+('Mitigation drivers'!H162*DrylotN2O)+('Mitigation drivers'!H163*SolidStorageN2O)+('Mitigation drivers'!H164*DailyspreadN2O)+('Mitigation drivers'!H165*CompostN2O)+('Mitigation drivers'!H166*ManwithbedN2O)+('Mitigation drivers'!H167*PMwithoutlitterN2O)+('Mitigation drivers'!H168*PMwithlitterN2O)+('Mitigation drivers'!H170*DigesterN2OEF))/100</f>
        <v>2.7200000000000002E-3</v>
      </c>
      <c r="N66" s="26">
        <f>(('Mitigation drivers'!I160*LagoonN2O)+('Mitigation drivers'!I161*LiquidN2O)+('Mitigation drivers'!I162*DrylotN2O)+('Mitigation drivers'!I163*SolidStorageN2O)+('Mitigation drivers'!I164*DailyspreadN2O)+('Mitigation drivers'!I165*CompostN2O)+('Mitigation drivers'!I166*ManwithbedN2O)+('Mitigation drivers'!I167*PMwithoutlitterN2O)+('Mitigation drivers'!I168*PMwithlitterN2O)+('Mitigation drivers'!I170*DigesterN2OEF))/100</f>
        <v>2.7200000000000002E-3</v>
      </c>
      <c r="O66" s="26">
        <f>(('Mitigation drivers'!J160*LagoonN2O)+('Mitigation drivers'!J161*LiquidN2O)+('Mitigation drivers'!J162*DrylotN2O)+('Mitigation drivers'!J163*SolidStorageN2O)+('Mitigation drivers'!J164*DailyspreadN2O)+('Mitigation drivers'!J165*CompostN2O)+('Mitigation drivers'!J166*ManwithbedN2O)+('Mitigation drivers'!J167*PMwithoutlitterN2O)+('Mitigation drivers'!J168*PMwithlitterN2O)+('Mitigation drivers'!J170*DigesterN2OEF))/100</f>
        <v>2.7200000000000002E-3</v>
      </c>
      <c r="P66" s="26">
        <f>(('Mitigation drivers'!K160*LagoonN2O)+('Mitigation drivers'!K161*LiquidN2O)+('Mitigation drivers'!K162*DrylotN2O)+('Mitigation drivers'!K163*SolidStorageN2O)+('Mitigation drivers'!K164*DailyspreadN2O)+('Mitigation drivers'!K165*CompostN2O)+('Mitigation drivers'!K166*ManwithbedN2O)+('Mitigation drivers'!K167*PMwithoutlitterN2O)+('Mitigation drivers'!K168*PMwithlitterN2O)+('Mitigation drivers'!K170*DigesterN2OEF))/100</f>
        <v>2.7200000000000002E-3</v>
      </c>
      <c r="Q66" s="26">
        <f>(('Mitigation drivers'!L160*LagoonN2O)+('Mitigation drivers'!L161*LiquidN2O)+('Mitigation drivers'!L162*DrylotN2O)+('Mitigation drivers'!L163*SolidStorageN2O)+('Mitigation drivers'!L164*DailyspreadN2O)+('Mitigation drivers'!L165*CompostN2O)+('Mitigation drivers'!L166*ManwithbedN2O)+('Mitigation drivers'!L167*PMwithoutlitterN2O)+('Mitigation drivers'!L168*PMwithlitterN2O)+('Mitigation drivers'!L170*DigesterN2OEF))/100</f>
        <v>2.7200000000000002E-3</v>
      </c>
      <c r="R66" s="26">
        <f>(('Mitigation drivers'!M160*LagoonN2O)+('Mitigation drivers'!M161*LiquidN2O)+('Mitigation drivers'!M162*DrylotN2O)+('Mitigation drivers'!M163*SolidStorageN2O)+('Mitigation drivers'!M164*DailyspreadN2O)+('Mitigation drivers'!M165*CompostN2O)+('Mitigation drivers'!M166*ManwithbedN2O)+('Mitigation drivers'!M167*PMwithoutlitterN2O)+('Mitigation drivers'!M168*PMwithlitterN2O)+('Mitigation drivers'!M170*DigesterN2OEF))/100</f>
        <v>2.7200000000000002E-3</v>
      </c>
      <c r="S66" s="26">
        <f>(('Mitigation drivers'!N160*LagoonN2O)+('Mitigation drivers'!N161*LiquidN2O)+('Mitigation drivers'!N162*DrylotN2O)+('Mitigation drivers'!N163*SolidStorageN2O)+('Mitigation drivers'!N164*DailyspreadN2O)+('Mitigation drivers'!N165*CompostN2O)+('Mitigation drivers'!N166*ManwithbedN2O)+('Mitigation drivers'!N167*PMwithoutlitterN2O)+('Mitigation drivers'!N168*PMwithlitterN2O)+('Mitigation drivers'!N170*DigesterN2OEF))/100</f>
        <v>2.7200000000000002E-3</v>
      </c>
      <c r="T66" s="26">
        <f>(('Mitigation drivers'!O160*LagoonN2O)+('Mitigation drivers'!O161*LiquidN2O)+('Mitigation drivers'!O162*DrylotN2O)+('Mitigation drivers'!O163*SolidStorageN2O)+('Mitigation drivers'!O164*DailyspreadN2O)+('Mitigation drivers'!O165*CompostN2O)+('Mitigation drivers'!O166*ManwithbedN2O)+('Mitigation drivers'!O167*PMwithoutlitterN2O)+('Mitigation drivers'!O168*PMwithlitterN2O)+('Mitigation drivers'!O170*DigesterN2OEF))/100</f>
        <v>2.7200000000000002E-3</v>
      </c>
      <c r="U66" s="26">
        <f>(('Mitigation drivers'!P160*LagoonN2O)+('Mitigation drivers'!P161*LiquidN2O)+('Mitigation drivers'!P162*DrylotN2O)+('Mitigation drivers'!P163*SolidStorageN2O)+('Mitigation drivers'!P164*DailyspreadN2O)+('Mitigation drivers'!P165*CompostN2O)+('Mitigation drivers'!P166*ManwithbedN2O)+('Mitigation drivers'!P167*PMwithoutlitterN2O)+('Mitigation drivers'!P168*PMwithlitterN2O)+('Mitigation drivers'!P170*DigesterN2OEF))/100</f>
        <v>2.7200000000000002E-3</v>
      </c>
      <c r="V66" s="26">
        <f>(('Mitigation drivers'!Q160*LagoonN2O)+('Mitigation drivers'!Q161*LiquidN2O)+('Mitigation drivers'!Q162*DrylotN2O)+('Mitigation drivers'!Q163*SolidStorageN2O)+('Mitigation drivers'!Q164*DailyspreadN2O)+('Mitigation drivers'!Q165*CompostN2O)+('Mitigation drivers'!Q166*ManwithbedN2O)+('Mitigation drivers'!Q167*PMwithoutlitterN2O)+('Mitigation drivers'!Q168*PMwithlitterN2O)+('Mitigation drivers'!Q170*DigesterN2OEF))/100</f>
        <v>2.7200000000000002E-3</v>
      </c>
      <c r="W66" s="26">
        <f>(('Mitigation drivers'!R160*LagoonN2O)+('Mitigation drivers'!R161*LiquidN2O)+('Mitigation drivers'!R162*DrylotN2O)+('Mitigation drivers'!R163*SolidStorageN2O)+('Mitigation drivers'!R164*DailyspreadN2O)+('Mitigation drivers'!R165*CompostN2O)+('Mitigation drivers'!R166*ManwithbedN2O)+('Mitigation drivers'!R167*PMwithoutlitterN2O)+('Mitigation drivers'!R168*PMwithlitterN2O)+('Mitigation drivers'!R170*DigesterN2OEF))/100</f>
        <v>2.7200000000000002E-3</v>
      </c>
      <c r="X66" s="26">
        <f>(('Mitigation drivers'!S160*LagoonN2O)+('Mitigation drivers'!S161*LiquidN2O)+('Mitigation drivers'!S162*DrylotN2O)+('Mitigation drivers'!S163*SolidStorageN2O)+('Mitigation drivers'!S164*DailyspreadN2O)+('Mitigation drivers'!S165*CompostN2O)+('Mitigation drivers'!S166*ManwithbedN2O)+('Mitigation drivers'!S167*PMwithoutlitterN2O)+('Mitigation drivers'!S168*PMwithlitterN2O)+('Mitigation drivers'!S170*DigesterN2OEF))/100</f>
        <v>2.7200000000000002E-3</v>
      </c>
      <c r="Y66" s="26">
        <f>(('Mitigation drivers'!T160*LagoonN2O)+('Mitigation drivers'!T161*LiquidN2O)+('Mitigation drivers'!T162*DrylotN2O)+('Mitigation drivers'!T163*SolidStorageN2O)+('Mitigation drivers'!T164*DailyspreadN2O)+('Mitigation drivers'!T165*CompostN2O)+('Mitigation drivers'!T166*ManwithbedN2O)+('Mitigation drivers'!T167*PMwithoutlitterN2O)+('Mitigation drivers'!T168*PMwithlitterN2O)+('Mitigation drivers'!T170*DigesterN2OEF))/100</f>
        <v>2.7200000000000002E-3</v>
      </c>
      <c r="Z66" s="26">
        <f>(('Mitigation drivers'!U160*LagoonN2O)+('Mitigation drivers'!U161*LiquidN2O)+('Mitigation drivers'!U162*DrylotN2O)+('Mitigation drivers'!U163*SolidStorageN2O)+('Mitigation drivers'!U164*DailyspreadN2O)+('Mitigation drivers'!U165*CompostN2O)+('Mitigation drivers'!U166*ManwithbedN2O)+('Mitigation drivers'!U167*PMwithoutlitterN2O)+('Mitigation drivers'!U168*PMwithlitterN2O)+('Mitigation drivers'!U170*DigesterN2OEF))/100</f>
        <v>2.7200000000000002E-3</v>
      </c>
      <c r="AA66" s="26">
        <f>(('Mitigation drivers'!V160*LagoonN2O)+('Mitigation drivers'!V161*LiquidN2O)+('Mitigation drivers'!V162*DrylotN2O)+('Mitigation drivers'!V163*SolidStorageN2O)+('Mitigation drivers'!V164*DailyspreadN2O)+('Mitigation drivers'!V165*CompostN2O)+('Mitigation drivers'!V166*ManwithbedN2O)+('Mitigation drivers'!V167*PMwithoutlitterN2O)+('Mitigation drivers'!V168*PMwithlitterN2O)+('Mitigation drivers'!V170*DigesterN2OEF))/100</f>
        <v>2.7200000000000002E-3</v>
      </c>
      <c r="AB66" s="26">
        <f>(('Mitigation drivers'!W160*LagoonN2O)+('Mitigation drivers'!W161*LiquidN2O)+('Mitigation drivers'!W162*DrylotN2O)+('Mitigation drivers'!W163*SolidStorageN2O)+('Mitigation drivers'!W164*DailyspreadN2O)+('Mitigation drivers'!W165*CompostN2O)+('Mitigation drivers'!W166*ManwithbedN2O)+('Mitigation drivers'!W167*PMwithoutlitterN2O)+('Mitigation drivers'!W168*PMwithlitterN2O)+('Mitigation drivers'!W170*DigesterN2OEF))/100</f>
        <v>2.7200000000000002E-3</v>
      </c>
      <c r="AC66" s="26">
        <f>(('Mitigation drivers'!X160*LagoonN2O)+('Mitigation drivers'!X161*LiquidN2O)+('Mitigation drivers'!X162*DrylotN2O)+('Mitigation drivers'!X163*SolidStorageN2O)+('Mitigation drivers'!X164*DailyspreadN2O)+('Mitigation drivers'!X165*CompostN2O)+('Mitigation drivers'!X166*ManwithbedN2O)+('Mitigation drivers'!X167*PMwithoutlitterN2O)+('Mitigation drivers'!X168*PMwithlitterN2O)+('Mitigation drivers'!X170*DigesterN2OEF))/100</f>
        <v>2.7200000000000002E-3</v>
      </c>
      <c r="AD66" s="26">
        <f>(('Mitigation drivers'!Y160*LagoonN2O)+('Mitigation drivers'!Y161*LiquidN2O)+('Mitigation drivers'!Y162*DrylotN2O)+('Mitigation drivers'!Y163*SolidStorageN2O)+('Mitigation drivers'!Y164*DailyspreadN2O)+('Mitigation drivers'!Y165*CompostN2O)+('Mitigation drivers'!Y166*ManwithbedN2O)+('Mitigation drivers'!Y167*PMwithoutlitterN2O)+('Mitigation drivers'!Y168*PMwithlitterN2O)+('Mitigation drivers'!Y170*DigesterN2OEF))/100</f>
        <v>2.7200000000000002E-3</v>
      </c>
      <c r="AE66" s="26">
        <f>(('Mitigation drivers'!Z160*LagoonN2O)+('Mitigation drivers'!Z161*LiquidN2O)+('Mitigation drivers'!Z162*DrylotN2O)+('Mitigation drivers'!Z163*SolidStorageN2O)+('Mitigation drivers'!Z164*DailyspreadN2O)+('Mitigation drivers'!Z165*CompostN2O)+('Mitigation drivers'!Z166*ManwithbedN2O)+('Mitigation drivers'!Z167*PMwithoutlitterN2O)+('Mitigation drivers'!Z168*PMwithlitterN2O)+('Mitigation drivers'!Z170*DigesterN2OEF))/100</f>
        <v>2.7200000000000002E-3</v>
      </c>
      <c r="AF66" s="26">
        <f>(('Mitigation drivers'!AA160*LagoonN2O)+('Mitigation drivers'!AA161*LiquidN2O)+('Mitigation drivers'!AA162*DrylotN2O)+('Mitigation drivers'!AA163*SolidStorageN2O)+('Mitigation drivers'!AA164*DailyspreadN2O)+('Mitigation drivers'!AA165*CompostN2O)+('Mitigation drivers'!AA166*ManwithbedN2O)+('Mitigation drivers'!AA167*PMwithoutlitterN2O)+('Mitigation drivers'!AA168*PMwithlitterN2O)+('Mitigation drivers'!AA170*DigesterN2OEF))/100</f>
        <v>2.7200000000000002E-3</v>
      </c>
      <c r="AG66" s="26">
        <f>(('Mitigation drivers'!AB160*LagoonN2O)+('Mitigation drivers'!AB161*LiquidN2O)+('Mitigation drivers'!AB162*DrylotN2O)+('Mitigation drivers'!AB163*SolidStorageN2O)+('Mitigation drivers'!AB164*DailyspreadN2O)+('Mitigation drivers'!AB165*CompostN2O)+('Mitigation drivers'!AB166*ManwithbedN2O)+('Mitigation drivers'!AB167*PMwithoutlitterN2O)+('Mitigation drivers'!AB168*PMwithlitterN2O)+('Mitigation drivers'!AB170*DigesterN2OEF))/100</f>
        <v>2.7200000000000002E-3</v>
      </c>
      <c r="AH66" s="26">
        <f>(('Mitigation drivers'!AC160*LagoonN2O)+('Mitigation drivers'!AC161*LiquidN2O)+('Mitigation drivers'!AC162*DrylotN2O)+('Mitigation drivers'!AC163*SolidStorageN2O)+('Mitigation drivers'!AC164*DailyspreadN2O)+('Mitigation drivers'!AC165*CompostN2O)+('Mitigation drivers'!AC166*ManwithbedN2O)+('Mitigation drivers'!AC167*PMwithoutlitterN2O)+('Mitigation drivers'!AC168*PMwithlitterN2O)+('Mitigation drivers'!AC170*DigesterN2OEF))/100</f>
        <v>2.7200000000000002E-3</v>
      </c>
      <c r="AI66" s="26">
        <f>(('Mitigation drivers'!AD160*LagoonN2O)+('Mitigation drivers'!AD161*LiquidN2O)+('Mitigation drivers'!AD162*DrylotN2O)+('Mitigation drivers'!AD163*SolidStorageN2O)+('Mitigation drivers'!AD164*DailyspreadN2O)+('Mitigation drivers'!AD165*CompostN2O)+('Mitigation drivers'!AD166*ManwithbedN2O)+('Mitigation drivers'!AD167*PMwithoutlitterN2O)+('Mitigation drivers'!AD168*PMwithlitterN2O)+('Mitigation drivers'!AD170*DigesterN2OEF))/100</f>
        <v>2.7200000000000002E-3</v>
      </c>
      <c r="AJ66" s="26">
        <f>(('Mitigation drivers'!AE160*LagoonN2O)+('Mitigation drivers'!AE161*LiquidN2O)+('Mitigation drivers'!AE162*DrylotN2O)+('Mitigation drivers'!AE163*SolidStorageN2O)+('Mitigation drivers'!AE164*DailyspreadN2O)+('Mitigation drivers'!AE165*CompostN2O)+('Mitigation drivers'!AE166*ManwithbedN2O)+('Mitigation drivers'!AE167*PMwithoutlitterN2O)+('Mitigation drivers'!AE168*PMwithlitterN2O)+('Mitigation drivers'!AE170*DigesterN2OEF))/100</f>
        <v>2.7200000000000002E-3</v>
      </c>
      <c r="AK66" s="26">
        <f>(('Mitigation drivers'!AF160*LagoonN2O)+('Mitigation drivers'!AF161*LiquidN2O)+('Mitigation drivers'!AF162*DrylotN2O)+('Mitigation drivers'!AF163*SolidStorageN2O)+('Mitigation drivers'!AF164*DailyspreadN2O)+('Mitigation drivers'!AF165*CompostN2O)+('Mitigation drivers'!AF166*ManwithbedN2O)+('Mitigation drivers'!AF167*PMwithoutlitterN2O)+('Mitigation drivers'!AF168*PMwithlitterN2O)+('Mitigation drivers'!AF170*DigesterN2OEF))/100</f>
        <v>2.7200000000000002E-3</v>
      </c>
      <c r="AL66" s="26">
        <f>(('Mitigation drivers'!AG160*LagoonN2O)+('Mitigation drivers'!AG161*LiquidN2O)+('Mitigation drivers'!AG162*DrylotN2O)+('Mitigation drivers'!AG163*SolidStorageN2O)+('Mitigation drivers'!AG164*DailyspreadN2O)+('Mitigation drivers'!AG165*CompostN2O)+('Mitigation drivers'!AG166*ManwithbedN2O)+('Mitigation drivers'!AG167*PMwithoutlitterN2O)+('Mitigation drivers'!AG168*PMwithlitterN2O)+('Mitigation drivers'!AG170*DigesterN2OEF))/100</f>
        <v>2.7200000000000002E-3</v>
      </c>
      <c r="AM66" s="26">
        <f>(('Mitigation drivers'!AH160*LagoonN2O)+('Mitigation drivers'!AH161*LiquidN2O)+('Mitigation drivers'!AH162*DrylotN2O)+('Mitigation drivers'!AH163*SolidStorageN2O)+('Mitigation drivers'!AH164*DailyspreadN2O)+('Mitigation drivers'!AH165*CompostN2O)+('Mitigation drivers'!AH166*ManwithbedN2O)+('Mitigation drivers'!AH167*PMwithoutlitterN2O)+('Mitigation drivers'!AH168*PMwithlitterN2O)+('Mitigation drivers'!AH170*DigesterN2OEF))/100</f>
        <v>2.7200000000000002E-3</v>
      </c>
      <c r="AN66" s="26">
        <f>(('Mitigation drivers'!AI160*LagoonN2O)+('Mitigation drivers'!AI161*LiquidN2O)+('Mitigation drivers'!AI162*DrylotN2O)+('Mitigation drivers'!AI163*SolidStorageN2O)+('Mitigation drivers'!AI164*DailyspreadN2O)+('Mitigation drivers'!AI165*CompostN2O)+('Mitigation drivers'!AI166*ManwithbedN2O)+('Mitigation drivers'!AI167*PMwithoutlitterN2O)+('Mitigation drivers'!AI168*PMwithlitterN2O)+('Mitigation drivers'!AI170*DigesterN2OEF))/100</f>
        <v>2.7200000000000002E-3</v>
      </c>
      <c r="AO66" s="26">
        <f>(('Mitigation drivers'!AJ160*LagoonN2O)+('Mitigation drivers'!AJ161*LiquidN2O)+('Mitigation drivers'!AJ162*DrylotN2O)+('Mitigation drivers'!AJ163*SolidStorageN2O)+('Mitigation drivers'!AJ164*DailyspreadN2O)+('Mitigation drivers'!AJ165*CompostN2O)+('Mitigation drivers'!AJ166*ManwithbedN2O)+('Mitigation drivers'!AJ167*PMwithoutlitterN2O)+('Mitigation drivers'!AJ168*PMwithlitterN2O)+('Mitigation drivers'!AJ170*DigesterN2OEF))/100</f>
        <v>2.7200000000000002E-3</v>
      </c>
    </row>
    <row r="67" spans="1:41" x14ac:dyDescent="0.25">
      <c r="A67" t="str">
        <f t="shared" si="1"/>
        <v>3A Livestock</v>
      </c>
      <c r="B67" t="str">
        <f t="shared" si="8"/>
        <v>3A2 Manure management (N2O)</v>
      </c>
      <c r="C67" t="str">
        <f>'Activity data'!C18</f>
        <v>3A1h Swine</v>
      </c>
      <c r="D67" t="str">
        <f>'Activity data'!D18</f>
        <v>Subsistence</v>
      </c>
      <c r="E67" t="str">
        <f t="shared" si="27"/>
        <v>Manure management EF</v>
      </c>
      <c r="F67" t="str">
        <f t="shared" si="28"/>
        <v>N2O</v>
      </c>
      <c r="G67" t="str">
        <f t="shared" si="29"/>
        <v>kg N2O-N/kg Nex</v>
      </c>
      <c r="H67" s="26">
        <f>(('Mitigation drivers'!C172*LagoonN2O)+('Mitigation drivers'!C173*LiquidN2O)+('Mitigation drivers'!C174*DrylotN2O)+('Mitigation drivers'!C175*SolidStorageN2O)+('Mitigation drivers'!C176*DailyspreadN2O)+('Mitigation drivers'!C177*CompostN2O)+('Mitigation drivers'!C178*ManwithbedN2O)+('Mitigation drivers'!C179*PMwithoutlitterN2O)+('Mitigation drivers'!C180*PMwithlitterN2O)+('Mitigation drivers'!C182*DigesterN2OEF))/100</f>
        <v>7.1200000000000005E-3</v>
      </c>
      <c r="I67" s="26">
        <f>(('Mitigation drivers'!D172*LagoonN2O)+('Mitigation drivers'!D173*LiquidN2O)+('Mitigation drivers'!D174*DrylotN2O)+('Mitigation drivers'!D175*SolidStorageN2O)+('Mitigation drivers'!D176*DailyspreadN2O)+('Mitigation drivers'!D177*CompostN2O)+('Mitigation drivers'!D178*ManwithbedN2O)+('Mitigation drivers'!D179*PMwithoutlitterN2O)+('Mitigation drivers'!D180*PMwithlitterN2O)+('Mitigation drivers'!D182*DigesterN2OEF))/100</f>
        <v>7.1200000000000005E-3</v>
      </c>
      <c r="J67" s="26">
        <f>(('Mitigation drivers'!E172*LagoonN2O)+('Mitigation drivers'!E173*LiquidN2O)+('Mitigation drivers'!E174*DrylotN2O)+('Mitigation drivers'!E175*SolidStorageN2O)+('Mitigation drivers'!E176*DailyspreadN2O)+('Mitigation drivers'!E177*CompostN2O)+('Mitigation drivers'!E178*ManwithbedN2O)+('Mitigation drivers'!E179*PMwithoutlitterN2O)+('Mitigation drivers'!E180*PMwithlitterN2O)+('Mitigation drivers'!E182*DigesterN2OEF))/100</f>
        <v>7.1200000000000005E-3</v>
      </c>
      <c r="K67" s="26">
        <f>(('Mitigation drivers'!F172*LagoonN2O)+('Mitigation drivers'!F173*LiquidN2O)+('Mitigation drivers'!F174*DrylotN2O)+('Mitigation drivers'!F175*SolidStorageN2O)+('Mitigation drivers'!F176*DailyspreadN2O)+('Mitigation drivers'!F177*CompostN2O)+('Mitigation drivers'!F178*ManwithbedN2O)+('Mitigation drivers'!F179*PMwithoutlitterN2O)+('Mitigation drivers'!F180*PMwithlitterN2O)+('Mitigation drivers'!F182*DigesterN2OEF))/100</f>
        <v>7.1200000000000005E-3</v>
      </c>
      <c r="L67" s="26">
        <f>(('Mitigation drivers'!G172*LagoonN2O)+('Mitigation drivers'!G173*LiquidN2O)+('Mitigation drivers'!G174*DrylotN2O)+('Mitigation drivers'!G175*SolidStorageN2O)+('Mitigation drivers'!G176*DailyspreadN2O)+('Mitigation drivers'!G177*CompostN2O)+('Mitigation drivers'!G178*ManwithbedN2O)+('Mitigation drivers'!G179*PMwithoutlitterN2O)+('Mitigation drivers'!G180*PMwithlitterN2O)+('Mitigation drivers'!G182*DigesterN2OEF))/100</f>
        <v>7.1200000000000005E-3</v>
      </c>
      <c r="M67" s="26">
        <f>(('Mitigation drivers'!H172*LagoonN2O)+('Mitigation drivers'!H173*LiquidN2O)+('Mitigation drivers'!H174*DrylotN2O)+('Mitigation drivers'!H175*SolidStorageN2O)+('Mitigation drivers'!H176*DailyspreadN2O)+('Mitigation drivers'!H177*CompostN2O)+('Mitigation drivers'!H178*ManwithbedN2O)+('Mitigation drivers'!H179*PMwithoutlitterN2O)+('Mitigation drivers'!H180*PMwithlitterN2O)+('Mitigation drivers'!H182*DigesterN2OEF))/100</f>
        <v>7.1200000000000005E-3</v>
      </c>
      <c r="N67" s="26">
        <f>(('Mitigation drivers'!I172*LagoonN2O)+('Mitigation drivers'!I173*LiquidN2O)+('Mitigation drivers'!I174*DrylotN2O)+('Mitigation drivers'!I175*SolidStorageN2O)+('Mitigation drivers'!I176*DailyspreadN2O)+('Mitigation drivers'!I177*CompostN2O)+('Mitigation drivers'!I178*ManwithbedN2O)+('Mitigation drivers'!I179*PMwithoutlitterN2O)+('Mitigation drivers'!I180*PMwithlitterN2O)+('Mitigation drivers'!I182*DigesterN2OEF))/100</f>
        <v>7.1200000000000005E-3</v>
      </c>
      <c r="O67" s="26">
        <f>(('Mitigation drivers'!J172*LagoonN2O)+('Mitigation drivers'!J173*LiquidN2O)+('Mitigation drivers'!J174*DrylotN2O)+('Mitigation drivers'!J175*SolidStorageN2O)+('Mitigation drivers'!J176*DailyspreadN2O)+('Mitigation drivers'!J177*CompostN2O)+('Mitigation drivers'!J178*ManwithbedN2O)+('Mitigation drivers'!J179*PMwithoutlitterN2O)+('Mitigation drivers'!J180*PMwithlitterN2O)+('Mitigation drivers'!J182*DigesterN2OEF))/100</f>
        <v>7.1200000000000005E-3</v>
      </c>
      <c r="P67" s="26">
        <f>(('Mitigation drivers'!K172*LagoonN2O)+('Mitigation drivers'!K173*LiquidN2O)+('Mitigation drivers'!K174*DrylotN2O)+('Mitigation drivers'!K175*SolidStorageN2O)+('Mitigation drivers'!K176*DailyspreadN2O)+('Mitigation drivers'!K177*CompostN2O)+('Mitigation drivers'!K178*ManwithbedN2O)+('Mitigation drivers'!K179*PMwithoutlitterN2O)+('Mitigation drivers'!K180*PMwithlitterN2O)+('Mitigation drivers'!K182*DigesterN2OEF))/100</f>
        <v>7.1200000000000005E-3</v>
      </c>
      <c r="Q67" s="26">
        <f>(('Mitigation drivers'!L172*LagoonN2O)+('Mitigation drivers'!L173*LiquidN2O)+('Mitigation drivers'!L174*DrylotN2O)+('Mitigation drivers'!L175*SolidStorageN2O)+('Mitigation drivers'!L176*DailyspreadN2O)+('Mitigation drivers'!L177*CompostN2O)+('Mitigation drivers'!L178*ManwithbedN2O)+('Mitigation drivers'!L179*PMwithoutlitterN2O)+('Mitigation drivers'!L180*PMwithlitterN2O)+('Mitigation drivers'!L182*DigesterN2OEF))/100</f>
        <v>7.1200000000000005E-3</v>
      </c>
      <c r="R67" s="26">
        <f>(('Mitigation drivers'!M172*LagoonN2O)+('Mitigation drivers'!M173*LiquidN2O)+('Mitigation drivers'!M174*DrylotN2O)+('Mitigation drivers'!M175*SolidStorageN2O)+('Mitigation drivers'!M176*DailyspreadN2O)+('Mitigation drivers'!M177*CompostN2O)+('Mitigation drivers'!M178*ManwithbedN2O)+('Mitigation drivers'!M179*PMwithoutlitterN2O)+('Mitigation drivers'!M180*PMwithlitterN2O)+('Mitigation drivers'!M182*DigesterN2OEF))/100</f>
        <v>7.1200000000000005E-3</v>
      </c>
      <c r="S67" s="26">
        <f>(('Mitigation drivers'!N172*LagoonN2O)+('Mitigation drivers'!N173*LiquidN2O)+('Mitigation drivers'!N174*DrylotN2O)+('Mitigation drivers'!N175*SolidStorageN2O)+('Mitigation drivers'!N176*DailyspreadN2O)+('Mitigation drivers'!N177*CompostN2O)+('Mitigation drivers'!N178*ManwithbedN2O)+('Mitigation drivers'!N179*PMwithoutlitterN2O)+('Mitigation drivers'!N180*PMwithlitterN2O)+('Mitigation drivers'!N182*DigesterN2OEF))/100</f>
        <v>7.1200000000000005E-3</v>
      </c>
      <c r="T67" s="26">
        <f>(('Mitigation drivers'!O172*LagoonN2O)+('Mitigation drivers'!O173*LiquidN2O)+('Mitigation drivers'!O174*DrylotN2O)+('Mitigation drivers'!O175*SolidStorageN2O)+('Mitigation drivers'!O176*DailyspreadN2O)+('Mitigation drivers'!O177*CompostN2O)+('Mitigation drivers'!O178*ManwithbedN2O)+('Mitigation drivers'!O179*PMwithoutlitterN2O)+('Mitigation drivers'!O180*PMwithlitterN2O)+('Mitigation drivers'!O182*DigesterN2OEF))/100</f>
        <v>7.1200000000000005E-3</v>
      </c>
      <c r="U67" s="26">
        <f>(('Mitigation drivers'!P172*LagoonN2O)+('Mitigation drivers'!P173*LiquidN2O)+('Mitigation drivers'!P174*DrylotN2O)+('Mitigation drivers'!P175*SolidStorageN2O)+('Mitigation drivers'!P176*DailyspreadN2O)+('Mitigation drivers'!P177*CompostN2O)+('Mitigation drivers'!P178*ManwithbedN2O)+('Mitigation drivers'!P179*PMwithoutlitterN2O)+('Mitigation drivers'!P180*PMwithlitterN2O)+('Mitigation drivers'!P182*DigesterN2OEF))/100</f>
        <v>7.1200000000000005E-3</v>
      </c>
      <c r="V67" s="26">
        <f>(('Mitigation drivers'!Q172*LagoonN2O)+('Mitigation drivers'!Q173*LiquidN2O)+('Mitigation drivers'!Q174*DrylotN2O)+('Mitigation drivers'!Q175*SolidStorageN2O)+('Mitigation drivers'!Q176*DailyspreadN2O)+('Mitigation drivers'!Q177*CompostN2O)+('Mitigation drivers'!Q178*ManwithbedN2O)+('Mitigation drivers'!Q179*PMwithoutlitterN2O)+('Mitigation drivers'!Q180*PMwithlitterN2O)+('Mitigation drivers'!Q182*DigesterN2OEF))/100</f>
        <v>7.1200000000000005E-3</v>
      </c>
      <c r="W67" s="26">
        <f>(('Mitigation drivers'!R172*LagoonN2O)+('Mitigation drivers'!R173*LiquidN2O)+('Mitigation drivers'!R174*DrylotN2O)+('Mitigation drivers'!R175*SolidStorageN2O)+('Mitigation drivers'!R176*DailyspreadN2O)+('Mitigation drivers'!R177*CompostN2O)+('Mitigation drivers'!R178*ManwithbedN2O)+('Mitigation drivers'!R179*PMwithoutlitterN2O)+('Mitigation drivers'!R180*PMwithlitterN2O)+('Mitigation drivers'!R182*DigesterN2OEF))/100</f>
        <v>7.1200000000000005E-3</v>
      </c>
      <c r="X67" s="26">
        <f>(('Mitigation drivers'!S172*LagoonN2O)+('Mitigation drivers'!S173*LiquidN2O)+('Mitigation drivers'!S174*DrylotN2O)+('Mitigation drivers'!S175*SolidStorageN2O)+('Mitigation drivers'!S176*DailyspreadN2O)+('Mitigation drivers'!S177*CompostN2O)+('Mitigation drivers'!S178*ManwithbedN2O)+('Mitigation drivers'!S179*PMwithoutlitterN2O)+('Mitigation drivers'!S180*PMwithlitterN2O)+('Mitigation drivers'!S182*DigesterN2OEF))/100</f>
        <v>7.1200000000000005E-3</v>
      </c>
      <c r="Y67" s="26">
        <f>(('Mitigation drivers'!T172*LagoonN2O)+('Mitigation drivers'!T173*LiquidN2O)+('Mitigation drivers'!T174*DrylotN2O)+('Mitigation drivers'!T175*SolidStorageN2O)+('Mitigation drivers'!T176*DailyspreadN2O)+('Mitigation drivers'!T177*CompostN2O)+('Mitigation drivers'!T178*ManwithbedN2O)+('Mitigation drivers'!T179*PMwithoutlitterN2O)+('Mitigation drivers'!T180*PMwithlitterN2O)+('Mitigation drivers'!T182*DigesterN2OEF))/100</f>
        <v>7.1200000000000005E-3</v>
      </c>
      <c r="Z67" s="26">
        <f>(('Mitigation drivers'!U172*LagoonN2O)+('Mitigation drivers'!U173*LiquidN2O)+('Mitigation drivers'!U174*DrylotN2O)+('Mitigation drivers'!U175*SolidStorageN2O)+('Mitigation drivers'!U176*DailyspreadN2O)+('Mitigation drivers'!U177*CompostN2O)+('Mitigation drivers'!U178*ManwithbedN2O)+('Mitigation drivers'!U179*PMwithoutlitterN2O)+('Mitigation drivers'!U180*PMwithlitterN2O)+('Mitigation drivers'!U182*DigesterN2OEF))/100</f>
        <v>7.1200000000000005E-3</v>
      </c>
      <c r="AA67" s="26">
        <f>(('Mitigation drivers'!V172*LagoonN2O)+('Mitigation drivers'!V173*LiquidN2O)+('Mitigation drivers'!V174*DrylotN2O)+('Mitigation drivers'!V175*SolidStorageN2O)+('Mitigation drivers'!V176*DailyspreadN2O)+('Mitigation drivers'!V177*CompostN2O)+('Mitigation drivers'!V178*ManwithbedN2O)+('Mitigation drivers'!V179*PMwithoutlitterN2O)+('Mitigation drivers'!V180*PMwithlitterN2O)+('Mitigation drivers'!V182*DigesterN2OEF))/100</f>
        <v>7.1200000000000005E-3</v>
      </c>
      <c r="AB67" s="26">
        <f>(('Mitigation drivers'!W172*LagoonN2O)+('Mitigation drivers'!W173*LiquidN2O)+('Mitigation drivers'!W174*DrylotN2O)+('Mitigation drivers'!W175*SolidStorageN2O)+('Mitigation drivers'!W176*DailyspreadN2O)+('Mitigation drivers'!W177*CompostN2O)+('Mitigation drivers'!W178*ManwithbedN2O)+('Mitigation drivers'!W179*PMwithoutlitterN2O)+('Mitigation drivers'!W180*PMwithlitterN2O)+('Mitigation drivers'!W182*DigesterN2OEF))/100</f>
        <v>7.1200000000000005E-3</v>
      </c>
      <c r="AC67" s="26">
        <f>(('Mitigation drivers'!X172*LagoonN2O)+('Mitigation drivers'!X173*LiquidN2O)+('Mitigation drivers'!X174*DrylotN2O)+('Mitigation drivers'!X175*SolidStorageN2O)+('Mitigation drivers'!X176*DailyspreadN2O)+('Mitigation drivers'!X177*CompostN2O)+('Mitigation drivers'!X178*ManwithbedN2O)+('Mitigation drivers'!X179*PMwithoutlitterN2O)+('Mitigation drivers'!X180*PMwithlitterN2O)+('Mitigation drivers'!X182*DigesterN2OEF))/100</f>
        <v>7.1200000000000005E-3</v>
      </c>
      <c r="AD67" s="26">
        <f>(('Mitigation drivers'!Y172*LagoonN2O)+('Mitigation drivers'!Y173*LiquidN2O)+('Mitigation drivers'!Y174*DrylotN2O)+('Mitigation drivers'!Y175*SolidStorageN2O)+('Mitigation drivers'!Y176*DailyspreadN2O)+('Mitigation drivers'!Y177*CompostN2O)+('Mitigation drivers'!Y178*ManwithbedN2O)+('Mitigation drivers'!Y179*PMwithoutlitterN2O)+('Mitigation drivers'!Y180*PMwithlitterN2O)+('Mitigation drivers'!Y182*DigesterN2OEF))/100</f>
        <v>7.1200000000000005E-3</v>
      </c>
      <c r="AE67" s="26">
        <f>(('Mitigation drivers'!Z172*LagoonN2O)+('Mitigation drivers'!Z173*LiquidN2O)+('Mitigation drivers'!Z174*DrylotN2O)+('Mitigation drivers'!Z175*SolidStorageN2O)+('Mitigation drivers'!Z176*DailyspreadN2O)+('Mitigation drivers'!Z177*CompostN2O)+('Mitigation drivers'!Z178*ManwithbedN2O)+('Mitigation drivers'!Z179*PMwithoutlitterN2O)+('Mitigation drivers'!Z180*PMwithlitterN2O)+('Mitigation drivers'!Z182*DigesterN2OEF))/100</f>
        <v>7.1200000000000005E-3</v>
      </c>
      <c r="AF67" s="26">
        <f>(('Mitigation drivers'!AA172*LagoonN2O)+('Mitigation drivers'!AA173*LiquidN2O)+('Mitigation drivers'!AA174*DrylotN2O)+('Mitigation drivers'!AA175*SolidStorageN2O)+('Mitigation drivers'!AA176*DailyspreadN2O)+('Mitigation drivers'!AA177*CompostN2O)+('Mitigation drivers'!AA178*ManwithbedN2O)+('Mitigation drivers'!AA179*PMwithoutlitterN2O)+('Mitigation drivers'!AA180*PMwithlitterN2O)+('Mitigation drivers'!AA182*DigesterN2OEF))/100</f>
        <v>7.1200000000000005E-3</v>
      </c>
      <c r="AG67" s="26">
        <f>(('Mitigation drivers'!AB172*LagoonN2O)+('Mitigation drivers'!AB173*LiquidN2O)+('Mitigation drivers'!AB174*DrylotN2O)+('Mitigation drivers'!AB175*SolidStorageN2O)+('Mitigation drivers'!AB176*DailyspreadN2O)+('Mitigation drivers'!AB177*CompostN2O)+('Mitigation drivers'!AB178*ManwithbedN2O)+('Mitigation drivers'!AB179*PMwithoutlitterN2O)+('Mitigation drivers'!AB180*PMwithlitterN2O)+('Mitigation drivers'!AB182*DigesterN2OEF))/100</f>
        <v>7.1200000000000005E-3</v>
      </c>
      <c r="AH67" s="26">
        <f>(('Mitigation drivers'!AC172*LagoonN2O)+('Mitigation drivers'!AC173*LiquidN2O)+('Mitigation drivers'!AC174*DrylotN2O)+('Mitigation drivers'!AC175*SolidStorageN2O)+('Mitigation drivers'!AC176*DailyspreadN2O)+('Mitigation drivers'!AC177*CompostN2O)+('Mitigation drivers'!AC178*ManwithbedN2O)+('Mitigation drivers'!AC179*PMwithoutlitterN2O)+('Mitigation drivers'!AC180*PMwithlitterN2O)+('Mitigation drivers'!AC182*DigesterN2OEF))/100</f>
        <v>7.1200000000000005E-3</v>
      </c>
      <c r="AI67" s="26">
        <f>(('Mitigation drivers'!AD172*LagoonN2O)+('Mitigation drivers'!AD173*LiquidN2O)+('Mitigation drivers'!AD174*DrylotN2O)+('Mitigation drivers'!AD175*SolidStorageN2O)+('Mitigation drivers'!AD176*DailyspreadN2O)+('Mitigation drivers'!AD177*CompostN2O)+('Mitigation drivers'!AD178*ManwithbedN2O)+('Mitigation drivers'!AD179*PMwithoutlitterN2O)+('Mitigation drivers'!AD180*PMwithlitterN2O)+('Mitigation drivers'!AD182*DigesterN2OEF))/100</f>
        <v>7.1200000000000005E-3</v>
      </c>
      <c r="AJ67" s="26">
        <f>(('Mitigation drivers'!AE172*LagoonN2O)+('Mitigation drivers'!AE173*LiquidN2O)+('Mitigation drivers'!AE174*DrylotN2O)+('Mitigation drivers'!AE175*SolidStorageN2O)+('Mitigation drivers'!AE176*DailyspreadN2O)+('Mitigation drivers'!AE177*CompostN2O)+('Mitigation drivers'!AE178*ManwithbedN2O)+('Mitigation drivers'!AE179*PMwithoutlitterN2O)+('Mitigation drivers'!AE180*PMwithlitterN2O)+('Mitigation drivers'!AE182*DigesterN2OEF))/100</f>
        <v>7.1200000000000005E-3</v>
      </c>
      <c r="AK67" s="26">
        <f>(('Mitigation drivers'!AF172*LagoonN2O)+('Mitigation drivers'!AF173*LiquidN2O)+('Mitigation drivers'!AF174*DrylotN2O)+('Mitigation drivers'!AF175*SolidStorageN2O)+('Mitigation drivers'!AF176*DailyspreadN2O)+('Mitigation drivers'!AF177*CompostN2O)+('Mitigation drivers'!AF178*ManwithbedN2O)+('Mitigation drivers'!AF179*PMwithoutlitterN2O)+('Mitigation drivers'!AF180*PMwithlitterN2O)+('Mitigation drivers'!AF182*DigesterN2OEF))/100</f>
        <v>7.1200000000000005E-3</v>
      </c>
      <c r="AL67" s="26">
        <f>(('Mitigation drivers'!AG172*LagoonN2O)+('Mitigation drivers'!AG173*LiquidN2O)+('Mitigation drivers'!AG174*DrylotN2O)+('Mitigation drivers'!AG175*SolidStorageN2O)+('Mitigation drivers'!AG176*DailyspreadN2O)+('Mitigation drivers'!AG177*CompostN2O)+('Mitigation drivers'!AG178*ManwithbedN2O)+('Mitigation drivers'!AG179*PMwithoutlitterN2O)+('Mitigation drivers'!AG180*PMwithlitterN2O)+('Mitigation drivers'!AG182*DigesterN2OEF))/100</f>
        <v>7.1200000000000005E-3</v>
      </c>
      <c r="AM67" s="26">
        <f>(('Mitigation drivers'!AH172*LagoonN2O)+('Mitigation drivers'!AH173*LiquidN2O)+('Mitigation drivers'!AH174*DrylotN2O)+('Mitigation drivers'!AH175*SolidStorageN2O)+('Mitigation drivers'!AH176*DailyspreadN2O)+('Mitigation drivers'!AH177*CompostN2O)+('Mitigation drivers'!AH178*ManwithbedN2O)+('Mitigation drivers'!AH179*PMwithoutlitterN2O)+('Mitigation drivers'!AH180*PMwithlitterN2O)+('Mitigation drivers'!AH182*DigesterN2OEF))/100</f>
        <v>7.1200000000000005E-3</v>
      </c>
      <c r="AN67" s="26">
        <f>(('Mitigation drivers'!AI172*LagoonN2O)+('Mitigation drivers'!AI173*LiquidN2O)+('Mitigation drivers'!AI174*DrylotN2O)+('Mitigation drivers'!AI175*SolidStorageN2O)+('Mitigation drivers'!AI176*DailyspreadN2O)+('Mitigation drivers'!AI177*CompostN2O)+('Mitigation drivers'!AI178*ManwithbedN2O)+('Mitigation drivers'!AI179*PMwithoutlitterN2O)+('Mitigation drivers'!AI180*PMwithlitterN2O)+('Mitigation drivers'!AI182*DigesterN2OEF))/100</f>
        <v>7.1200000000000005E-3</v>
      </c>
      <c r="AO67" s="26">
        <f>(('Mitigation drivers'!AJ172*LagoonN2O)+('Mitigation drivers'!AJ173*LiquidN2O)+('Mitigation drivers'!AJ174*DrylotN2O)+('Mitigation drivers'!AJ175*SolidStorageN2O)+('Mitigation drivers'!AJ176*DailyspreadN2O)+('Mitigation drivers'!AJ177*CompostN2O)+('Mitigation drivers'!AJ178*ManwithbedN2O)+('Mitigation drivers'!AJ179*PMwithoutlitterN2O)+('Mitigation drivers'!AJ180*PMwithlitterN2O)+('Mitigation drivers'!AJ182*DigesterN2OEF))/100</f>
        <v>7.1200000000000005E-3</v>
      </c>
    </row>
    <row r="68" spans="1:41" x14ac:dyDescent="0.25">
      <c r="A68" t="str">
        <f t="shared" si="1"/>
        <v>3A Livestock</v>
      </c>
      <c r="B68" t="str">
        <f t="shared" si="8"/>
        <v>3A2 Manure management (N2O)</v>
      </c>
      <c r="C68" t="str">
        <f>'Activity data'!C19</f>
        <v>3A2i Poultry</v>
      </c>
      <c r="D68" t="str">
        <f>'Activity data'!D19</f>
        <v>Commercial layers</v>
      </c>
      <c r="E68" t="str">
        <f t="shared" si="27"/>
        <v>Manure management EF</v>
      </c>
      <c r="F68" t="str">
        <f t="shared" si="28"/>
        <v>N2O</v>
      </c>
      <c r="G68" t="str">
        <f t="shared" si="29"/>
        <v>kg N2O-N/kg Nex</v>
      </c>
      <c r="H68" s="26">
        <f>(('Mitigation drivers'!C185*LagoonN2O)+('Mitigation drivers'!C186*LiquidN2O)+('Mitigation drivers'!C187*DrylotN2O)+('Mitigation drivers'!C188*SolidStorageN2O)+('Mitigation drivers'!C189*DailyspreadN2O)+('Mitigation drivers'!C190*CompostN2O)+('Mitigation drivers'!C191*ManwithbedN2O)+('Mitigation drivers'!C192*PMwithoutlitterN2O)+('Mitigation drivers'!C193*PMwithlitterN2O)+('Mitigation drivers'!C195*DigesterN2OEF))/100</f>
        <v>1.4700000000000001E-2</v>
      </c>
      <c r="I68" s="26">
        <f>(('Mitigation drivers'!D185*LagoonN2O)+('Mitigation drivers'!D186*LiquidN2O)+('Mitigation drivers'!D187*DrylotN2O)+('Mitigation drivers'!D188*SolidStorageN2O)+('Mitigation drivers'!D189*DailyspreadN2O)+('Mitigation drivers'!D190*CompostN2O)+('Mitigation drivers'!D191*ManwithbedN2O)+('Mitigation drivers'!D192*PMwithoutlitterN2O)+('Mitigation drivers'!D193*PMwithlitterN2O)+('Mitigation drivers'!D195*DigesterN2OEF))/100</f>
        <v>1.4700000000000001E-2</v>
      </c>
      <c r="J68" s="26">
        <f>(('Mitigation drivers'!E185*LagoonN2O)+('Mitigation drivers'!E186*LiquidN2O)+('Mitigation drivers'!E187*DrylotN2O)+('Mitigation drivers'!E188*SolidStorageN2O)+('Mitigation drivers'!E189*DailyspreadN2O)+('Mitigation drivers'!E190*CompostN2O)+('Mitigation drivers'!E191*ManwithbedN2O)+('Mitigation drivers'!E192*PMwithoutlitterN2O)+('Mitigation drivers'!E193*PMwithlitterN2O)+('Mitigation drivers'!E195*DigesterN2OEF))/100</f>
        <v>1.4700000000000001E-2</v>
      </c>
      <c r="K68" s="26">
        <f>(('Mitigation drivers'!F185*LagoonN2O)+('Mitigation drivers'!F186*LiquidN2O)+('Mitigation drivers'!F187*DrylotN2O)+('Mitigation drivers'!F188*SolidStorageN2O)+('Mitigation drivers'!F189*DailyspreadN2O)+('Mitigation drivers'!F190*CompostN2O)+('Mitigation drivers'!F191*ManwithbedN2O)+('Mitigation drivers'!F192*PMwithoutlitterN2O)+('Mitigation drivers'!F193*PMwithlitterN2O)+('Mitigation drivers'!F195*DigesterN2OEF))/100</f>
        <v>1.4700000000000001E-2</v>
      </c>
      <c r="L68" s="26">
        <f>(('Mitigation drivers'!G185*LagoonN2O)+('Mitigation drivers'!G186*LiquidN2O)+('Mitigation drivers'!G187*DrylotN2O)+('Mitigation drivers'!G188*SolidStorageN2O)+('Mitigation drivers'!G189*DailyspreadN2O)+('Mitigation drivers'!G190*CompostN2O)+('Mitigation drivers'!G191*ManwithbedN2O)+('Mitigation drivers'!G192*PMwithoutlitterN2O)+('Mitigation drivers'!G193*PMwithlitterN2O)+('Mitigation drivers'!G195*DigesterN2OEF))/100</f>
        <v>1.4700000000000001E-2</v>
      </c>
      <c r="M68" s="26">
        <f>(('Mitigation drivers'!H185*LagoonN2O)+('Mitigation drivers'!H186*LiquidN2O)+('Mitigation drivers'!H187*DrylotN2O)+('Mitigation drivers'!H188*SolidStorageN2O)+('Mitigation drivers'!H189*DailyspreadN2O)+('Mitigation drivers'!H190*CompostN2O)+('Mitigation drivers'!H191*ManwithbedN2O)+('Mitigation drivers'!H192*PMwithoutlitterN2O)+('Mitigation drivers'!H193*PMwithlitterN2O)+('Mitigation drivers'!H195*DigesterN2OEF))/100</f>
        <v>1.4700000000000001E-2</v>
      </c>
      <c r="N68" s="26">
        <f>(('Mitigation drivers'!I185*LagoonN2O)+('Mitigation drivers'!I186*LiquidN2O)+('Mitigation drivers'!I187*DrylotN2O)+('Mitigation drivers'!I188*SolidStorageN2O)+('Mitigation drivers'!I189*DailyspreadN2O)+('Mitigation drivers'!I190*CompostN2O)+('Mitigation drivers'!I191*ManwithbedN2O)+('Mitigation drivers'!I192*PMwithoutlitterN2O)+('Mitigation drivers'!I193*PMwithlitterN2O)+('Mitigation drivers'!I195*DigesterN2OEF))/100</f>
        <v>1.4700000000000001E-2</v>
      </c>
      <c r="O68" s="26">
        <f>(('Mitigation drivers'!J185*LagoonN2O)+('Mitigation drivers'!J186*LiquidN2O)+('Mitigation drivers'!J187*DrylotN2O)+('Mitigation drivers'!J188*SolidStorageN2O)+('Mitigation drivers'!J189*DailyspreadN2O)+('Mitigation drivers'!J190*CompostN2O)+('Mitigation drivers'!J191*ManwithbedN2O)+('Mitigation drivers'!J192*PMwithoutlitterN2O)+('Mitigation drivers'!J193*PMwithlitterN2O)+('Mitigation drivers'!J195*DigesterN2OEF))/100</f>
        <v>1.4700000000000001E-2</v>
      </c>
      <c r="P68" s="26">
        <f>(('Mitigation drivers'!K185*LagoonN2O)+('Mitigation drivers'!K186*LiquidN2O)+('Mitigation drivers'!K187*DrylotN2O)+('Mitigation drivers'!K188*SolidStorageN2O)+('Mitigation drivers'!K189*DailyspreadN2O)+('Mitigation drivers'!K190*CompostN2O)+('Mitigation drivers'!K191*ManwithbedN2O)+('Mitigation drivers'!K192*PMwithoutlitterN2O)+('Mitigation drivers'!K193*PMwithlitterN2O)+('Mitigation drivers'!K195*DigesterN2OEF))/100</f>
        <v>1.4700000000000001E-2</v>
      </c>
      <c r="Q68" s="26">
        <f>(('Mitigation drivers'!L185*LagoonN2O)+('Mitigation drivers'!L186*LiquidN2O)+('Mitigation drivers'!L187*DrylotN2O)+('Mitigation drivers'!L188*SolidStorageN2O)+('Mitigation drivers'!L189*DailyspreadN2O)+('Mitigation drivers'!L190*CompostN2O)+('Mitigation drivers'!L191*ManwithbedN2O)+('Mitigation drivers'!L192*PMwithoutlitterN2O)+('Mitigation drivers'!L193*PMwithlitterN2O)+('Mitigation drivers'!L195*DigesterN2OEF))/100</f>
        <v>1.4700000000000001E-2</v>
      </c>
      <c r="R68" s="26">
        <f>(('Mitigation drivers'!M185*LagoonN2O)+('Mitigation drivers'!M186*LiquidN2O)+('Mitigation drivers'!M187*DrylotN2O)+('Mitigation drivers'!M188*SolidStorageN2O)+('Mitigation drivers'!M189*DailyspreadN2O)+('Mitigation drivers'!M190*CompostN2O)+('Mitigation drivers'!M191*ManwithbedN2O)+('Mitigation drivers'!M192*PMwithoutlitterN2O)+('Mitigation drivers'!M193*PMwithlitterN2O)+('Mitigation drivers'!M195*DigesterN2OEF))/100</f>
        <v>1.4700000000000001E-2</v>
      </c>
      <c r="S68" s="26">
        <f>(('Mitigation drivers'!N185*LagoonN2O)+('Mitigation drivers'!N186*LiquidN2O)+('Mitigation drivers'!N187*DrylotN2O)+('Mitigation drivers'!N188*SolidStorageN2O)+('Mitigation drivers'!N189*DailyspreadN2O)+('Mitigation drivers'!N190*CompostN2O)+('Mitigation drivers'!N191*ManwithbedN2O)+('Mitigation drivers'!N192*PMwithoutlitterN2O)+('Mitigation drivers'!N193*PMwithlitterN2O)+('Mitigation drivers'!N195*DigesterN2OEF))/100</f>
        <v>1.4700000000000001E-2</v>
      </c>
      <c r="T68" s="26">
        <f>(('Mitigation drivers'!O185*LagoonN2O)+('Mitigation drivers'!O186*LiquidN2O)+('Mitigation drivers'!O187*DrylotN2O)+('Mitigation drivers'!O188*SolidStorageN2O)+('Mitigation drivers'!O189*DailyspreadN2O)+('Mitigation drivers'!O190*CompostN2O)+('Mitigation drivers'!O191*ManwithbedN2O)+('Mitigation drivers'!O192*PMwithoutlitterN2O)+('Mitigation drivers'!O193*PMwithlitterN2O)+('Mitigation drivers'!O195*DigesterN2OEF))/100</f>
        <v>1.4700000000000001E-2</v>
      </c>
      <c r="U68" s="26">
        <f>(('Mitigation drivers'!P185*LagoonN2O)+('Mitigation drivers'!P186*LiquidN2O)+('Mitigation drivers'!P187*DrylotN2O)+('Mitigation drivers'!P188*SolidStorageN2O)+('Mitigation drivers'!P189*DailyspreadN2O)+('Mitigation drivers'!P190*CompostN2O)+('Mitigation drivers'!P191*ManwithbedN2O)+('Mitigation drivers'!P192*PMwithoutlitterN2O)+('Mitigation drivers'!P193*PMwithlitterN2O)+('Mitigation drivers'!P195*DigesterN2OEF))/100</f>
        <v>1.4700000000000001E-2</v>
      </c>
      <c r="V68" s="26">
        <f>(('Mitigation drivers'!Q185*LagoonN2O)+('Mitigation drivers'!Q186*LiquidN2O)+('Mitigation drivers'!Q187*DrylotN2O)+('Mitigation drivers'!Q188*SolidStorageN2O)+('Mitigation drivers'!Q189*DailyspreadN2O)+('Mitigation drivers'!Q190*CompostN2O)+('Mitigation drivers'!Q191*ManwithbedN2O)+('Mitigation drivers'!Q192*PMwithoutlitterN2O)+('Mitigation drivers'!Q193*PMwithlitterN2O)+('Mitigation drivers'!Q195*DigesterN2OEF))/100</f>
        <v>1.4700000000000001E-2</v>
      </c>
      <c r="W68" s="26">
        <f>(('Mitigation drivers'!R185*LagoonN2O)+('Mitigation drivers'!R186*LiquidN2O)+('Mitigation drivers'!R187*DrylotN2O)+('Mitigation drivers'!R188*SolidStorageN2O)+('Mitigation drivers'!R189*DailyspreadN2O)+('Mitigation drivers'!R190*CompostN2O)+('Mitigation drivers'!R191*ManwithbedN2O)+('Mitigation drivers'!R192*PMwithoutlitterN2O)+('Mitigation drivers'!R193*PMwithlitterN2O)+('Mitigation drivers'!R195*DigesterN2OEF))/100</f>
        <v>1.4700000000000001E-2</v>
      </c>
      <c r="X68" s="26">
        <f>(('Mitigation drivers'!S185*LagoonN2O)+('Mitigation drivers'!S186*LiquidN2O)+('Mitigation drivers'!S187*DrylotN2O)+('Mitigation drivers'!S188*SolidStorageN2O)+('Mitigation drivers'!S189*DailyspreadN2O)+('Mitigation drivers'!S190*CompostN2O)+('Mitigation drivers'!S191*ManwithbedN2O)+('Mitigation drivers'!S192*PMwithoutlitterN2O)+('Mitigation drivers'!S193*PMwithlitterN2O)+('Mitigation drivers'!S195*DigesterN2OEF))/100</f>
        <v>1.4700000000000001E-2</v>
      </c>
      <c r="Y68" s="26">
        <f>(('Mitigation drivers'!T185*LagoonN2O)+('Mitigation drivers'!T186*LiquidN2O)+('Mitigation drivers'!T187*DrylotN2O)+('Mitigation drivers'!T188*SolidStorageN2O)+('Mitigation drivers'!T189*DailyspreadN2O)+('Mitigation drivers'!T190*CompostN2O)+('Mitigation drivers'!T191*ManwithbedN2O)+('Mitigation drivers'!T192*PMwithoutlitterN2O)+('Mitigation drivers'!T193*PMwithlitterN2O)+('Mitigation drivers'!T195*DigesterN2OEF))/100</f>
        <v>1.4700000000000001E-2</v>
      </c>
      <c r="Z68" s="26">
        <f>(('Mitigation drivers'!U185*LagoonN2O)+('Mitigation drivers'!U186*LiquidN2O)+('Mitigation drivers'!U187*DrylotN2O)+('Mitigation drivers'!U188*SolidStorageN2O)+('Mitigation drivers'!U189*DailyspreadN2O)+('Mitigation drivers'!U190*CompostN2O)+('Mitigation drivers'!U191*ManwithbedN2O)+('Mitigation drivers'!U192*PMwithoutlitterN2O)+('Mitigation drivers'!U193*PMwithlitterN2O)+('Mitigation drivers'!U195*DigesterN2OEF))/100</f>
        <v>1.4700000000000001E-2</v>
      </c>
      <c r="AA68" s="26">
        <f>(('Mitigation drivers'!V185*LagoonN2O)+('Mitigation drivers'!V186*LiquidN2O)+('Mitigation drivers'!V187*DrylotN2O)+('Mitigation drivers'!V188*SolidStorageN2O)+('Mitigation drivers'!V189*DailyspreadN2O)+('Mitigation drivers'!V190*CompostN2O)+('Mitigation drivers'!V191*ManwithbedN2O)+('Mitigation drivers'!V192*PMwithoutlitterN2O)+('Mitigation drivers'!V193*PMwithlitterN2O)+('Mitigation drivers'!V195*DigesterN2OEF))/100</f>
        <v>1.4700000000000001E-2</v>
      </c>
      <c r="AB68" s="26">
        <f>(('Mitigation drivers'!W185*LagoonN2O)+('Mitigation drivers'!W186*LiquidN2O)+('Mitigation drivers'!W187*DrylotN2O)+('Mitigation drivers'!W188*SolidStorageN2O)+('Mitigation drivers'!W189*DailyspreadN2O)+('Mitigation drivers'!W190*CompostN2O)+('Mitigation drivers'!W191*ManwithbedN2O)+('Mitigation drivers'!W192*PMwithoutlitterN2O)+('Mitigation drivers'!W193*PMwithlitterN2O)+('Mitigation drivers'!W195*DigesterN2OEF))/100</f>
        <v>1.4700000000000001E-2</v>
      </c>
      <c r="AC68" s="26">
        <f>(('Mitigation drivers'!X185*LagoonN2O)+('Mitigation drivers'!X186*LiquidN2O)+('Mitigation drivers'!X187*DrylotN2O)+('Mitigation drivers'!X188*SolidStorageN2O)+('Mitigation drivers'!X189*DailyspreadN2O)+('Mitigation drivers'!X190*CompostN2O)+('Mitigation drivers'!X191*ManwithbedN2O)+('Mitigation drivers'!X192*PMwithoutlitterN2O)+('Mitigation drivers'!X193*PMwithlitterN2O)+('Mitigation drivers'!X195*DigesterN2OEF))/100</f>
        <v>1.4700000000000001E-2</v>
      </c>
      <c r="AD68" s="26">
        <f>(('Mitigation drivers'!Y185*LagoonN2O)+('Mitigation drivers'!Y186*LiquidN2O)+('Mitigation drivers'!Y187*DrylotN2O)+('Mitigation drivers'!Y188*SolidStorageN2O)+('Mitigation drivers'!Y189*DailyspreadN2O)+('Mitigation drivers'!Y190*CompostN2O)+('Mitigation drivers'!Y191*ManwithbedN2O)+('Mitigation drivers'!Y192*PMwithoutlitterN2O)+('Mitigation drivers'!Y193*PMwithlitterN2O)+('Mitigation drivers'!Y195*DigesterN2OEF))/100</f>
        <v>1.4700000000000001E-2</v>
      </c>
      <c r="AE68" s="26">
        <f>(('Mitigation drivers'!Z185*LagoonN2O)+('Mitigation drivers'!Z186*LiquidN2O)+('Mitigation drivers'!Z187*DrylotN2O)+('Mitigation drivers'!Z188*SolidStorageN2O)+('Mitigation drivers'!Z189*DailyspreadN2O)+('Mitigation drivers'!Z190*CompostN2O)+('Mitigation drivers'!Z191*ManwithbedN2O)+('Mitigation drivers'!Z192*PMwithoutlitterN2O)+('Mitigation drivers'!Z193*PMwithlitterN2O)+('Mitigation drivers'!Z195*DigesterN2OEF))/100</f>
        <v>1.4700000000000001E-2</v>
      </c>
      <c r="AF68" s="26">
        <f>(('Mitigation drivers'!AA185*LagoonN2O)+('Mitigation drivers'!AA186*LiquidN2O)+('Mitigation drivers'!AA187*DrylotN2O)+('Mitigation drivers'!AA188*SolidStorageN2O)+('Mitigation drivers'!AA189*DailyspreadN2O)+('Mitigation drivers'!AA190*CompostN2O)+('Mitigation drivers'!AA191*ManwithbedN2O)+('Mitigation drivers'!AA192*PMwithoutlitterN2O)+('Mitigation drivers'!AA193*PMwithlitterN2O)+('Mitigation drivers'!AA195*DigesterN2OEF))/100</f>
        <v>1.4700000000000001E-2</v>
      </c>
      <c r="AG68" s="26">
        <f>(('Mitigation drivers'!AB185*LagoonN2O)+('Mitigation drivers'!AB186*LiquidN2O)+('Mitigation drivers'!AB187*DrylotN2O)+('Mitigation drivers'!AB188*SolidStorageN2O)+('Mitigation drivers'!AB189*DailyspreadN2O)+('Mitigation drivers'!AB190*CompostN2O)+('Mitigation drivers'!AB191*ManwithbedN2O)+('Mitigation drivers'!AB192*PMwithoutlitterN2O)+('Mitigation drivers'!AB193*PMwithlitterN2O)+('Mitigation drivers'!AB195*DigesterN2OEF))/100</f>
        <v>1.4700000000000001E-2</v>
      </c>
      <c r="AH68" s="26">
        <f>(('Mitigation drivers'!AC185*LagoonN2O)+('Mitigation drivers'!AC186*LiquidN2O)+('Mitigation drivers'!AC187*DrylotN2O)+('Mitigation drivers'!AC188*SolidStorageN2O)+('Mitigation drivers'!AC189*DailyspreadN2O)+('Mitigation drivers'!AC190*CompostN2O)+('Mitigation drivers'!AC191*ManwithbedN2O)+('Mitigation drivers'!AC192*PMwithoutlitterN2O)+('Mitigation drivers'!AC193*PMwithlitterN2O)+('Mitigation drivers'!AC195*DigesterN2OEF))/100</f>
        <v>1.4700000000000001E-2</v>
      </c>
      <c r="AI68" s="26">
        <f>(('Mitigation drivers'!AD185*LagoonN2O)+('Mitigation drivers'!AD186*LiquidN2O)+('Mitigation drivers'!AD187*DrylotN2O)+('Mitigation drivers'!AD188*SolidStorageN2O)+('Mitigation drivers'!AD189*DailyspreadN2O)+('Mitigation drivers'!AD190*CompostN2O)+('Mitigation drivers'!AD191*ManwithbedN2O)+('Mitigation drivers'!AD192*PMwithoutlitterN2O)+('Mitigation drivers'!AD193*PMwithlitterN2O)+('Mitigation drivers'!AD195*DigesterN2OEF))/100</f>
        <v>1.4700000000000001E-2</v>
      </c>
      <c r="AJ68" s="26">
        <f>(('Mitigation drivers'!AE185*LagoonN2O)+('Mitigation drivers'!AE186*LiquidN2O)+('Mitigation drivers'!AE187*DrylotN2O)+('Mitigation drivers'!AE188*SolidStorageN2O)+('Mitigation drivers'!AE189*DailyspreadN2O)+('Mitigation drivers'!AE190*CompostN2O)+('Mitigation drivers'!AE191*ManwithbedN2O)+('Mitigation drivers'!AE192*PMwithoutlitterN2O)+('Mitigation drivers'!AE193*PMwithlitterN2O)+('Mitigation drivers'!AE195*DigesterN2OEF))/100</f>
        <v>1.4700000000000001E-2</v>
      </c>
      <c r="AK68" s="26">
        <f>(('Mitigation drivers'!AF185*LagoonN2O)+('Mitigation drivers'!AF186*LiquidN2O)+('Mitigation drivers'!AF187*DrylotN2O)+('Mitigation drivers'!AF188*SolidStorageN2O)+('Mitigation drivers'!AF189*DailyspreadN2O)+('Mitigation drivers'!AF190*CompostN2O)+('Mitigation drivers'!AF191*ManwithbedN2O)+('Mitigation drivers'!AF192*PMwithoutlitterN2O)+('Mitigation drivers'!AF193*PMwithlitterN2O)+('Mitigation drivers'!AF195*DigesterN2OEF))/100</f>
        <v>1.4700000000000001E-2</v>
      </c>
      <c r="AL68" s="26">
        <f>(('Mitigation drivers'!AG185*LagoonN2O)+('Mitigation drivers'!AG186*LiquidN2O)+('Mitigation drivers'!AG187*DrylotN2O)+('Mitigation drivers'!AG188*SolidStorageN2O)+('Mitigation drivers'!AG189*DailyspreadN2O)+('Mitigation drivers'!AG190*CompostN2O)+('Mitigation drivers'!AG191*ManwithbedN2O)+('Mitigation drivers'!AG192*PMwithoutlitterN2O)+('Mitigation drivers'!AG193*PMwithlitterN2O)+('Mitigation drivers'!AG195*DigesterN2OEF))/100</f>
        <v>1.4700000000000001E-2</v>
      </c>
      <c r="AM68" s="26">
        <f>(('Mitigation drivers'!AH185*LagoonN2O)+('Mitigation drivers'!AH186*LiquidN2O)+('Mitigation drivers'!AH187*DrylotN2O)+('Mitigation drivers'!AH188*SolidStorageN2O)+('Mitigation drivers'!AH189*DailyspreadN2O)+('Mitigation drivers'!AH190*CompostN2O)+('Mitigation drivers'!AH191*ManwithbedN2O)+('Mitigation drivers'!AH192*PMwithoutlitterN2O)+('Mitigation drivers'!AH193*PMwithlitterN2O)+('Mitigation drivers'!AH195*DigesterN2OEF))/100</f>
        <v>1.4700000000000001E-2</v>
      </c>
      <c r="AN68" s="26">
        <f>(('Mitigation drivers'!AI185*LagoonN2O)+('Mitigation drivers'!AI186*LiquidN2O)+('Mitigation drivers'!AI187*DrylotN2O)+('Mitigation drivers'!AI188*SolidStorageN2O)+('Mitigation drivers'!AI189*DailyspreadN2O)+('Mitigation drivers'!AI190*CompostN2O)+('Mitigation drivers'!AI191*ManwithbedN2O)+('Mitigation drivers'!AI192*PMwithoutlitterN2O)+('Mitigation drivers'!AI193*PMwithlitterN2O)+('Mitigation drivers'!AI195*DigesterN2OEF))/100</f>
        <v>1.4700000000000001E-2</v>
      </c>
      <c r="AO68" s="26">
        <f>(('Mitigation drivers'!AJ185*LagoonN2O)+('Mitigation drivers'!AJ186*LiquidN2O)+('Mitigation drivers'!AJ187*DrylotN2O)+('Mitigation drivers'!AJ188*SolidStorageN2O)+('Mitigation drivers'!AJ189*DailyspreadN2O)+('Mitigation drivers'!AJ190*CompostN2O)+('Mitigation drivers'!AJ191*ManwithbedN2O)+('Mitigation drivers'!AJ192*PMwithoutlitterN2O)+('Mitigation drivers'!AJ193*PMwithlitterN2O)+('Mitigation drivers'!AJ195*DigesterN2OEF))/100</f>
        <v>1.4700000000000001E-2</v>
      </c>
    </row>
    <row r="69" spans="1:41" x14ac:dyDescent="0.25">
      <c r="A69" t="str">
        <f t="shared" si="1"/>
        <v>3A Livestock</v>
      </c>
      <c r="B69" t="str">
        <f t="shared" si="8"/>
        <v>3A2 Manure management (N2O)</v>
      </c>
      <c r="C69" t="str">
        <f>'Activity data'!C20</f>
        <v>3A2i Poultry</v>
      </c>
      <c r="D69" t="str">
        <f>'Activity data'!D20</f>
        <v>Commercial broilers</v>
      </c>
      <c r="E69" t="str">
        <f t="shared" si="27"/>
        <v>Manure management EF</v>
      </c>
      <c r="F69" t="str">
        <f t="shared" si="28"/>
        <v>N2O</v>
      </c>
      <c r="G69" t="str">
        <f t="shared" si="29"/>
        <v>kg N2O-N/kg Nex</v>
      </c>
      <c r="H69" s="26">
        <f>(('Mitigation drivers'!C197*LagoonN2O)+('Mitigation drivers'!C198*LiquidN2O)+('Mitigation drivers'!C199*DrylotN2O)+('Mitigation drivers'!C200*SolidStorageN2O)+('Mitigation drivers'!C201*DailyspreadN2O)+('Mitigation drivers'!C202*CompostN2O)+('Mitigation drivers'!C203*ManwithbedN2O)+('Mitigation drivers'!C204*PMwithoutlitterN2O)+('Mitigation drivers'!C205*PMwithlitterN2O)+('Mitigation drivers'!C207*DigesterN2OEF))/100</f>
        <v>1.6449999999999999E-2</v>
      </c>
      <c r="I69" s="26">
        <f>(('Mitigation drivers'!D197*LagoonN2O)+('Mitigation drivers'!D198*LiquidN2O)+('Mitigation drivers'!D199*DrylotN2O)+('Mitigation drivers'!D200*SolidStorageN2O)+('Mitigation drivers'!D201*DailyspreadN2O)+('Mitigation drivers'!D202*CompostN2O)+('Mitigation drivers'!D203*ManwithbedN2O)+('Mitigation drivers'!D204*PMwithoutlitterN2O)+('Mitigation drivers'!D205*PMwithlitterN2O)+('Mitigation drivers'!D207*DigesterN2OEF))/100</f>
        <v>1.6449999999999999E-2</v>
      </c>
      <c r="J69" s="26">
        <f>(('Mitigation drivers'!E197*LagoonN2O)+('Mitigation drivers'!E198*LiquidN2O)+('Mitigation drivers'!E199*DrylotN2O)+('Mitigation drivers'!E200*SolidStorageN2O)+('Mitigation drivers'!E201*DailyspreadN2O)+('Mitigation drivers'!E202*CompostN2O)+('Mitigation drivers'!E203*ManwithbedN2O)+('Mitigation drivers'!E204*PMwithoutlitterN2O)+('Mitigation drivers'!E205*PMwithlitterN2O)+('Mitigation drivers'!E207*DigesterN2OEF))/100</f>
        <v>1.6449999999999999E-2</v>
      </c>
      <c r="K69" s="26">
        <f>(('Mitigation drivers'!F197*LagoonN2O)+('Mitigation drivers'!F198*LiquidN2O)+('Mitigation drivers'!F199*DrylotN2O)+('Mitigation drivers'!F200*SolidStorageN2O)+('Mitigation drivers'!F201*DailyspreadN2O)+('Mitigation drivers'!F202*CompostN2O)+('Mitigation drivers'!F203*ManwithbedN2O)+('Mitigation drivers'!F204*PMwithoutlitterN2O)+('Mitigation drivers'!F205*PMwithlitterN2O)+('Mitigation drivers'!F207*DigesterN2OEF))/100</f>
        <v>1.6449999999999999E-2</v>
      </c>
      <c r="L69" s="26">
        <f>(('Mitigation drivers'!G197*LagoonN2O)+('Mitigation drivers'!G198*LiquidN2O)+('Mitigation drivers'!G199*DrylotN2O)+('Mitigation drivers'!G200*SolidStorageN2O)+('Mitigation drivers'!G201*DailyspreadN2O)+('Mitigation drivers'!G202*CompostN2O)+('Mitigation drivers'!G203*ManwithbedN2O)+('Mitigation drivers'!G204*PMwithoutlitterN2O)+('Mitigation drivers'!G205*PMwithlitterN2O)+('Mitigation drivers'!G207*DigesterN2OEF))/100</f>
        <v>1.6449999999999999E-2</v>
      </c>
      <c r="M69" s="26">
        <f>(('Mitigation drivers'!H197*LagoonN2O)+('Mitigation drivers'!H198*LiquidN2O)+('Mitigation drivers'!H199*DrylotN2O)+('Mitigation drivers'!H200*SolidStorageN2O)+('Mitigation drivers'!H201*DailyspreadN2O)+('Mitigation drivers'!H202*CompostN2O)+('Mitigation drivers'!H203*ManwithbedN2O)+('Mitigation drivers'!H204*PMwithoutlitterN2O)+('Mitigation drivers'!H205*PMwithlitterN2O)+('Mitigation drivers'!H207*DigesterN2OEF))/100</f>
        <v>1.6449999999999999E-2</v>
      </c>
      <c r="N69" s="26">
        <f>(('Mitigation drivers'!I197*LagoonN2O)+('Mitigation drivers'!I198*LiquidN2O)+('Mitigation drivers'!I199*DrylotN2O)+('Mitigation drivers'!I200*SolidStorageN2O)+('Mitigation drivers'!I201*DailyspreadN2O)+('Mitigation drivers'!I202*CompostN2O)+('Mitigation drivers'!I203*ManwithbedN2O)+('Mitigation drivers'!I204*PMwithoutlitterN2O)+('Mitigation drivers'!I205*PMwithlitterN2O)+('Mitigation drivers'!I207*DigesterN2OEF))/100</f>
        <v>1.6449999999999999E-2</v>
      </c>
      <c r="O69" s="26">
        <f>(('Mitigation drivers'!J197*LagoonN2O)+('Mitigation drivers'!J198*LiquidN2O)+('Mitigation drivers'!J199*DrylotN2O)+('Mitigation drivers'!J200*SolidStorageN2O)+('Mitigation drivers'!J201*DailyspreadN2O)+('Mitigation drivers'!J202*CompostN2O)+('Mitigation drivers'!J203*ManwithbedN2O)+('Mitigation drivers'!J204*PMwithoutlitterN2O)+('Mitigation drivers'!J205*PMwithlitterN2O)+('Mitigation drivers'!J207*DigesterN2OEF))/100</f>
        <v>1.6449999999999999E-2</v>
      </c>
      <c r="P69" s="26">
        <f>(('Mitigation drivers'!K197*LagoonN2O)+('Mitigation drivers'!K198*LiquidN2O)+('Mitigation drivers'!K199*DrylotN2O)+('Mitigation drivers'!K200*SolidStorageN2O)+('Mitigation drivers'!K201*DailyspreadN2O)+('Mitigation drivers'!K202*CompostN2O)+('Mitigation drivers'!K203*ManwithbedN2O)+('Mitigation drivers'!K204*PMwithoutlitterN2O)+('Mitigation drivers'!K205*PMwithlitterN2O)+('Mitigation drivers'!K207*DigesterN2OEF))/100</f>
        <v>1.6449999999999999E-2</v>
      </c>
      <c r="Q69" s="26">
        <f>(('Mitigation drivers'!L197*LagoonN2O)+('Mitigation drivers'!L198*LiquidN2O)+('Mitigation drivers'!L199*DrylotN2O)+('Mitigation drivers'!L200*SolidStorageN2O)+('Mitigation drivers'!L201*DailyspreadN2O)+('Mitigation drivers'!L202*CompostN2O)+('Mitigation drivers'!L203*ManwithbedN2O)+('Mitigation drivers'!L204*PMwithoutlitterN2O)+('Mitigation drivers'!L205*PMwithlitterN2O)+('Mitigation drivers'!L207*DigesterN2OEF))/100</f>
        <v>1.6449999999999999E-2</v>
      </c>
      <c r="R69" s="26">
        <f>(('Mitigation drivers'!M197*LagoonN2O)+('Mitigation drivers'!M198*LiquidN2O)+('Mitigation drivers'!M199*DrylotN2O)+('Mitigation drivers'!M200*SolidStorageN2O)+('Mitigation drivers'!M201*DailyspreadN2O)+('Mitigation drivers'!M202*CompostN2O)+('Mitigation drivers'!M203*ManwithbedN2O)+('Mitigation drivers'!M204*PMwithoutlitterN2O)+('Mitigation drivers'!M205*PMwithlitterN2O)+('Mitigation drivers'!M207*DigesterN2OEF))/100</f>
        <v>1.6449999999999999E-2</v>
      </c>
      <c r="S69" s="26">
        <f>(('Mitigation drivers'!N197*LagoonN2O)+('Mitigation drivers'!N198*LiquidN2O)+('Mitigation drivers'!N199*DrylotN2O)+('Mitigation drivers'!N200*SolidStorageN2O)+('Mitigation drivers'!N201*DailyspreadN2O)+('Mitigation drivers'!N202*CompostN2O)+('Mitigation drivers'!N203*ManwithbedN2O)+('Mitigation drivers'!N204*PMwithoutlitterN2O)+('Mitigation drivers'!N205*PMwithlitterN2O)+('Mitigation drivers'!N207*DigesterN2OEF))/100</f>
        <v>1.6449999999999999E-2</v>
      </c>
      <c r="T69" s="26">
        <f>(('Mitigation drivers'!O197*LagoonN2O)+('Mitigation drivers'!O198*LiquidN2O)+('Mitigation drivers'!O199*DrylotN2O)+('Mitigation drivers'!O200*SolidStorageN2O)+('Mitigation drivers'!O201*DailyspreadN2O)+('Mitigation drivers'!O202*CompostN2O)+('Mitigation drivers'!O203*ManwithbedN2O)+('Mitigation drivers'!O204*PMwithoutlitterN2O)+('Mitigation drivers'!O205*PMwithlitterN2O)+('Mitigation drivers'!O207*DigesterN2OEF))/100</f>
        <v>1.6449999999999999E-2</v>
      </c>
      <c r="U69" s="26">
        <f>(('Mitigation drivers'!P197*LagoonN2O)+('Mitigation drivers'!P198*LiquidN2O)+('Mitigation drivers'!P199*DrylotN2O)+('Mitigation drivers'!P200*SolidStorageN2O)+('Mitigation drivers'!P201*DailyspreadN2O)+('Mitigation drivers'!P202*CompostN2O)+('Mitigation drivers'!P203*ManwithbedN2O)+('Mitigation drivers'!P204*PMwithoutlitterN2O)+('Mitigation drivers'!P205*PMwithlitterN2O)+('Mitigation drivers'!P207*DigesterN2OEF))/100</f>
        <v>1.6449999999999999E-2</v>
      </c>
      <c r="V69" s="26">
        <f>(('Mitigation drivers'!Q197*LagoonN2O)+('Mitigation drivers'!Q198*LiquidN2O)+('Mitigation drivers'!Q199*DrylotN2O)+('Mitigation drivers'!Q200*SolidStorageN2O)+('Mitigation drivers'!Q201*DailyspreadN2O)+('Mitigation drivers'!Q202*CompostN2O)+('Mitigation drivers'!Q203*ManwithbedN2O)+('Mitigation drivers'!Q204*PMwithoutlitterN2O)+('Mitigation drivers'!Q205*PMwithlitterN2O)+('Mitigation drivers'!Q207*DigesterN2OEF))/100</f>
        <v>1.6449999999999999E-2</v>
      </c>
      <c r="W69" s="26">
        <f>(('Mitigation drivers'!R197*LagoonN2O)+('Mitigation drivers'!R198*LiquidN2O)+('Mitigation drivers'!R199*DrylotN2O)+('Mitigation drivers'!R200*SolidStorageN2O)+('Mitigation drivers'!R201*DailyspreadN2O)+('Mitigation drivers'!R202*CompostN2O)+('Mitigation drivers'!R203*ManwithbedN2O)+('Mitigation drivers'!R204*PMwithoutlitterN2O)+('Mitigation drivers'!R205*PMwithlitterN2O)+('Mitigation drivers'!R207*DigesterN2OEF))/100</f>
        <v>1.6449999999999999E-2</v>
      </c>
      <c r="X69" s="26">
        <f>(('Mitigation drivers'!S197*LagoonN2O)+('Mitigation drivers'!S198*LiquidN2O)+('Mitigation drivers'!S199*DrylotN2O)+('Mitigation drivers'!S200*SolidStorageN2O)+('Mitigation drivers'!S201*DailyspreadN2O)+('Mitigation drivers'!S202*CompostN2O)+('Mitigation drivers'!S203*ManwithbedN2O)+('Mitigation drivers'!S204*PMwithoutlitterN2O)+('Mitigation drivers'!S205*PMwithlitterN2O)+('Mitigation drivers'!S207*DigesterN2OEF))/100</f>
        <v>1.6449999999999999E-2</v>
      </c>
      <c r="Y69" s="26">
        <f>(('Mitigation drivers'!T197*LagoonN2O)+('Mitigation drivers'!T198*LiquidN2O)+('Mitigation drivers'!T199*DrylotN2O)+('Mitigation drivers'!T200*SolidStorageN2O)+('Mitigation drivers'!T201*DailyspreadN2O)+('Mitigation drivers'!T202*CompostN2O)+('Mitigation drivers'!T203*ManwithbedN2O)+('Mitigation drivers'!T204*PMwithoutlitterN2O)+('Mitigation drivers'!T205*PMwithlitterN2O)+('Mitigation drivers'!T207*DigesterN2OEF))/100</f>
        <v>1.6449999999999999E-2</v>
      </c>
      <c r="Z69" s="26">
        <f>(('Mitigation drivers'!U197*LagoonN2O)+('Mitigation drivers'!U198*LiquidN2O)+('Mitigation drivers'!U199*DrylotN2O)+('Mitigation drivers'!U200*SolidStorageN2O)+('Mitigation drivers'!U201*DailyspreadN2O)+('Mitigation drivers'!U202*CompostN2O)+('Mitigation drivers'!U203*ManwithbedN2O)+('Mitigation drivers'!U204*PMwithoutlitterN2O)+('Mitigation drivers'!U205*PMwithlitterN2O)+('Mitigation drivers'!U207*DigesterN2OEF))/100</f>
        <v>1.6449999999999999E-2</v>
      </c>
      <c r="AA69" s="26">
        <f>(('Mitigation drivers'!V197*LagoonN2O)+('Mitigation drivers'!V198*LiquidN2O)+('Mitigation drivers'!V199*DrylotN2O)+('Mitigation drivers'!V200*SolidStorageN2O)+('Mitigation drivers'!V201*DailyspreadN2O)+('Mitigation drivers'!V202*CompostN2O)+('Mitigation drivers'!V203*ManwithbedN2O)+('Mitigation drivers'!V204*PMwithoutlitterN2O)+('Mitigation drivers'!V205*PMwithlitterN2O)+('Mitigation drivers'!V207*DigesterN2OEF))/100</f>
        <v>1.6449999999999999E-2</v>
      </c>
      <c r="AB69" s="26">
        <f>(('Mitigation drivers'!W197*LagoonN2O)+('Mitigation drivers'!W198*LiquidN2O)+('Mitigation drivers'!W199*DrylotN2O)+('Mitigation drivers'!W200*SolidStorageN2O)+('Mitigation drivers'!W201*DailyspreadN2O)+('Mitigation drivers'!W202*CompostN2O)+('Mitigation drivers'!W203*ManwithbedN2O)+('Mitigation drivers'!W204*PMwithoutlitterN2O)+('Mitigation drivers'!W205*PMwithlitterN2O)+('Mitigation drivers'!W207*DigesterN2OEF))/100</f>
        <v>1.6449999999999999E-2</v>
      </c>
      <c r="AC69" s="26">
        <f>(('Mitigation drivers'!X197*LagoonN2O)+('Mitigation drivers'!X198*LiquidN2O)+('Mitigation drivers'!X199*DrylotN2O)+('Mitigation drivers'!X200*SolidStorageN2O)+('Mitigation drivers'!X201*DailyspreadN2O)+('Mitigation drivers'!X202*CompostN2O)+('Mitigation drivers'!X203*ManwithbedN2O)+('Mitigation drivers'!X204*PMwithoutlitterN2O)+('Mitigation drivers'!X205*PMwithlitterN2O)+('Mitigation drivers'!X207*DigesterN2OEF))/100</f>
        <v>1.6449999999999999E-2</v>
      </c>
      <c r="AD69" s="26">
        <f>(('Mitigation drivers'!Y197*LagoonN2O)+('Mitigation drivers'!Y198*LiquidN2O)+('Mitigation drivers'!Y199*DrylotN2O)+('Mitigation drivers'!Y200*SolidStorageN2O)+('Mitigation drivers'!Y201*DailyspreadN2O)+('Mitigation drivers'!Y202*CompostN2O)+('Mitigation drivers'!Y203*ManwithbedN2O)+('Mitigation drivers'!Y204*PMwithoutlitterN2O)+('Mitigation drivers'!Y205*PMwithlitterN2O)+('Mitigation drivers'!Y207*DigesterN2OEF))/100</f>
        <v>1.6449999999999999E-2</v>
      </c>
      <c r="AE69" s="26">
        <f>(('Mitigation drivers'!Z197*LagoonN2O)+('Mitigation drivers'!Z198*LiquidN2O)+('Mitigation drivers'!Z199*DrylotN2O)+('Mitigation drivers'!Z200*SolidStorageN2O)+('Mitigation drivers'!Z201*DailyspreadN2O)+('Mitigation drivers'!Z202*CompostN2O)+('Mitigation drivers'!Z203*ManwithbedN2O)+('Mitigation drivers'!Z204*PMwithoutlitterN2O)+('Mitigation drivers'!Z205*PMwithlitterN2O)+('Mitigation drivers'!Z207*DigesterN2OEF))/100</f>
        <v>1.6449999999999999E-2</v>
      </c>
      <c r="AF69" s="26">
        <f>(('Mitigation drivers'!AA197*LagoonN2O)+('Mitigation drivers'!AA198*LiquidN2O)+('Mitigation drivers'!AA199*DrylotN2O)+('Mitigation drivers'!AA200*SolidStorageN2O)+('Mitigation drivers'!AA201*DailyspreadN2O)+('Mitigation drivers'!AA202*CompostN2O)+('Mitigation drivers'!AA203*ManwithbedN2O)+('Mitigation drivers'!AA204*PMwithoutlitterN2O)+('Mitigation drivers'!AA205*PMwithlitterN2O)+('Mitigation drivers'!AA207*DigesterN2OEF))/100</f>
        <v>1.6449999999999999E-2</v>
      </c>
      <c r="AG69" s="26">
        <f>(('Mitigation drivers'!AB197*LagoonN2O)+('Mitigation drivers'!AB198*LiquidN2O)+('Mitigation drivers'!AB199*DrylotN2O)+('Mitigation drivers'!AB200*SolidStorageN2O)+('Mitigation drivers'!AB201*DailyspreadN2O)+('Mitigation drivers'!AB202*CompostN2O)+('Mitigation drivers'!AB203*ManwithbedN2O)+('Mitigation drivers'!AB204*PMwithoutlitterN2O)+('Mitigation drivers'!AB205*PMwithlitterN2O)+('Mitigation drivers'!AB207*DigesterN2OEF))/100</f>
        <v>1.6449999999999999E-2</v>
      </c>
      <c r="AH69" s="26">
        <f>(('Mitigation drivers'!AC197*LagoonN2O)+('Mitigation drivers'!AC198*LiquidN2O)+('Mitigation drivers'!AC199*DrylotN2O)+('Mitigation drivers'!AC200*SolidStorageN2O)+('Mitigation drivers'!AC201*DailyspreadN2O)+('Mitigation drivers'!AC202*CompostN2O)+('Mitigation drivers'!AC203*ManwithbedN2O)+('Mitigation drivers'!AC204*PMwithoutlitterN2O)+('Mitigation drivers'!AC205*PMwithlitterN2O)+('Mitigation drivers'!AC207*DigesterN2OEF))/100</f>
        <v>1.6449999999999999E-2</v>
      </c>
      <c r="AI69" s="26">
        <f>(('Mitigation drivers'!AD197*LagoonN2O)+('Mitigation drivers'!AD198*LiquidN2O)+('Mitigation drivers'!AD199*DrylotN2O)+('Mitigation drivers'!AD200*SolidStorageN2O)+('Mitigation drivers'!AD201*DailyspreadN2O)+('Mitigation drivers'!AD202*CompostN2O)+('Mitigation drivers'!AD203*ManwithbedN2O)+('Mitigation drivers'!AD204*PMwithoutlitterN2O)+('Mitigation drivers'!AD205*PMwithlitterN2O)+('Mitigation drivers'!AD207*DigesterN2OEF))/100</f>
        <v>1.6449999999999999E-2</v>
      </c>
      <c r="AJ69" s="26">
        <f>(('Mitigation drivers'!AE197*LagoonN2O)+('Mitigation drivers'!AE198*LiquidN2O)+('Mitigation drivers'!AE199*DrylotN2O)+('Mitigation drivers'!AE200*SolidStorageN2O)+('Mitigation drivers'!AE201*DailyspreadN2O)+('Mitigation drivers'!AE202*CompostN2O)+('Mitigation drivers'!AE203*ManwithbedN2O)+('Mitigation drivers'!AE204*PMwithoutlitterN2O)+('Mitigation drivers'!AE205*PMwithlitterN2O)+('Mitigation drivers'!AE207*DigesterN2OEF))/100</f>
        <v>1.6449999999999999E-2</v>
      </c>
      <c r="AK69" s="26">
        <f>(('Mitigation drivers'!AF197*LagoonN2O)+('Mitigation drivers'!AF198*LiquidN2O)+('Mitigation drivers'!AF199*DrylotN2O)+('Mitigation drivers'!AF200*SolidStorageN2O)+('Mitigation drivers'!AF201*DailyspreadN2O)+('Mitigation drivers'!AF202*CompostN2O)+('Mitigation drivers'!AF203*ManwithbedN2O)+('Mitigation drivers'!AF204*PMwithoutlitterN2O)+('Mitigation drivers'!AF205*PMwithlitterN2O)+('Mitigation drivers'!AF207*DigesterN2OEF))/100</f>
        <v>1.6449999999999999E-2</v>
      </c>
      <c r="AL69" s="26">
        <f>(('Mitigation drivers'!AG197*LagoonN2O)+('Mitigation drivers'!AG198*LiquidN2O)+('Mitigation drivers'!AG199*DrylotN2O)+('Mitigation drivers'!AG200*SolidStorageN2O)+('Mitigation drivers'!AG201*DailyspreadN2O)+('Mitigation drivers'!AG202*CompostN2O)+('Mitigation drivers'!AG203*ManwithbedN2O)+('Mitigation drivers'!AG204*PMwithoutlitterN2O)+('Mitigation drivers'!AG205*PMwithlitterN2O)+('Mitigation drivers'!AG207*DigesterN2OEF))/100</f>
        <v>1.6449999999999999E-2</v>
      </c>
      <c r="AM69" s="26">
        <f>(('Mitigation drivers'!AH197*LagoonN2O)+('Mitigation drivers'!AH198*LiquidN2O)+('Mitigation drivers'!AH199*DrylotN2O)+('Mitigation drivers'!AH200*SolidStorageN2O)+('Mitigation drivers'!AH201*DailyspreadN2O)+('Mitigation drivers'!AH202*CompostN2O)+('Mitigation drivers'!AH203*ManwithbedN2O)+('Mitigation drivers'!AH204*PMwithoutlitterN2O)+('Mitigation drivers'!AH205*PMwithlitterN2O)+('Mitigation drivers'!AH207*DigesterN2OEF))/100</f>
        <v>1.6449999999999999E-2</v>
      </c>
      <c r="AN69" s="26">
        <f>(('Mitigation drivers'!AI197*LagoonN2O)+('Mitigation drivers'!AI198*LiquidN2O)+('Mitigation drivers'!AI199*DrylotN2O)+('Mitigation drivers'!AI200*SolidStorageN2O)+('Mitigation drivers'!AI201*DailyspreadN2O)+('Mitigation drivers'!AI202*CompostN2O)+('Mitigation drivers'!AI203*ManwithbedN2O)+('Mitigation drivers'!AI204*PMwithoutlitterN2O)+('Mitigation drivers'!AI205*PMwithlitterN2O)+('Mitigation drivers'!AI207*DigesterN2OEF))/100</f>
        <v>1.6449999999999999E-2</v>
      </c>
      <c r="AO69" s="26">
        <f>(('Mitigation drivers'!AJ197*LagoonN2O)+('Mitigation drivers'!AJ198*LiquidN2O)+('Mitigation drivers'!AJ199*DrylotN2O)+('Mitigation drivers'!AJ200*SolidStorageN2O)+('Mitigation drivers'!AJ201*DailyspreadN2O)+('Mitigation drivers'!AJ202*CompostN2O)+('Mitigation drivers'!AJ203*ManwithbedN2O)+('Mitigation drivers'!AJ204*PMwithoutlitterN2O)+('Mitigation drivers'!AJ205*PMwithlitterN2O)+('Mitigation drivers'!AJ207*DigesterN2OEF))/100</f>
        <v>1.6449999999999999E-2</v>
      </c>
    </row>
    <row r="70" spans="1:41" x14ac:dyDescent="0.25">
      <c r="A70" t="str">
        <f t="shared" ref="A70:A71" si="30">A69</f>
        <v>3A Livestock</v>
      </c>
      <c r="B70" t="str">
        <f t="shared" si="8"/>
        <v>3A2 Manure management (N2O)</v>
      </c>
      <c r="C70" t="str">
        <f>'Activity data'!C21</f>
        <v>3A2i Poultry</v>
      </c>
      <c r="D70" t="str">
        <f>'Activity data'!D21</f>
        <v>Subsistence layers</v>
      </c>
      <c r="E70" t="str">
        <f t="shared" si="27"/>
        <v>Manure management EF</v>
      </c>
      <c r="F70" t="str">
        <f t="shared" si="28"/>
        <v>N2O</v>
      </c>
      <c r="G70" t="str">
        <f t="shared" si="29"/>
        <v>kg N2O-N/kg Nex</v>
      </c>
      <c r="H70" s="26">
        <f>(('Mitigation drivers'!C209*LagoonN2O)+('Mitigation drivers'!C210*LiquidN2O)+('Mitigation drivers'!C211*DrylotN2O)+('Mitigation drivers'!C212*SolidStorageN2O)+('Mitigation drivers'!C213*DailyspreadN2O)+('Mitigation drivers'!C214*CompostN2O)+('Mitigation drivers'!C215*ManwithbedN2O)+('Mitigation drivers'!C216*PMwithoutlitterN2O)+('Mitigation drivers'!C217*PMwithlitterN2O)+('Mitigation drivers'!C219*DigesterN2OEF))/100</f>
        <v>1.4700000000000001E-2</v>
      </c>
      <c r="I70" s="26">
        <f>(('Mitigation drivers'!D209*LagoonN2O)+('Mitigation drivers'!D210*LiquidN2O)+('Mitigation drivers'!D211*DrylotN2O)+('Mitigation drivers'!D212*SolidStorageN2O)+('Mitigation drivers'!D213*DailyspreadN2O)+('Mitigation drivers'!D214*CompostN2O)+('Mitigation drivers'!D215*ManwithbedN2O)+('Mitigation drivers'!D216*PMwithoutlitterN2O)+('Mitigation drivers'!D217*PMwithlitterN2O)+('Mitigation drivers'!D219*DigesterN2OEF))/100</f>
        <v>1.4700000000000001E-2</v>
      </c>
      <c r="J70" s="26">
        <f>(('Mitigation drivers'!E209*LagoonN2O)+('Mitigation drivers'!E210*LiquidN2O)+('Mitigation drivers'!E211*DrylotN2O)+('Mitigation drivers'!E212*SolidStorageN2O)+('Mitigation drivers'!E213*DailyspreadN2O)+('Mitigation drivers'!E214*CompostN2O)+('Mitigation drivers'!E215*ManwithbedN2O)+('Mitigation drivers'!E216*PMwithoutlitterN2O)+('Mitigation drivers'!E217*PMwithlitterN2O)+('Mitigation drivers'!E219*DigesterN2OEF))/100</f>
        <v>1.4700000000000001E-2</v>
      </c>
      <c r="K70" s="26">
        <f>(('Mitigation drivers'!F209*LagoonN2O)+('Mitigation drivers'!F210*LiquidN2O)+('Mitigation drivers'!F211*DrylotN2O)+('Mitigation drivers'!F212*SolidStorageN2O)+('Mitigation drivers'!F213*DailyspreadN2O)+('Mitigation drivers'!F214*CompostN2O)+('Mitigation drivers'!F215*ManwithbedN2O)+('Mitigation drivers'!F216*PMwithoutlitterN2O)+('Mitigation drivers'!F217*PMwithlitterN2O)+('Mitigation drivers'!F219*DigesterN2OEF))/100</f>
        <v>1.4700000000000001E-2</v>
      </c>
      <c r="L70" s="26">
        <f>(('Mitigation drivers'!G209*LagoonN2O)+('Mitigation drivers'!G210*LiquidN2O)+('Mitigation drivers'!G211*DrylotN2O)+('Mitigation drivers'!G212*SolidStorageN2O)+('Mitigation drivers'!G213*DailyspreadN2O)+('Mitigation drivers'!G214*CompostN2O)+('Mitigation drivers'!G215*ManwithbedN2O)+('Mitigation drivers'!G216*PMwithoutlitterN2O)+('Mitigation drivers'!G217*PMwithlitterN2O)+('Mitigation drivers'!G219*DigesterN2OEF))/100</f>
        <v>1.4700000000000001E-2</v>
      </c>
      <c r="M70" s="26">
        <f>(('Mitigation drivers'!H209*LagoonN2O)+('Mitigation drivers'!H210*LiquidN2O)+('Mitigation drivers'!H211*DrylotN2O)+('Mitigation drivers'!H212*SolidStorageN2O)+('Mitigation drivers'!H213*DailyspreadN2O)+('Mitigation drivers'!H214*CompostN2O)+('Mitigation drivers'!H215*ManwithbedN2O)+('Mitigation drivers'!H216*PMwithoutlitterN2O)+('Mitigation drivers'!H217*PMwithlitterN2O)+('Mitigation drivers'!H219*DigesterN2OEF))/100</f>
        <v>1.4700000000000001E-2</v>
      </c>
      <c r="N70" s="26">
        <f>(('Mitigation drivers'!I209*LagoonN2O)+('Mitigation drivers'!I210*LiquidN2O)+('Mitigation drivers'!I211*DrylotN2O)+('Mitigation drivers'!I212*SolidStorageN2O)+('Mitigation drivers'!I213*DailyspreadN2O)+('Mitigation drivers'!I214*CompostN2O)+('Mitigation drivers'!I215*ManwithbedN2O)+('Mitigation drivers'!I216*PMwithoutlitterN2O)+('Mitigation drivers'!I217*PMwithlitterN2O)+('Mitigation drivers'!I219*DigesterN2OEF))/100</f>
        <v>1.4700000000000001E-2</v>
      </c>
      <c r="O70" s="26">
        <f>(('Mitigation drivers'!J209*LagoonN2O)+('Mitigation drivers'!J210*LiquidN2O)+('Mitigation drivers'!J211*DrylotN2O)+('Mitigation drivers'!J212*SolidStorageN2O)+('Mitigation drivers'!J213*DailyspreadN2O)+('Mitigation drivers'!J214*CompostN2O)+('Mitigation drivers'!J215*ManwithbedN2O)+('Mitigation drivers'!J216*PMwithoutlitterN2O)+('Mitigation drivers'!J217*PMwithlitterN2O)+('Mitigation drivers'!J219*DigesterN2OEF))/100</f>
        <v>1.4700000000000001E-2</v>
      </c>
      <c r="P70" s="26">
        <f>(('Mitigation drivers'!K209*LagoonN2O)+('Mitigation drivers'!K210*LiquidN2O)+('Mitigation drivers'!K211*DrylotN2O)+('Mitigation drivers'!K212*SolidStorageN2O)+('Mitigation drivers'!K213*DailyspreadN2O)+('Mitigation drivers'!K214*CompostN2O)+('Mitigation drivers'!K215*ManwithbedN2O)+('Mitigation drivers'!K216*PMwithoutlitterN2O)+('Mitigation drivers'!K217*PMwithlitterN2O)+('Mitigation drivers'!K219*DigesterN2OEF))/100</f>
        <v>1.4700000000000001E-2</v>
      </c>
      <c r="Q70" s="26">
        <f>(('Mitigation drivers'!L209*LagoonN2O)+('Mitigation drivers'!L210*LiquidN2O)+('Mitigation drivers'!L211*DrylotN2O)+('Mitigation drivers'!L212*SolidStorageN2O)+('Mitigation drivers'!L213*DailyspreadN2O)+('Mitigation drivers'!L214*CompostN2O)+('Mitigation drivers'!L215*ManwithbedN2O)+('Mitigation drivers'!L216*PMwithoutlitterN2O)+('Mitigation drivers'!L217*PMwithlitterN2O)+('Mitigation drivers'!L219*DigesterN2OEF))/100</f>
        <v>1.4700000000000001E-2</v>
      </c>
      <c r="R70" s="26">
        <f>(('Mitigation drivers'!M209*LagoonN2O)+('Mitigation drivers'!M210*LiquidN2O)+('Mitigation drivers'!M211*DrylotN2O)+('Mitigation drivers'!M212*SolidStorageN2O)+('Mitigation drivers'!M213*DailyspreadN2O)+('Mitigation drivers'!M214*CompostN2O)+('Mitigation drivers'!M215*ManwithbedN2O)+('Mitigation drivers'!M216*PMwithoutlitterN2O)+('Mitigation drivers'!M217*PMwithlitterN2O)+('Mitigation drivers'!M219*DigesterN2OEF))/100</f>
        <v>1.4700000000000001E-2</v>
      </c>
      <c r="S70" s="26">
        <f>(('Mitigation drivers'!N209*LagoonN2O)+('Mitigation drivers'!N210*LiquidN2O)+('Mitigation drivers'!N211*DrylotN2O)+('Mitigation drivers'!N212*SolidStorageN2O)+('Mitigation drivers'!N213*DailyspreadN2O)+('Mitigation drivers'!N214*CompostN2O)+('Mitigation drivers'!N215*ManwithbedN2O)+('Mitigation drivers'!N216*PMwithoutlitterN2O)+('Mitigation drivers'!N217*PMwithlitterN2O)+('Mitigation drivers'!N219*DigesterN2OEF))/100</f>
        <v>1.4700000000000001E-2</v>
      </c>
      <c r="T70" s="26">
        <f>(('Mitigation drivers'!O209*LagoonN2O)+('Mitigation drivers'!O210*LiquidN2O)+('Mitigation drivers'!O211*DrylotN2O)+('Mitigation drivers'!O212*SolidStorageN2O)+('Mitigation drivers'!O213*DailyspreadN2O)+('Mitigation drivers'!O214*CompostN2O)+('Mitigation drivers'!O215*ManwithbedN2O)+('Mitigation drivers'!O216*PMwithoutlitterN2O)+('Mitigation drivers'!O217*PMwithlitterN2O)+('Mitigation drivers'!O219*DigesterN2OEF))/100</f>
        <v>1.4700000000000001E-2</v>
      </c>
      <c r="U70" s="26">
        <f>(('Mitigation drivers'!P209*LagoonN2O)+('Mitigation drivers'!P210*LiquidN2O)+('Mitigation drivers'!P211*DrylotN2O)+('Mitigation drivers'!P212*SolidStorageN2O)+('Mitigation drivers'!P213*DailyspreadN2O)+('Mitigation drivers'!P214*CompostN2O)+('Mitigation drivers'!P215*ManwithbedN2O)+('Mitigation drivers'!P216*PMwithoutlitterN2O)+('Mitigation drivers'!P217*PMwithlitterN2O)+('Mitigation drivers'!P219*DigesterN2OEF))/100</f>
        <v>1.4700000000000001E-2</v>
      </c>
      <c r="V70" s="26">
        <f>(('Mitigation drivers'!Q209*LagoonN2O)+('Mitigation drivers'!Q210*LiquidN2O)+('Mitigation drivers'!Q211*DrylotN2O)+('Mitigation drivers'!Q212*SolidStorageN2O)+('Mitigation drivers'!Q213*DailyspreadN2O)+('Mitigation drivers'!Q214*CompostN2O)+('Mitigation drivers'!Q215*ManwithbedN2O)+('Mitigation drivers'!Q216*PMwithoutlitterN2O)+('Mitigation drivers'!Q217*PMwithlitterN2O)+('Mitigation drivers'!Q219*DigesterN2OEF))/100</f>
        <v>1.4700000000000001E-2</v>
      </c>
      <c r="W70" s="26">
        <f>(('Mitigation drivers'!R209*LagoonN2O)+('Mitigation drivers'!R210*LiquidN2O)+('Mitigation drivers'!R211*DrylotN2O)+('Mitigation drivers'!R212*SolidStorageN2O)+('Mitigation drivers'!R213*DailyspreadN2O)+('Mitigation drivers'!R214*CompostN2O)+('Mitigation drivers'!R215*ManwithbedN2O)+('Mitigation drivers'!R216*PMwithoutlitterN2O)+('Mitigation drivers'!R217*PMwithlitterN2O)+('Mitigation drivers'!R219*DigesterN2OEF))/100</f>
        <v>1.4700000000000001E-2</v>
      </c>
      <c r="X70" s="26">
        <f>(('Mitigation drivers'!S209*LagoonN2O)+('Mitigation drivers'!S210*LiquidN2O)+('Mitigation drivers'!S211*DrylotN2O)+('Mitigation drivers'!S212*SolidStorageN2O)+('Mitigation drivers'!S213*DailyspreadN2O)+('Mitigation drivers'!S214*CompostN2O)+('Mitigation drivers'!S215*ManwithbedN2O)+('Mitigation drivers'!S216*PMwithoutlitterN2O)+('Mitigation drivers'!S217*PMwithlitterN2O)+('Mitigation drivers'!S219*DigesterN2OEF))/100</f>
        <v>1.4700000000000001E-2</v>
      </c>
      <c r="Y70" s="26">
        <f>(('Mitigation drivers'!T209*LagoonN2O)+('Mitigation drivers'!T210*LiquidN2O)+('Mitigation drivers'!T211*DrylotN2O)+('Mitigation drivers'!T212*SolidStorageN2O)+('Mitigation drivers'!T213*DailyspreadN2O)+('Mitigation drivers'!T214*CompostN2O)+('Mitigation drivers'!T215*ManwithbedN2O)+('Mitigation drivers'!T216*PMwithoutlitterN2O)+('Mitigation drivers'!T217*PMwithlitterN2O)+('Mitigation drivers'!T219*DigesterN2OEF))/100</f>
        <v>1.4700000000000001E-2</v>
      </c>
      <c r="Z70" s="26">
        <f>(('Mitigation drivers'!U209*LagoonN2O)+('Mitigation drivers'!U210*LiquidN2O)+('Mitigation drivers'!U211*DrylotN2O)+('Mitigation drivers'!U212*SolidStorageN2O)+('Mitigation drivers'!U213*DailyspreadN2O)+('Mitigation drivers'!U214*CompostN2O)+('Mitigation drivers'!U215*ManwithbedN2O)+('Mitigation drivers'!U216*PMwithoutlitterN2O)+('Mitigation drivers'!U217*PMwithlitterN2O)+('Mitigation drivers'!U219*DigesterN2OEF))/100</f>
        <v>1.4700000000000001E-2</v>
      </c>
      <c r="AA70" s="26">
        <f>(('Mitigation drivers'!V209*LagoonN2O)+('Mitigation drivers'!V210*LiquidN2O)+('Mitigation drivers'!V211*DrylotN2O)+('Mitigation drivers'!V212*SolidStorageN2O)+('Mitigation drivers'!V213*DailyspreadN2O)+('Mitigation drivers'!V214*CompostN2O)+('Mitigation drivers'!V215*ManwithbedN2O)+('Mitigation drivers'!V216*PMwithoutlitterN2O)+('Mitigation drivers'!V217*PMwithlitterN2O)+('Mitigation drivers'!V219*DigesterN2OEF))/100</f>
        <v>1.4700000000000001E-2</v>
      </c>
      <c r="AB70" s="26">
        <f>(('Mitigation drivers'!W209*LagoonN2O)+('Mitigation drivers'!W210*LiquidN2O)+('Mitigation drivers'!W211*DrylotN2O)+('Mitigation drivers'!W212*SolidStorageN2O)+('Mitigation drivers'!W213*DailyspreadN2O)+('Mitigation drivers'!W214*CompostN2O)+('Mitigation drivers'!W215*ManwithbedN2O)+('Mitigation drivers'!W216*PMwithoutlitterN2O)+('Mitigation drivers'!W217*PMwithlitterN2O)+('Mitigation drivers'!W219*DigesterN2OEF))/100</f>
        <v>1.4700000000000001E-2</v>
      </c>
      <c r="AC70" s="26">
        <f>(('Mitigation drivers'!X209*LagoonN2O)+('Mitigation drivers'!X210*LiquidN2O)+('Mitigation drivers'!X211*DrylotN2O)+('Mitigation drivers'!X212*SolidStorageN2O)+('Mitigation drivers'!X213*DailyspreadN2O)+('Mitigation drivers'!X214*CompostN2O)+('Mitigation drivers'!X215*ManwithbedN2O)+('Mitigation drivers'!X216*PMwithoutlitterN2O)+('Mitigation drivers'!X217*PMwithlitterN2O)+('Mitigation drivers'!X219*DigesterN2OEF))/100</f>
        <v>1.4700000000000001E-2</v>
      </c>
      <c r="AD70" s="26">
        <f>(('Mitigation drivers'!Y209*LagoonN2O)+('Mitigation drivers'!Y210*LiquidN2O)+('Mitigation drivers'!Y211*DrylotN2O)+('Mitigation drivers'!Y212*SolidStorageN2O)+('Mitigation drivers'!Y213*DailyspreadN2O)+('Mitigation drivers'!Y214*CompostN2O)+('Mitigation drivers'!Y215*ManwithbedN2O)+('Mitigation drivers'!Y216*PMwithoutlitterN2O)+('Mitigation drivers'!Y217*PMwithlitterN2O)+('Mitigation drivers'!Y219*DigesterN2OEF))/100</f>
        <v>1.4700000000000001E-2</v>
      </c>
      <c r="AE70" s="26">
        <f>(('Mitigation drivers'!Z209*LagoonN2O)+('Mitigation drivers'!Z210*LiquidN2O)+('Mitigation drivers'!Z211*DrylotN2O)+('Mitigation drivers'!Z212*SolidStorageN2O)+('Mitigation drivers'!Z213*DailyspreadN2O)+('Mitigation drivers'!Z214*CompostN2O)+('Mitigation drivers'!Z215*ManwithbedN2O)+('Mitigation drivers'!Z216*PMwithoutlitterN2O)+('Mitigation drivers'!Z217*PMwithlitterN2O)+('Mitigation drivers'!Z219*DigesterN2OEF))/100</f>
        <v>1.4700000000000001E-2</v>
      </c>
      <c r="AF70" s="26">
        <f>(('Mitigation drivers'!AA209*LagoonN2O)+('Mitigation drivers'!AA210*LiquidN2O)+('Mitigation drivers'!AA211*DrylotN2O)+('Mitigation drivers'!AA212*SolidStorageN2O)+('Mitigation drivers'!AA213*DailyspreadN2O)+('Mitigation drivers'!AA214*CompostN2O)+('Mitigation drivers'!AA215*ManwithbedN2O)+('Mitigation drivers'!AA216*PMwithoutlitterN2O)+('Mitigation drivers'!AA217*PMwithlitterN2O)+('Mitigation drivers'!AA219*DigesterN2OEF))/100</f>
        <v>1.4700000000000001E-2</v>
      </c>
      <c r="AG70" s="26">
        <f>(('Mitigation drivers'!AB209*LagoonN2O)+('Mitigation drivers'!AB210*LiquidN2O)+('Mitigation drivers'!AB211*DrylotN2O)+('Mitigation drivers'!AB212*SolidStorageN2O)+('Mitigation drivers'!AB213*DailyspreadN2O)+('Mitigation drivers'!AB214*CompostN2O)+('Mitigation drivers'!AB215*ManwithbedN2O)+('Mitigation drivers'!AB216*PMwithoutlitterN2O)+('Mitigation drivers'!AB217*PMwithlitterN2O)+('Mitigation drivers'!AB219*DigesterN2OEF))/100</f>
        <v>1.4700000000000001E-2</v>
      </c>
      <c r="AH70" s="26">
        <f>(('Mitigation drivers'!AC209*LagoonN2O)+('Mitigation drivers'!AC210*LiquidN2O)+('Mitigation drivers'!AC211*DrylotN2O)+('Mitigation drivers'!AC212*SolidStorageN2O)+('Mitigation drivers'!AC213*DailyspreadN2O)+('Mitigation drivers'!AC214*CompostN2O)+('Mitigation drivers'!AC215*ManwithbedN2O)+('Mitigation drivers'!AC216*PMwithoutlitterN2O)+('Mitigation drivers'!AC217*PMwithlitterN2O)+('Mitigation drivers'!AC219*DigesterN2OEF))/100</f>
        <v>1.4700000000000001E-2</v>
      </c>
      <c r="AI70" s="26">
        <f>(('Mitigation drivers'!AD209*LagoonN2O)+('Mitigation drivers'!AD210*LiquidN2O)+('Mitigation drivers'!AD211*DrylotN2O)+('Mitigation drivers'!AD212*SolidStorageN2O)+('Mitigation drivers'!AD213*DailyspreadN2O)+('Mitigation drivers'!AD214*CompostN2O)+('Mitigation drivers'!AD215*ManwithbedN2O)+('Mitigation drivers'!AD216*PMwithoutlitterN2O)+('Mitigation drivers'!AD217*PMwithlitterN2O)+('Mitigation drivers'!AD219*DigesterN2OEF))/100</f>
        <v>1.4700000000000001E-2</v>
      </c>
      <c r="AJ70" s="26">
        <f>(('Mitigation drivers'!AE209*LagoonN2O)+('Mitigation drivers'!AE210*LiquidN2O)+('Mitigation drivers'!AE211*DrylotN2O)+('Mitigation drivers'!AE212*SolidStorageN2O)+('Mitigation drivers'!AE213*DailyspreadN2O)+('Mitigation drivers'!AE214*CompostN2O)+('Mitigation drivers'!AE215*ManwithbedN2O)+('Mitigation drivers'!AE216*PMwithoutlitterN2O)+('Mitigation drivers'!AE217*PMwithlitterN2O)+('Mitigation drivers'!AE219*DigesterN2OEF))/100</f>
        <v>1.4700000000000001E-2</v>
      </c>
      <c r="AK70" s="26">
        <f>(('Mitigation drivers'!AF209*LagoonN2O)+('Mitigation drivers'!AF210*LiquidN2O)+('Mitigation drivers'!AF211*DrylotN2O)+('Mitigation drivers'!AF212*SolidStorageN2O)+('Mitigation drivers'!AF213*DailyspreadN2O)+('Mitigation drivers'!AF214*CompostN2O)+('Mitigation drivers'!AF215*ManwithbedN2O)+('Mitigation drivers'!AF216*PMwithoutlitterN2O)+('Mitigation drivers'!AF217*PMwithlitterN2O)+('Mitigation drivers'!AF219*DigesterN2OEF))/100</f>
        <v>1.4700000000000001E-2</v>
      </c>
      <c r="AL70" s="26">
        <f>(('Mitigation drivers'!AG209*LagoonN2O)+('Mitigation drivers'!AG210*LiquidN2O)+('Mitigation drivers'!AG211*DrylotN2O)+('Mitigation drivers'!AG212*SolidStorageN2O)+('Mitigation drivers'!AG213*DailyspreadN2O)+('Mitigation drivers'!AG214*CompostN2O)+('Mitigation drivers'!AG215*ManwithbedN2O)+('Mitigation drivers'!AG216*PMwithoutlitterN2O)+('Mitigation drivers'!AG217*PMwithlitterN2O)+('Mitigation drivers'!AG219*DigesterN2OEF))/100</f>
        <v>1.4700000000000001E-2</v>
      </c>
      <c r="AM70" s="26">
        <f>(('Mitigation drivers'!AH209*LagoonN2O)+('Mitigation drivers'!AH210*LiquidN2O)+('Mitigation drivers'!AH211*DrylotN2O)+('Mitigation drivers'!AH212*SolidStorageN2O)+('Mitigation drivers'!AH213*DailyspreadN2O)+('Mitigation drivers'!AH214*CompostN2O)+('Mitigation drivers'!AH215*ManwithbedN2O)+('Mitigation drivers'!AH216*PMwithoutlitterN2O)+('Mitigation drivers'!AH217*PMwithlitterN2O)+('Mitigation drivers'!AH219*DigesterN2OEF))/100</f>
        <v>1.4700000000000001E-2</v>
      </c>
      <c r="AN70" s="26">
        <f>(('Mitigation drivers'!AI209*LagoonN2O)+('Mitigation drivers'!AI210*LiquidN2O)+('Mitigation drivers'!AI211*DrylotN2O)+('Mitigation drivers'!AI212*SolidStorageN2O)+('Mitigation drivers'!AI213*DailyspreadN2O)+('Mitigation drivers'!AI214*CompostN2O)+('Mitigation drivers'!AI215*ManwithbedN2O)+('Mitigation drivers'!AI216*PMwithoutlitterN2O)+('Mitigation drivers'!AI217*PMwithlitterN2O)+('Mitigation drivers'!AI219*DigesterN2OEF))/100</f>
        <v>1.4700000000000001E-2</v>
      </c>
      <c r="AO70" s="26">
        <f>(('Mitigation drivers'!AJ209*LagoonN2O)+('Mitigation drivers'!AJ210*LiquidN2O)+('Mitigation drivers'!AJ211*DrylotN2O)+('Mitigation drivers'!AJ212*SolidStorageN2O)+('Mitigation drivers'!AJ213*DailyspreadN2O)+('Mitigation drivers'!AJ214*CompostN2O)+('Mitigation drivers'!AJ215*ManwithbedN2O)+('Mitigation drivers'!AJ216*PMwithoutlitterN2O)+('Mitigation drivers'!AJ217*PMwithlitterN2O)+('Mitigation drivers'!AJ219*DigesterN2OEF))/100</f>
        <v>1.4700000000000001E-2</v>
      </c>
    </row>
    <row r="71" spans="1:41" x14ac:dyDescent="0.25">
      <c r="A71" t="str">
        <f t="shared" si="30"/>
        <v>3A Livestock</v>
      </c>
      <c r="B71" t="str">
        <f t="shared" si="8"/>
        <v>3A2 Manure management (N2O)</v>
      </c>
      <c r="C71" t="str">
        <f>'Activity data'!C22</f>
        <v>3A2i Poultry</v>
      </c>
      <c r="D71" t="str">
        <f>'Activity data'!D22</f>
        <v>Subsistence broilers</v>
      </c>
      <c r="E71" t="str">
        <f t="shared" si="27"/>
        <v>Manure management EF</v>
      </c>
      <c r="F71" t="str">
        <f t="shared" si="28"/>
        <v>N2O</v>
      </c>
      <c r="G71" t="str">
        <f t="shared" si="29"/>
        <v>kg N2O-N/kg Nex</v>
      </c>
      <c r="H71" s="26">
        <f>(('Mitigation drivers'!C221*LagoonN2O)+('Mitigation drivers'!C222*LiquidN2O)+('Mitigation drivers'!C223*DrylotN2O)+('Mitigation drivers'!C224*SolidStorageN2O)+('Mitigation drivers'!C225*DailyspreadN2O)+('Mitigation drivers'!C226*CompostN2O)+('Mitigation drivers'!C227*ManwithbedN2O)+('Mitigation drivers'!C228*PMwithoutlitterN2O)+('Mitigation drivers'!C229*PMwithlitterN2O)+('Mitigation drivers'!C231*DigesterN2OEF))/100</f>
        <v>1.6449999999999999E-2</v>
      </c>
      <c r="I71" s="26">
        <f>(('Mitigation drivers'!D221*LagoonN2O)+('Mitigation drivers'!D222*LiquidN2O)+('Mitigation drivers'!D223*DrylotN2O)+('Mitigation drivers'!D224*SolidStorageN2O)+('Mitigation drivers'!D225*DailyspreadN2O)+('Mitigation drivers'!D226*CompostN2O)+('Mitigation drivers'!D227*ManwithbedN2O)+('Mitigation drivers'!D228*PMwithoutlitterN2O)+('Mitigation drivers'!D229*PMwithlitterN2O)+('Mitigation drivers'!D231*DigesterN2OEF))/100</f>
        <v>1.6449999999999999E-2</v>
      </c>
      <c r="J71" s="26">
        <f>(('Mitigation drivers'!E221*LagoonN2O)+('Mitigation drivers'!E222*LiquidN2O)+('Mitigation drivers'!E223*DrylotN2O)+('Mitigation drivers'!E224*SolidStorageN2O)+('Mitigation drivers'!E225*DailyspreadN2O)+('Mitigation drivers'!E226*CompostN2O)+('Mitigation drivers'!E227*ManwithbedN2O)+('Mitigation drivers'!E228*PMwithoutlitterN2O)+('Mitigation drivers'!E229*PMwithlitterN2O)+('Mitigation drivers'!E231*DigesterN2OEF))/100</f>
        <v>1.6449999999999999E-2</v>
      </c>
      <c r="K71" s="26">
        <f>(('Mitigation drivers'!F221*LagoonN2O)+('Mitigation drivers'!F222*LiquidN2O)+('Mitigation drivers'!F223*DrylotN2O)+('Mitigation drivers'!F224*SolidStorageN2O)+('Mitigation drivers'!F225*DailyspreadN2O)+('Mitigation drivers'!F226*CompostN2O)+('Mitigation drivers'!F227*ManwithbedN2O)+('Mitigation drivers'!F228*PMwithoutlitterN2O)+('Mitigation drivers'!F229*PMwithlitterN2O)+('Mitigation drivers'!F231*DigesterN2OEF))/100</f>
        <v>1.6449999999999999E-2</v>
      </c>
      <c r="L71" s="26">
        <f>(('Mitigation drivers'!G221*LagoonN2O)+('Mitigation drivers'!G222*LiquidN2O)+('Mitigation drivers'!G223*DrylotN2O)+('Mitigation drivers'!G224*SolidStorageN2O)+('Mitigation drivers'!G225*DailyspreadN2O)+('Mitigation drivers'!G226*CompostN2O)+('Mitigation drivers'!G227*ManwithbedN2O)+('Mitigation drivers'!G228*PMwithoutlitterN2O)+('Mitigation drivers'!G229*PMwithlitterN2O)+('Mitigation drivers'!G231*DigesterN2OEF))/100</f>
        <v>1.6449999999999999E-2</v>
      </c>
      <c r="M71" s="26">
        <f>(('Mitigation drivers'!H221*LagoonN2O)+('Mitigation drivers'!H222*LiquidN2O)+('Mitigation drivers'!H223*DrylotN2O)+('Mitigation drivers'!H224*SolidStorageN2O)+('Mitigation drivers'!H225*DailyspreadN2O)+('Mitigation drivers'!H226*CompostN2O)+('Mitigation drivers'!H227*ManwithbedN2O)+('Mitigation drivers'!H228*PMwithoutlitterN2O)+('Mitigation drivers'!H229*PMwithlitterN2O)+('Mitigation drivers'!H231*DigesterN2OEF))/100</f>
        <v>1.6449999999999999E-2</v>
      </c>
      <c r="N71" s="26">
        <f>(('Mitigation drivers'!I221*LagoonN2O)+('Mitigation drivers'!I222*LiquidN2O)+('Mitigation drivers'!I223*DrylotN2O)+('Mitigation drivers'!I224*SolidStorageN2O)+('Mitigation drivers'!I225*DailyspreadN2O)+('Mitigation drivers'!I226*CompostN2O)+('Mitigation drivers'!I227*ManwithbedN2O)+('Mitigation drivers'!I228*PMwithoutlitterN2O)+('Mitigation drivers'!I229*PMwithlitterN2O)+('Mitigation drivers'!I231*DigesterN2OEF))/100</f>
        <v>1.6449999999999999E-2</v>
      </c>
      <c r="O71" s="26">
        <f>(('Mitigation drivers'!J221*LagoonN2O)+('Mitigation drivers'!J222*LiquidN2O)+('Mitigation drivers'!J223*DrylotN2O)+('Mitigation drivers'!J224*SolidStorageN2O)+('Mitigation drivers'!J225*DailyspreadN2O)+('Mitigation drivers'!J226*CompostN2O)+('Mitigation drivers'!J227*ManwithbedN2O)+('Mitigation drivers'!J228*PMwithoutlitterN2O)+('Mitigation drivers'!J229*PMwithlitterN2O)+('Mitigation drivers'!J231*DigesterN2OEF))/100</f>
        <v>1.6449999999999999E-2</v>
      </c>
      <c r="P71" s="26">
        <f>(('Mitigation drivers'!K221*LagoonN2O)+('Mitigation drivers'!K222*LiquidN2O)+('Mitigation drivers'!K223*DrylotN2O)+('Mitigation drivers'!K224*SolidStorageN2O)+('Mitigation drivers'!K225*DailyspreadN2O)+('Mitigation drivers'!K226*CompostN2O)+('Mitigation drivers'!K227*ManwithbedN2O)+('Mitigation drivers'!K228*PMwithoutlitterN2O)+('Mitigation drivers'!K229*PMwithlitterN2O)+('Mitigation drivers'!K231*DigesterN2OEF))/100</f>
        <v>1.6449999999999999E-2</v>
      </c>
      <c r="Q71" s="26">
        <f>(('Mitigation drivers'!L221*LagoonN2O)+('Mitigation drivers'!L222*LiquidN2O)+('Mitigation drivers'!L223*DrylotN2O)+('Mitigation drivers'!L224*SolidStorageN2O)+('Mitigation drivers'!L225*DailyspreadN2O)+('Mitigation drivers'!L226*CompostN2O)+('Mitigation drivers'!L227*ManwithbedN2O)+('Mitigation drivers'!L228*PMwithoutlitterN2O)+('Mitigation drivers'!L229*PMwithlitterN2O)+('Mitigation drivers'!L231*DigesterN2OEF))/100</f>
        <v>1.6449999999999999E-2</v>
      </c>
      <c r="R71" s="26">
        <f>(('Mitigation drivers'!M221*LagoonN2O)+('Mitigation drivers'!M222*LiquidN2O)+('Mitigation drivers'!M223*DrylotN2O)+('Mitigation drivers'!M224*SolidStorageN2O)+('Mitigation drivers'!M225*DailyspreadN2O)+('Mitigation drivers'!M226*CompostN2O)+('Mitigation drivers'!M227*ManwithbedN2O)+('Mitigation drivers'!M228*PMwithoutlitterN2O)+('Mitigation drivers'!M229*PMwithlitterN2O)+('Mitigation drivers'!M231*DigesterN2OEF))/100</f>
        <v>1.6449999999999999E-2</v>
      </c>
      <c r="S71" s="26">
        <f>(('Mitigation drivers'!N221*LagoonN2O)+('Mitigation drivers'!N222*LiquidN2O)+('Mitigation drivers'!N223*DrylotN2O)+('Mitigation drivers'!N224*SolidStorageN2O)+('Mitigation drivers'!N225*DailyspreadN2O)+('Mitigation drivers'!N226*CompostN2O)+('Mitigation drivers'!N227*ManwithbedN2O)+('Mitigation drivers'!N228*PMwithoutlitterN2O)+('Mitigation drivers'!N229*PMwithlitterN2O)+('Mitigation drivers'!N231*DigesterN2OEF))/100</f>
        <v>1.6449999999999999E-2</v>
      </c>
      <c r="T71" s="26">
        <f>(('Mitigation drivers'!O221*LagoonN2O)+('Mitigation drivers'!O222*LiquidN2O)+('Mitigation drivers'!O223*DrylotN2O)+('Mitigation drivers'!O224*SolidStorageN2O)+('Mitigation drivers'!O225*DailyspreadN2O)+('Mitigation drivers'!O226*CompostN2O)+('Mitigation drivers'!O227*ManwithbedN2O)+('Mitigation drivers'!O228*PMwithoutlitterN2O)+('Mitigation drivers'!O229*PMwithlitterN2O)+('Mitigation drivers'!O231*DigesterN2OEF))/100</f>
        <v>1.6449999999999999E-2</v>
      </c>
      <c r="U71" s="26">
        <f>(('Mitigation drivers'!P221*LagoonN2O)+('Mitigation drivers'!P222*LiquidN2O)+('Mitigation drivers'!P223*DrylotN2O)+('Mitigation drivers'!P224*SolidStorageN2O)+('Mitigation drivers'!P225*DailyspreadN2O)+('Mitigation drivers'!P226*CompostN2O)+('Mitigation drivers'!P227*ManwithbedN2O)+('Mitigation drivers'!P228*PMwithoutlitterN2O)+('Mitigation drivers'!P229*PMwithlitterN2O)+('Mitigation drivers'!P231*DigesterN2OEF))/100</f>
        <v>1.6449999999999999E-2</v>
      </c>
      <c r="V71" s="26">
        <f>(('Mitigation drivers'!Q221*LagoonN2O)+('Mitigation drivers'!Q222*LiquidN2O)+('Mitigation drivers'!Q223*DrylotN2O)+('Mitigation drivers'!Q224*SolidStorageN2O)+('Mitigation drivers'!Q225*DailyspreadN2O)+('Mitigation drivers'!Q226*CompostN2O)+('Mitigation drivers'!Q227*ManwithbedN2O)+('Mitigation drivers'!Q228*PMwithoutlitterN2O)+('Mitigation drivers'!Q229*PMwithlitterN2O)+('Mitigation drivers'!Q231*DigesterN2OEF))/100</f>
        <v>1.6449999999999999E-2</v>
      </c>
      <c r="W71" s="26">
        <f>(('Mitigation drivers'!R221*LagoonN2O)+('Mitigation drivers'!R222*LiquidN2O)+('Mitigation drivers'!R223*DrylotN2O)+('Mitigation drivers'!R224*SolidStorageN2O)+('Mitigation drivers'!R225*DailyspreadN2O)+('Mitigation drivers'!R226*CompostN2O)+('Mitigation drivers'!R227*ManwithbedN2O)+('Mitigation drivers'!R228*PMwithoutlitterN2O)+('Mitigation drivers'!R229*PMwithlitterN2O)+('Mitigation drivers'!R231*DigesterN2OEF))/100</f>
        <v>1.6449999999999999E-2</v>
      </c>
      <c r="X71" s="26">
        <f>(('Mitigation drivers'!S221*LagoonN2O)+('Mitigation drivers'!S222*LiquidN2O)+('Mitigation drivers'!S223*DrylotN2O)+('Mitigation drivers'!S224*SolidStorageN2O)+('Mitigation drivers'!S225*DailyspreadN2O)+('Mitigation drivers'!S226*CompostN2O)+('Mitigation drivers'!S227*ManwithbedN2O)+('Mitigation drivers'!S228*PMwithoutlitterN2O)+('Mitigation drivers'!S229*PMwithlitterN2O)+('Mitigation drivers'!S231*DigesterN2OEF))/100</f>
        <v>1.6449999999999999E-2</v>
      </c>
      <c r="Y71" s="26">
        <f>(('Mitigation drivers'!T221*LagoonN2O)+('Mitigation drivers'!T222*LiquidN2O)+('Mitigation drivers'!T223*DrylotN2O)+('Mitigation drivers'!T224*SolidStorageN2O)+('Mitigation drivers'!T225*DailyspreadN2O)+('Mitigation drivers'!T226*CompostN2O)+('Mitigation drivers'!T227*ManwithbedN2O)+('Mitigation drivers'!T228*PMwithoutlitterN2O)+('Mitigation drivers'!T229*PMwithlitterN2O)+('Mitigation drivers'!T231*DigesterN2OEF))/100</f>
        <v>1.6449999999999999E-2</v>
      </c>
      <c r="Z71" s="26">
        <f>(('Mitigation drivers'!U221*LagoonN2O)+('Mitigation drivers'!U222*LiquidN2O)+('Mitigation drivers'!U223*DrylotN2O)+('Mitigation drivers'!U224*SolidStorageN2O)+('Mitigation drivers'!U225*DailyspreadN2O)+('Mitigation drivers'!U226*CompostN2O)+('Mitigation drivers'!U227*ManwithbedN2O)+('Mitigation drivers'!U228*PMwithoutlitterN2O)+('Mitigation drivers'!U229*PMwithlitterN2O)+('Mitigation drivers'!U231*DigesterN2OEF))/100</f>
        <v>1.6449999999999999E-2</v>
      </c>
      <c r="AA71" s="26">
        <f>(('Mitigation drivers'!V221*LagoonN2O)+('Mitigation drivers'!V222*LiquidN2O)+('Mitigation drivers'!V223*DrylotN2O)+('Mitigation drivers'!V224*SolidStorageN2O)+('Mitigation drivers'!V225*DailyspreadN2O)+('Mitigation drivers'!V226*CompostN2O)+('Mitigation drivers'!V227*ManwithbedN2O)+('Mitigation drivers'!V228*PMwithoutlitterN2O)+('Mitigation drivers'!V229*PMwithlitterN2O)+('Mitigation drivers'!V231*DigesterN2OEF))/100</f>
        <v>1.6449999999999999E-2</v>
      </c>
      <c r="AB71" s="26">
        <f>(('Mitigation drivers'!W221*LagoonN2O)+('Mitigation drivers'!W222*LiquidN2O)+('Mitigation drivers'!W223*DrylotN2O)+('Mitigation drivers'!W224*SolidStorageN2O)+('Mitigation drivers'!W225*DailyspreadN2O)+('Mitigation drivers'!W226*CompostN2O)+('Mitigation drivers'!W227*ManwithbedN2O)+('Mitigation drivers'!W228*PMwithoutlitterN2O)+('Mitigation drivers'!W229*PMwithlitterN2O)+('Mitigation drivers'!W231*DigesterN2OEF))/100</f>
        <v>1.6449999999999999E-2</v>
      </c>
      <c r="AC71" s="26">
        <f>(('Mitigation drivers'!X221*LagoonN2O)+('Mitigation drivers'!X222*LiquidN2O)+('Mitigation drivers'!X223*DrylotN2O)+('Mitigation drivers'!X224*SolidStorageN2O)+('Mitigation drivers'!X225*DailyspreadN2O)+('Mitigation drivers'!X226*CompostN2O)+('Mitigation drivers'!X227*ManwithbedN2O)+('Mitigation drivers'!X228*PMwithoutlitterN2O)+('Mitigation drivers'!X229*PMwithlitterN2O)+('Mitigation drivers'!X231*DigesterN2OEF))/100</f>
        <v>1.6449999999999999E-2</v>
      </c>
      <c r="AD71" s="26">
        <f>(('Mitigation drivers'!Y221*LagoonN2O)+('Mitigation drivers'!Y222*LiquidN2O)+('Mitigation drivers'!Y223*DrylotN2O)+('Mitigation drivers'!Y224*SolidStorageN2O)+('Mitigation drivers'!Y225*DailyspreadN2O)+('Mitigation drivers'!Y226*CompostN2O)+('Mitigation drivers'!Y227*ManwithbedN2O)+('Mitigation drivers'!Y228*PMwithoutlitterN2O)+('Mitigation drivers'!Y229*PMwithlitterN2O)+('Mitigation drivers'!Y231*DigesterN2OEF))/100</f>
        <v>1.6449999999999999E-2</v>
      </c>
      <c r="AE71" s="26">
        <f>(('Mitigation drivers'!Z221*LagoonN2O)+('Mitigation drivers'!Z222*LiquidN2O)+('Mitigation drivers'!Z223*DrylotN2O)+('Mitigation drivers'!Z224*SolidStorageN2O)+('Mitigation drivers'!Z225*DailyspreadN2O)+('Mitigation drivers'!Z226*CompostN2O)+('Mitigation drivers'!Z227*ManwithbedN2O)+('Mitigation drivers'!Z228*PMwithoutlitterN2O)+('Mitigation drivers'!Z229*PMwithlitterN2O)+('Mitigation drivers'!Z231*DigesterN2OEF))/100</f>
        <v>1.6449999999999999E-2</v>
      </c>
      <c r="AF71" s="26">
        <f>(('Mitigation drivers'!AA221*LagoonN2O)+('Mitigation drivers'!AA222*LiquidN2O)+('Mitigation drivers'!AA223*DrylotN2O)+('Mitigation drivers'!AA224*SolidStorageN2O)+('Mitigation drivers'!AA225*DailyspreadN2O)+('Mitigation drivers'!AA226*CompostN2O)+('Mitigation drivers'!AA227*ManwithbedN2O)+('Mitigation drivers'!AA228*PMwithoutlitterN2O)+('Mitigation drivers'!AA229*PMwithlitterN2O)+('Mitigation drivers'!AA231*DigesterN2OEF))/100</f>
        <v>1.6449999999999999E-2</v>
      </c>
      <c r="AG71" s="26">
        <f>(('Mitigation drivers'!AB221*LagoonN2O)+('Mitigation drivers'!AB222*LiquidN2O)+('Mitigation drivers'!AB223*DrylotN2O)+('Mitigation drivers'!AB224*SolidStorageN2O)+('Mitigation drivers'!AB225*DailyspreadN2O)+('Mitigation drivers'!AB226*CompostN2O)+('Mitigation drivers'!AB227*ManwithbedN2O)+('Mitigation drivers'!AB228*PMwithoutlitterN2O)+('Mitigation drivers'!AB229*PMwithlitterN2O)+('Mitigation drivers'!AB231*DigesterN2OEF))/100</f>
        <v>1.6449999999999999E-2</v>
      </c>
      <c r="AH71" s="26">
        <f>(('Mitigation drivers'!AC221*LagoonN2O)+('Mitigation drivers'!AC222*LiquidN2O)+('Mitigation drivers'!AC223*DrylotN2O)+('Mitigation drivers'!AC224*SolidStorageN2O)+('Mitigation drivers'!AC225*DailyspreadN2O)+('Mitigation drivers'!AC226*CompostN2O)+('Mitigation drivers'!AC227*ManwithbedN2O)+('Mitigation drivers'!AC228*PMwithoutlitterN2O)+('Mitigation drivers'!AC229*PMwithlitterN2O)+('Mitigation drivers'!AC231*DigesterN2OEF))/100</f>
        <v>1.6449999999999999E-2</v>
      </c>
      <c r="AI71" s="26">
        <f>(('Mitigation drivers'!AD221*LagoonN2O)+('Mitigation drivers'!AD222*LiquidN2O)+('Mitigation drivers'!AD223*DrylotN2O)+('Mitigation drivers'!AD224*SolidStorageN2O)+('Mitigation drivers'!AD225*DailyspreadN2O)+('Mitigation drivers'!AD226*CompostN2O)+('Mitigation drivers'!AD227*ManwithbedN2O)+('Mitigation drivers'!AD228*PMwithoutlitterN2O)+('Mitigation drivers'!AD229*PMwithlitterN2O)+('Mitigation drivers'!AD231*DigesterN2OEF))/100</f>
        <v>1.6449999999999999E-2</v>
      </c>
      <c r="AJ71" s="26">
        <f>(('Mitigation drivers'!AE221*LagoonN2O)+('Mitigation drivers'!AE222*LiquidN2O)+('Mitigation drivers'!AE223*DrylotN2O)+('Mitigation drivers'!AE224*SolidStorageN2O)+('Mitigation drivers'!AE225*DailyspreadN2O)+('Mitigation drivers'!AE226*CompostN2O)+('Mitigation drivers'!AE227*ManwithbedN2O)+('Mitigation drivers'!AE228*PMwithoutlitterN2O)+('Mitigation drivers'!AE229*PMwithlitterN2O)+('Mitigation drivers'!AE231*DigesterN2OEF))/100</f>
        <v>1.6449999999999999E-2</v>
      </c>
      <c r="AK71" s="26">
        <f>(('Mitigation drivers'!AF221*LagoonN2O)+('Mitigation drivers'!AF222*LiquidN2O)+('Mitigation drivers'!AF223*DrylotN2O)+('Mitigation drivers'!AF224*SolidStorageN2O)+('Mitigation drivers'!AF225*DailyspreadN2O)+('Mitigation drivers'!AF226*CompostN2O)+('Mitigation drivers'!AF227*ManwithbedN2O)+('Mitigation drivers'!AF228*PMwithoutlitterN2O)+('Mitigation drivers'!AF229*PMwithlitterN2O)+('Mitigation drivers'!AF231*DigesterN2OEF))/100</f>
        <v>1.6449999999999999E-2</v>
      </c>
      <c r="AL71" s="26">
        <f>(('Mitigation drivers'!AG221*LagoonN2O)+('Mitigation drivers'!AG222*LiquidN2O)+('Mitigation drivers'!AG223*DrylotN2O)+('Mitigation drivers'!AG224*SolidStorageN2O)+('Mitigation drivers'!AG225*DailyspreadN2O)+('Mitigation drivers'!AG226*CompostN2O)+('Mitigation drivers'!AG227*ManwithbedN2O)+('Mitigation drivers'!AG228*PMwithoutlitterN2O)+('Mitigation drivers'!AG229*PMwithlitterN2O)+('Mitigation drivers'!AG231*DigesterN2OEF))/100</f>
        <v>1.6449999999999999E-2</v>
      </c>
      <c r="AM71" s="26">
        <f>(('Mitigation drivers'!AH221*LagoonN2O)+('Mitigation drivers'!AH222*LiquidN2O)+('Mitigation drivers'!AH223*DrylotN2O)+('Mitigation drivers'!AH224*SolidStorageN2O)+('Mitigation drivers'!AH225*DailyspreadN2O)+('Mitigation drivers'!AH226*CompostN2O)+('Mitigation drivers'!AH227*ManwithbedN2O)+('Mitigation drivers'!AH228*PMwithoutlitterN2O)+('Mitigation drivers'!AH229*PMwithlitterN2O)+('Mitigation drivers'!AH231*DigesterN2OEF))/100</f>
        <v>1.6449999999999999E-2</v>
      </c>
      <c r="AN71" s="26">
        <f>(('Mitigation drivers'!AI221*LagoonN2O)+('Mitigation drivers'!AI222*LiquidN2O)+('Mitigation drivers'!AI223*DrylotN2O)+('Mitigation drivers'!AI224*SolidStorageN2O)+('Mitigation drivers'!AI225*DailyspreadN2O)+('Mitigation drivers'!AI226*CompostN2O)+('Mitigation drivers'!AI227*ManwithbedN2O)+('Mitigation drivers'!AI228*PMwithoutlitterN2O)+('Mitigation drivers'!AI229*PMwithlitterN2O)+('Mitigation drivers'!AI231*DigesterN2OEF))/100</f>
        <v>1.6449999999999999E-2</v>
      </c>
      <c r="AO71" s="26">
        <f>(('Mitigation drivers'!AJ221*LagoonN2O)+('Mitigation drivers'!AJ222*LiquidN2O)+('Mitigation drivers'!AJ223*DrylotN2O)+('Mitigation drivers'!AJ224*SolidStorageN2O)+('Mitigation drivers'!AJ225*DailyspreadN2O)+('Mitigation drivers'!AJ226*CompostN2O)+('Mitigation drivers'!AJ227*ManwithbedN2O)+('Mitigation drivers'!AJ228*PMwithoutlitterN2O)+('Mitigation drivers'!AJ229*PMwithlitterN2O)+('Mitigation drivers'!AJ231*DigesterN2OEF))/100</f>
        <v>1.6449999999999999E-2</v>
      </c>
    </row>
    <row r="73" spans="1:41" x14ac:dyDescent="0.25">
      <c r="A73" t="str">
        <f>'IPCC Categories'!A5</f>
        <v>3A Livestock</v>
      </c>
      <c r="B73" t="str">
        <f>'IPCC Categories'!B20</f>
        <v>3A2 Manure management (N2O)</v>
      </c>
      <c r="C73" t="str">
        <f>'IPCC Categories'!B20</f>
        <v>3A2 Manure management (N2O)</v>
      </c>
      <c r="D73" t="s">
        <v>294</v>
      </c>
      <c r="E73" t="s">
        <v>293</v>
      </c>
      <c r="F73" t="s">
        <v>139</v>
      </c>
      <c r="G73" t="s">
        <v>145</v>
      </c>
      <c r="H73" s="27">
        <v>0</v>
      </c>
    </row>
    <row r="74" spans="1:41" x14ac:dyDescent="0.25">
      <c r="A74" t="str">
        <f>A73</f>
        <v>3A Livestock</v>
      </c>
      <c r="B74" t="str">
        <f>B73</f>
        <v>3A2 Manure management (N2O)</v>
      </c>
      <c r="C74" t="str">
        <f>C73</f>
        <v>3A2 Manure management (N2O)</v>
      </c>
      <c r="D74" t="s">
        <v>295</v>
      </c>
      <c r="E74" t="str">
        <f>E73</f>
        <v>Manure EF</v>
      </c>
      <c r="F74" t="str">
        <f>F73</f>
        <v>N2O</v>
      </c>
      <c r="G74" t="str">
        <f>G73</f>
        <v>kg N2O-N/kg Nex</v>
      </c>
      <c r="H74" s="27">
        <v>0</v>
      </c>
    </row>
    <row r="75" spans="1:41" x14ac:dyDescent="0.25">
      <c r="A75" t="str">
        <f t="shared" ref="A75:A82" si="31">A74</f>
        <v>3A Livestock</v>
      </c>
      <c r="B75" t="str">
        <f t="shared" ref="B75:B82" si="32">B74</f>
        <v>3A2 Manure management (N2O)</v>
      </c>
      <c r="C75" t="str">
        <f t="shared" ref="C75:C82" si="33">C74</f>
        <v>3A2 Manure management (N2O)</v>
      </c>
      <c r="D75" t="s">
        <v>296</v>
      </c>
      <c r="E75" t="str">
        <f t="shared" ref="E75:E82" si="34">E74</f>
        <v>Manure EF</v>
      </c>
      <c r="F75" t="str">
        <f t="shared" ref="F75:F82" si="35">F74</f>
        <v>N2O</v>
      </c>
      <c r="G75" t="str">
        <f t="shared" ref="G75:G82" si="36">G74</f>
        <v>kg N2O-N/kg Nex</v>
      </c>
      <c r="H75" s="27">
        <v>0.02</v>
      </c>
    </row>
    <row r="76" spans="1:41" x14ac:dyDescent="0.25">
      <c r="A76" t="str">
        <f t="shared" si="31"/>
        <v>3A Livestock</v>
      </c>
      <c r="B76" t="str">
        <f t="shared" si="32"/>
        <v>3A2 Manure management (N2O)</v>
      </c>
      <c r="C76" t="str">
        <f t="shared" si="33"/>
        <v>3A2 Manure management (N2O)</v>
      </c>
      <c r="D76" t="s">
        <v>297</v>
      </c>
      <c r="E76" t="str">
        <f t="shared" si="34"/>
        <v>Manure EF</v>
      </c>
      <c r="F76" t="str">
        <f t="shared" si="35"/>
        <v>N2O</v>
      </c>
      <c r="G76" t="str">
        <f t="shared" si="36"/>
        <v>kg N2O-N/kg Nex</v>
      </c>
      <c r="H76" s="27">
        <v>5.0000000000000001E-3</v>
      </c>
    </row>
    <row r="77" spans="1:41" x14ac:dyDescent="0.25">
      <c r="A77" t="str">
        <f t="shared" si="31"/>
        <v>3A Livestock</v>
      </c>
      <c r="B77" t="str">
        <f t="shared" si="32"/>
        <v>3A2 Manure management (N2O)</v>
      </c>
      <c r="C77" t="str">
        <f t="shared" si="33"/>
        <v>3A2 Manure management (N2O)</v>
      </c>
      <c r="D77" t="s">
        <v>298</v>
      </c>
      <c r="E77" t="str">
        <f t="shared" si="34"/>
        <v>Manure EF</v>
      </c>
      <c r="F77" t="str">
        <f t="shared" si="35"/>
        <v>N2O</v>
      </c>
      <c r="G77" t="str">
        <f t="shared" si="36"/>
        <v>kg N2O-N/kg Nex</v>
      </c>
      <c r="H77" s="27">
        <v>0</v>
      </c>
    </row>
    <row r="78" spans="1:41" x14ac:dyDescent="0.25">
      <c r="A78" t="str">
        <f t="shared" si="31"/>
        <v>3A Livestock</v>
      </c>
      <c r="B78" t="str">
        <f t="shared" si="32"/>
        <v>3A2 Manure management (N2O)</v>
      </c>
      <c r="C78" t="str">
        <f t="shared" si="33"/>
        <v>3A2 Manure management (N2O)</v>
      </c>
      <c r="D78" t="s">
        <v>299</v>
      </c>
      <c r="E78" t="str">
        <f t="shared" si="34"/>
        <v>Manure EF</v>
      </c>
      <c r="F78" t="str">
        <f t="shared" si="35"/>
        <v>N2O</v>
      </c>
      <c r="G78" t="str">
        <f t="shared" si="36"/>
        <v>kg N2O-N/kg Nex</v>
      </c>
      <c r="H78" s="27">
        <v>6.0000000000000001E-3</v>
      </c>
    </row>
    <row r="79" spans="1:41" x14ac:dyDescent="0.25">
      <c r="A79" t="str">
        <f t="shared" si="31"/>
        <v>3A Livestock</v>
      </c>
      <c r="B79" t="str">
        <f t="shared" si="32"/>
        <v>3A2 Manure management (N2O)</v>
      </c>
      <c r="C79" t="str">
        <f t="shared" si="33"/>
        <v>3A2 Manure management (N2O)</v>
      </c>
      <c r="D79" t="s">
        <v>300</v>
      </c>
      <c r="E79" t="str">
        <f t="shared" si="34"/>
        <v>Manure EF</v>
      </c>
      <c r="F79" t="str">
        <f t="shared" si="35"/>
        <v>N2O</v>
      </c>
      <c r="G79" t="str">
        <f t="shared" si="36"/>
        <v>kg N2O-N/kg Nex</v>
      </c>
      <c r="H79" s="27">
        <v>0.01</v>
      </c>
    </row>
    <row r="80" spans="1:41" x14ac:dyDescent="0.25">
      <c r="A80" t="str">
        <f t="shared" si="31"/>
        <v>3A Livestock</v>
      </c>
      <c r="B80" t="str">
        <f t="shared" si="32"/>
        <v>3A2 Manure management (N2O)</v>
      </c>
      <c r="C80" t="str">
        <f t="shared" si="33"/>
        <v>3A2 Manure management (N2O)</v>
      </c>
      <c r="D80" t="s">
        <v>301</v>
      </c>
      <c r="E80" t="str">
        <f t="shared" si="34"/>
        <v>Manure EF</v>
      </c>
      <c r="F80" t="str">
        <f t="shared" si="35"/>
        <v>N2O</v>
      </c>
      <c r="G80" t="str">
        <f t="shared" si="36"/>
        <v>kg N2O-N/kg Nex</v>
      </c>
      <c r="H80" s="27">
        <v>1E-3</v>
      </c>
    </row>
    <row r="81" spans="1:8" x14ac:dyDescent="0.25">
      <c r="A81" t="str">
        <f t="shared" si="31"/>
        <v>3A Livestock</v>
      </c>
      <c r="B81" t="str">
        <f t="shared" si="32"/>
        <v>3A2 Manure management (N2O)</v>
      </c>
      <c r="C81" t="str">
        <f t="shared" si="33"/>
        <v>3A2 Manure management (N2O)</v>
      </c>
      <c r="D81" t="s">
        <v>302</v>
      </c>
      <c r="E81" t="str">
        <f t="shared" si="34"/>
        <v>Manure EF</v>
      </c>
      <c r="F81" t="str">
        <f t="shared" si="35"/>
        <v>N2O</v>
      </c>
      <c r="G81" t="str">
        <f t="shared" si="36"/>
        <v>kg N2O-N/kg Nex</v>
      </c>
      <c r="H81" s="27">
        <v>1E-3</v>
      </c>
    </row>
    <row r="82" spans="1:8" x14ac:dyDescent="0.25">
      <c r="A82" t="str">
        <f t="shared" si="31"/>
        <v>3A Livestock</v>
      </c>
      <c r="B82" t="str">
        <f t="shared" si="32"/>
        <v>3A2 Manure management (N2O)</v>
      </c>
      <c r="C82" t="str">
        <f t="shared" si="33"/>
        <v>3A2 Manure management (N2O)</v>
      </c>
      <c r="D82" t="s">
        <v>769</v>
      </c>
      <c r="E82" t="str">
        <f t="shared" si="34"/>
        <v>Manure EF</v>
      </c>
      <c r="F82" t="str">
        <f t="shared" si="35"/>
        <v>N2O</v>
      </c>
      <c r="G82" t="str">
        <f t="shared" si="36"/>
        <v>kg N2O-N/kg Nex</v>
      </c>
      <c r="H82" s="27">
        <v>0</v>
      </c>
    </row>
    <row r="84" spans="1:8" x14ac:dyDescent="0.25">
      <c r="A84" t="str">
        <f>'IPCC Categories'!A59</f>
        <v>3C Aggregated and non-CO2 emissions on land</v>
      </c>
      <c r="B84" t="str">
        <f>'IPCC Categories'!B59</f>
        <v>3C1 Biomass burning (CH4)</v>
      </c>
      <c r="C84" t="str">
        <f>'Activity data'!C24</f>
        <v>3C1a Biomass burning in forest land</v>
      </c>
      <c r="D84" t="str">
        <f>'Activity data'!D24</f>
        <v>Indigenous forests</v>
      </c>
      <c r="E84" t="s">
        <v>364</v>
      </c>
      <c r="G84" t="s">
        <v>365</v>
      </c>
      <c r="H84" s="56">
        <v>19.8</v>
      </c>
    </row>
    <row r="85" spans="1:8" x14ac:dyDescent="0.25">
      <c r="A85" t="str">
        <f>A84</f>
        <v>3C Aggregated and non-CO2 emissions on land</v>
      </c>
      <c r="B85" t="str">
        <f>B84</f>
        <v>3C1 Biomass burning (CH4)</v>
      </c>
      <c r="C85" t="str">
        <f>'Activity data'!C25</f>
        <v>3C1a Biomass burning in forest land</v>
      </c>
      <c r="D85" t="str">
        <f>'Activity data'!D25</f>
        <v>Thickets</v>
      </c>
      <c r="E85" t="str">
        <f>E84</f>
        <v>Biomass burning Mb</v>
      </c>
      <c r="G85" t="s">
        <v>365</v>
      </c>
      <c r="H85" s="56">
        <v>1.4</v>
      </c>
    </row>
    <row r="86" spans="1:8" x14ac:dyDescent="0.25">
      <c r="A86" t="str">
        <f t="shared" ref="A86:A147" si="37">A85</f>
        <v>3C Aggregated and non-CO2 emissions on land</v>
      </c>
      <c r="B86" t="str">
        <f t="shared" ref="B86:B99" si="38">B85</f>
        <v>3C1 Biomass burning (CH4)</v>
      </c>
      <c r="C86" t="str">
        <f>'Activity data'!C26</f>
        <v>3C1a Biomass burning in forest land</v>
      </c>
      <c r="D86" t="str">
        <f>'Activity data'!D26</f>
        <v>Woodlands</v>
      </c>
      <c r="E86" t="str">
        <f t="shared" ref="E86:E115" si="39">E85</f>
        <v>Biomass burning Mb</v>
      </c>
      <c r="G86" t="s">
        <v>365</v>
      </c>
      <c r="H86" s="56">
        <v>4.4000000000000004</v>
      </c>
    </row>
    <row r="87" spans="1:8" x14ac:dyDescent="0.25">
      <c r="A87" t="str">
        <f t="shared" si="37"/>
        <v>3C Aggregated and non-CO2 emissions on land</v>
      </c>
      <c r="B87" t="str">
        <f t="shared" si="38"/>
        <v>3C1 Biomass burning (CH4)</v>
      </c>
      <c r="C87" t="str">
        <f>'Activity data'!C27</f>
        <v>3C1a Biomass burning in forest land</v>
      </c>
      <c r="D87" t="str">
        <f>'Activity data'!D27</f>
        <v>Plantations</v>
      </c>
      <c r="E87" t="str">
        <f t="shared" si="39"/>
        <v>Biomass burning Mb</v>
      </c>
      <c r="G87" t="s">
        <v>365</v>
      </c>
      <c r="H87" s="56">
        <v>33.6</v>
      </c>
    </row>
    <row r="88" spans="1:8" x14ac:dyDescent="0.25">
      <c r="A88" t="str">
        <f t="shared" si="37"/>
        <v>3C Aggregated and non-CO2 emissions on land</v>
      </c>
      <c r="B88" t="str">
        <f t="shared" si="38"/>
        <v>3C1 Biomass burning (CH4)</v>
      </c>
      <c r="C88" t="str">
        <f>'Activity data'!C28</f>
        <v>3C1b Biomass burning in Croplands</v>
      </c>
      <c r="D88" t="str">
        <f>'Activity data'!D28</f>
        <v>Annual non-pivot</v>
      </c>
      <c r="E88" t="str">
        <f t="shared" si="39"/>
        <v>Biomass burning Mb</v>
      </c>
      <c r="G88" t="s">
        <v>365</v>
      </c>
      <c r="H88" s="56">
        <v>7</v>
      </c>
    </row>
    <row r="89" spans="1:8" x14ac:dyDescent="0.25">
      <c r="A89" t="str">
        <f t="shared" si="37"/>
        <v>3C Aggregated and non-CO2 emissions on land</v>
      </c>
      <c r="B89" t="str">
        <f t="shared" si="38"/>
        <v>3C1 Biomass burning (CH4)</v>
      </c>
      <c r="C89" t="str">
        <f>'Activity data'!C29</f>
        <v>3C1b Biomass burning in Croplands</v>
      </c>
      <c r="D89" t="str">
        <f>'Activity data'!D29</f>
        <v>Annual pivot</v>
      </c>
      <c r="E89" t="str">
        <f t="shared" si="39"/>
        <v>Biomass burning Mb</v>
      </c>
      <c r="G89" t="s">
        <v>365</v>
      </c>
      <c r="H89" s="56">
        <v>7</v>
      </c>
    </row>
    <row r="90" spans="1:8" x14ac:dyDescent="0.25">
      <c r="A90" t="str">
        <f t="shared" si="37"/>
        <v>3C Aggregated and non-CO2 emissions on land</v>
      </c>
      <c r="B90" t="str">
        <f t="shared" si="38"/>
        <v>3C1 Biomass burning (CH4)</v>
      </c>
      <c r="C90" t="str">
        <f>'Activity data'!C30</f>
        <v>3C1b Biomass burning in Croplands</v>
      </c>
      <c r="D90" t="str">
        <f>'Activity data'!D30</f>
        <v>Perennial orchards</v>
      </c>
      <c r="E90" t="str">
        <f t="shared" si="39"/>
        <v>Biomass burning Mb</v>
      </c>
      <c r="G90" t="s">
        <v>365</v>
      </c>
      <c r="H90" s="56">
        <v>7</v>
      </c>
    </row>
    <row r="91" spans="1:8" x14ac:dyDescent="0.25">
      <c r="A91" t="str">
        <f t="shared" si="37"/>
        <v>3C Aggregated and non-CO2 emissions on land</v>
      </c>
      <c r="B91" t="str">
        <f t="shared" si="38"/>
        <v>3C1 Biomass burning (CH4)</v>
      </c>
      <c r="C91" t="str">
        <f>'Activity data'!C31</f>
        <v>3C1b Biomass burning in Croplands</v>
      </c>
      <c r="D91" t="str">
        <f>'Activity data'!D31</f>
        <v>Perennial vineyards</v>
      </c>
      <c r="E91" t="str">
        <f t="shared" si="39"/>
        <v>Biomass burning Mb</v>
      </c>
      <c r="G91" t="s">
        <v>365</v>
      </c>
      <c r="H91" s="56">
        <v>7</v>
      </c>
    </row>
    <row r="92" spans="1:8" x14ac:dyDescent="0.25">
      <c r="A92" t="str">
        <f t="shared" si="37"/>
        <v>3C Aggregated and non-CO2 emissions on land</v>
      </c>
      <c r="B92" t="str">
        <f t="shared" si="38"/>
        <v>3C1 Biomass burning (CH4)</v>
      </c>
      <c r="C92" t="str">
        <f>'Activity data'!C32</f>
        <v>3C1b Biomass burning in Croplands</v>
      </c>
      <c r="D92" t="str">
        <f>'Activity data'!D32</f>
        <v>Cropland subsistence</v>
      </c>
      <c r="E92" t="str">
        <f t="shared" si="39"/>
        <v>Biomass burning Mb</v>
      </c>
      <c r="G92" t="s">
        <v>365</v>
      </c>
      <c r="H92" s="56">
        <v>7</v>
      </c>
    </row>
    <row r="93" spans="1:8" x14ac:dyDescent="0.25">
      <c r="A93" t="str">
        <f t="shared" si="37"/>
        <v>3C Aggregated and non-CO2 emissions on land</v>
      </c>
      <c r="B93" t="str">
        <f t="shared" si="38"/>
        <v>3C1 Biomass burning (CH4)</v>
      </c>
      <c r="C93" t="str">
        <f>'Activity data'!C33</f>
        <v>3C1c Biomass burning in Grasslands</v>
      </c>
      <c r="D93" t="str">
        <f>'Activity data'!D33</f>
        <v>Grasslands</v>
      </c>
      <c r="E93" t="str">
        <f t="shared" si="39"/>
        <v>Biomass burning Mb</v>
      </c>
      <c r="G93" t="s">
        <v>365</v>
      </c>
      <c r="H93" s="56">
        <v>4.0999999999999996</v>
      </c>
    </row>
    <row r="94" spans="1:8" x14ac:dyDescent="0.25">
      <c r="A94" t="str">
        <f t="shared" si="37"/>
        <v>3C Aggregated and non-CO2 emissions on land</v>
      </c>
      <c r="B94" t="str">
        <f t="shared" si="38"/>
        <v>3C1 Biomass burning (CH4)</v>
      </c>
      <c r="C94" t="str">
        <f>'Activity data'!C34</f>
        <v>3C1c Biomass burning in Grasslands</v>
      </c>
      <c r="D94" t="str">
        <f>'Activity data'!D34</f>
        <v>Low shrublands</v>
      </c>
      <c r="E94" t="str">
        <f t="shared" si="39"/>
        <v>Biomass burning Mb</v>
      </c>
      <c r="G94" t="s">
        <v>365</v>
      </c>
      <c r="H94" s="56">
        <v>2.4</v>
      </c>
    </row>
    <row r="95" spans="1:8" x14ac:dyDescent="0.25">
      <c r="A95" t="str">
        <f>A99</f>
        <v>3C Aggregated and non-CO2 emissions on land</v>
      </c>
      <c r="B95" t="str">
        <f>B99</f>
        <v>3C1 Biomass burning (CH4)</v>
      </c>
      <c r="C95" t="str">
        <f>'Activity data'!C35</f>
        <v>3C1f Biomass burning in Other lands</v>
      </c>
      <c r="D95" t="str">
        <f>'Activity data'!D35</f>
        <v>Degraded land</v>
      </c>
      <c r="E95" t="str">
        <f>E99</f>
        <v>Biomass burning Mb</v>
      </c>
      <c r="G95" t="s">
        <v>365</v>
      </c>
      <c r="H95" s="56">
        <v>2</v>
      </c>
    </row>
    <row r="96" spans="1:8" x14ac:dyDescent="0.25">
      <c r="A96" t="str">
        <f>A94</f>
        <v>3C Aggregated and non-CO2 emissions on land</v>
      </c>
      <c r="B96" t="str">
        <f>B94</f>
        <v>3C1 Biomass burning (CH4)</v>
      </c>
      <c r="C96" t="str">
        <f>'Activity data'!C36</f>
        <v>3C1d Biomass burning in Wetlands</v>
      </c>
      <c r="D96" t="str">
        <f>'Activity data'!D36</f>
        <v>Wetlands</v>
      </c>
      <c r="E96" t="str">
        <f>E94</f>
        <v>Biomass burning Mb</v>
      </c>
      <c r="G96" t="s">
        <v>365</v>
      </c>
      <c r="H96" s="56">
        <v>4.0999999999999996</v>
      </c>
    </row>
    <row r="97" spans="1:8" x14ac:dyDescent="0.25">
      <c r="A97" t="str">
        <f t="shared" si="37"/>
        <v>3C Aggregated and non-CO2 emissions on land</v>
      </c>
      <c r="B97" t="str">
        <f t="shared" si="38"/>
        <v>3C1 Biomass burning (CH4)</v>
      </c>
      <c r="C97" t="str">
        <f>'Activity data'!C37</f>
        <v>3C1e Biomass burning in Settlements</v>
      </c>
      <c r="D97" t="str">
        <f>'Activity data'!D37</f>
        <v>Settlements</v>
      </c>
      <c r="E97" t="str">
        <f t="shared" si="39"/>
        <v>Biomass burning Mb</v>
      </c>
      <c r="G97" t="s">
        <v>365</v>
      </c>
      <c r="H97" s="56">
        <v>4.0999999999999996</v>
      </c>
    </row>
    <row r="98" spans="1:8" x14ac:dyDescent="0.25">
      <c r="A98" t="str">
        <f t="shared" si="37"/>
        <v>3C Aggregated and non-CO2 emissions on land</v>
      </c>
      <c r="B98" t="str">
        <f t="shared" si="38"/>
        <v>3C1 Biomass burning (CH4)</v>
      </c>
      <c r="C98" t="str">
        <f>'Activity data'!C38</f>
        <v>3C1e Biomass burning in Settlements</v>
      </c>
      <c r="D98" t="str">
        <f>'Activity data'!D38</f>
        <v>Mines</v>
      </c>
      <c r="E98" t="str">
        <f t="shared" si="39"/>
        <v>Biomass burning Mb</v>
      </c>
      <c r="G98" t="s">
        <v>365</v>
      </c>
      <c r="H98" s="56">
        <v>4.0999999999999996</v>
      </c>
    </row>
    <row r="99" spans="1:8" x14ac:dyDescent="0.25">
      <c r="A99" t="str">
        <f t="shared" si="37"/>
        <v>3C Aggregated and non-CO2 emissions on land</v>
      </c>
      <c r="B99" t="str">
        <f t="shared" si="38"/>
        <v>3C1 Biomass burning (CH4)</v>
      </c>
      <c r="C99" t="str">
        <f>'Activity data'!C39</f>
        <v>3C1f Biomass burning in Other lands</v>
      </c>
      <c r="D99" t="str">
        <f>'Activity data'!D39</f>
        <v>Bare ground</v>
      </c>
      <c r="E99" t="str">
        <f t="shared" si="39"/>
        <v>Biomass burning Mb</v>
      </c>
      <c r="G99" t="s">
        <v>365</v>
      </c>
      <c r="H99" s="56">
        <v>0</v>
      </c>
    </row>
    <row r="100" spans="1:8" x14ac:dyDescent="0.25">
      <c r="A100" t="str">
        <f>A95</f>
        <v>3C Aggregated and non-CO2 emissions on land</v>
      </c>
      <c r="B100" t="str">
        <f>'IPCC Categories'!B65</f>
        <v>3C1 Biomass burning (N2O)</v>
      </c>
      <c r="C100" t="str">
        <f t="shared" ref="C100:D119" si="40">C84</f>
        <v>3C1a Biomass burning in forest land</v>
      </c>
      <c r="D100" t="str">
        <f t="shared" si="40"/>
        <v>Indigenous forests</v>
      </c>
      <c r="E100" t="s">
        <v>363</v>
      </c>
      <c r="G100" t="s">
        <v>705</v>
      </c>
      <c r="H100" s="27">
        <v>1</v>
      </c>
    </row>
    <row r="101" spans="1:8" x14ac:dyDescent="0.25">
      <c r="A101" t="str">
        <f t="shared" si="37"/>
        <v>3C Aggregated and non-CO2 emissions on land</v>
      </c>
      <c r="B101" t="str">
        <f>B100</f>
        <v>3C1 Biomass burning (N2O)</v>
      </c>
      <c r="C101" t="str">
        <f t="shared" si="40"/>
        <v>3C1a Biomass burning in forest land</v>
      </c>
      <c r="D101" t="str">
        <f t="shared" si="40"/>
        <v>Thickets</v>
      </c>
      <c r="E101" t="str">
        <f t="shared" si="39"/>
        <v>Biomass burning Cf</v>
      </c>
      <c r="G101" t="s">
        <v>705</v>
      </c>
      <c r="H101" s="56">
        <v>0.95</v>
      </c>
    </row>
    <row r="102" spans="1:8" x14ac:dyDescent="0.25">
      <c r="A102" t="str">
        <f t="shared" si="37"/>
        <v>3C Aggregated and non-CO2 emissions on land</v>
      </c>
      <c r="B102" t="str">
        <f t="shared" ref="B102:B147" si="41">B101</f>
        <v>3C1 Biomass burning (N2O)</v>
      </c>
      <c r="C102" t="str">
        <f t="shared" si="40"/>
        <v>3C1a Biomass burning in forest land</v>
      </c>
      <c r="D102" t="str">
        <f t="shared" si="40"/>
        <v>Woodlands</v>
      </c>
      <c r="E102" t="str">
        <f t="shared" si="39"/>
        <v>Biomass burning Cf</v>
      </c>
      <c r="G102" t="s">
        <v>705</v>
      </c>
      <c r="H102" s="56">
        <v>0.8</v>
      </c>
    </row>
    <row r="103" spans="1:8" x14ac:dyDescent="0.25">
      <c r="A103" t="str">
        <f t="shared" si="37"/>
        <v>3C Aggregated and non-CO2 emissions on land</v>
      </c>
      <c r="B103" t="str">
        <f t="shared" si="41"/>
        <v>3C1 Biomass burning (N2O)</v>
      </c>
      <c r="C103" t="str">
        <f t="shared" si="40"/>
        <v>3C1a Biomass burning in forest land</v>
      </c>
      <c r="D103" t="str">
        <f t="shared" si="40"/>
        <v>Plantations</v>
      </c>
      <c r="E103" t="str">
        <f t="shared" si="39"/>
        <v>Biomass burning Cf</v>
      </c>
      <c r="G103" t="s">
        <v>705</v>
      </c>
      <c r="H103" s="27">
        <v>1</v>
      </c>
    </row>
    <row r="104" spans="1:8" x14ac:dyDescent="0.25">
      <c r="A104" t="str">
        <f t="shared" si="37"/>
        <v>3C Aggregated and non-CO2 emissions on land</v>
      </c>
      <c r="B104" t="str">
        <f t="shared" si="41"/>
        <v>3C1 Biomass burning (N2O)</v>
      </c>
      <c r="C104" t="str">
        <f t="shared" si="40"/>
        <v>3C1b Biomass burning in Croplands</v>
      </c>
      <c r="D104" t="str">
        <f t="shared" si="40"/>
        <v>Annual non-pivot</v>
      </c>
      <c r="E104" t="str">
        <f t="shared" si="39"/>
        <v>Biomass burning Cf</v>
      </c>
      <c r="G104" t="s">
        <v>705</v>
      </c>
      <c r="H104" s="27">
        <v>1</v>
      </c>
    </row>
    <row r="105" spans="1:8" x14ac:dyDescent="0.25">
      <c r="A105" t="str">
        <f t="shared" si="37"/>
        <v>3C Aggregated and non-CO2 emissions on land</v>
      </c>
      <c r="B105" t="str">
        <f t="shared" si="41"/>
        <v>3C1 Biomass burning (N2O)</v>
      </c>
      <c r="C105" t="str">
        <f t="shared" si="40"/>
        <v>3C1b Biomass burning in Croplands</v>
      </c>
      <c r="D105" t="str">
        <f t="shared" si="40"/>
        <v>Annual pivot</v>
      </c>
      <c r="E105" t="str">
        <f t="shared" si="39"/>
        <v>Biomass burning Cf</v>
      </c>
      <c r="G105" t="s">
        <v>705</v>
      </c>
      <c r="H105" s="27">
        <v>1</v>
      </c>
    </row>
    <row r="106" spans="1:8" x14ac:dyDescent="0.25">
      <c r="A106" t="str">
        <f t="shared" si="37"/>
        <v>3C Aggregated and non-CO2 emissions on land</v>
      </c>
      <c r="B106" t="str">
        <f t="shared" si="41"/>
        <v>3C1 Biomass burning (N2O)</v>
      </c>
      <c r="C106" t="str">
        <f t="shared" si="40"/>
        <v>3C1b Biomass burning in Croplands</v>
      </c>
      <c r="D106" t="str">
        <f t="shared" si="40"/>
        <v>Perennial orchards</v>
      </c>
      <c r="E106" t="str">
        <f t="shared" si="39"/>
        <v>Biomass burning Cf</v>
      </c>
      <c r="G106" t="s">
        <v>705</v>
      </c>
      <c r="H106" s="27">
        <v>1</v>
      </c>
    </row>
    <row r="107" spans="1:8" x14ac:dyDescent="0.25">
      <c r="A107" t="str">
        <f t="shared" si="37"/>
        <v>3C Aggregated and non-CO2 emissions on land</v>
      </c>
      <c r="B107" t="str">
        <f t="shared" si="41"/>
        <v>3C1 Biomass burning (N2O)</v>
      </c>
      <c r="C107" t="str">
        <f t="shared" si="40"/>
        <v>3C1b Biomass burning in Croplands</v>
      </c>
      <c r="D107" t="str">
        <f t="shared" si="40"/>
        <v>Perennial vineyards</v>
      </c>
      <c r="E107" t="str">
        <f t="shared" si="39"/>
        <v>Biomass burning Cf</v>
      </c>
      <c r="G107" t="s">
        <v>705</v>
      </c>
      <c r="H107" s="27">
        <v>1</v>
      </c>
    </row>
    <row r="108" spans="1:8" x14ac:dyDescent="0.25">
      <c r="A108" t="str">
        <f t="shared" si="37"/>
        <v>3C Aggregated and non-CO2 emissions on land</v>
      </c>
      <c r="B108" t="str">
        <f t="shared" si="41"/>
        <v>3C1 Biomass burning (N2O)</v>
      </c>
      <c r="C108" t="str">
        <f t="shared" si="40"/>
        <v>3C1b Biomass burning in Croplands</v>
      </c>
      <c r="D108" t="str">
        <f t="shared" si="40"/>
        <v>Cropland subsistence</v>
      </c>
      <c r="E108" t="str">
        <f t="shared" si="39"/>
        <v>Biomass burning Cf</v>
      </c>
      <c r="G108" t="s">
        <v>705</v>
      </c>
      <c r="H108" s="27">
        <v>1</v>
      </c>
    </row>
    <row r="109" spans="1:8" x14ac:dyDescent="0.25">
      <c r="A109" t="str">
        <f t="shared" si="37"/>
        <v>3C Aggregated and non-CO2 emissions on land</v>
      </c>
      <c r="B109" t="str">
        <f t="shared" si="41"/>
        <v>3C1 Biomass burning (N2O)</v>
      </c>
      <c r="C109" t="str">
        <f t="shared" si="40"/>
        <v>3C1c Biomass burning in Grasslands</v>
      </c>
      <c r="D109" t="str">
        <f t="shared" si="40"/>
        <v>Grasslands</v>
      </c>
      <c r="E109" t="str">
        <f t="shared" si="39"/>
        <v>Biomass burning Cf</v>
      </c>
      <c r="G109" t="s">
        <v>705</v>
      </c>
      <c r="H109" s="27">
        <v>1</v>
      </c>
    </row>
    <row r="110" spans="1:8" x14ac:dyDescent="0.25">
      <c r="A110" t="str">
        <f t="shared" si="37"/>
        <v>3C Aggregated and non-CO2 emissions on land</v>
      </c>
      <c r="B110" t="str">
        <f t="shared" si="41"/>
        <v>3C1 Biomass burning (N2O)</v>
      </c>
      <c r="C110" t="str">
        <f t="shared" si="40"/>
        <v>3C1c Biomass burning in Grasslands</v>
      </c>
      <c r="D110" t="str">
        <f t="shared" si="40"/>
        <v>Low shrublands</v>
      </c>
      <c r="E110" t="str">
        <f t="shared" si="39"/>
        <v>Biomass burning Cf</v>
      </c>
      <c r="G110" t="s">
        <v>705</v>
      </c>
      <c r="H110" s="56">
        <v>0.91</v>
      </c>
    </row>
    <row r="111" spans="1:8" x14ac:dyDescent="0.25">
      <c r="A111" t="str">
        <f>A115</f>
        <v>3C Aggregated and non-CO2 emissions on land</v>
      </c>
      <c r="B111" t="str">
        <f>B115</f>
        <v>3C1 Biomass burning (N2O)</v>
      </c>
      <c r="C111" t="str">
        <f t="shared" si="40"/>
        <v>3C1f Biomass burning in Other lands</v>
      </c>
      <c r="D111" t="str">
        <f t="shared" si="40"/>
        <v>Degraded land</v>
      </c>
      <c r="E111" t="str">
        <f>E115</f>
        <v>Biomass burning Cf</v>
      </c>
      <c r="G111" t="s">
        <v>705</v>
      </c>
      <c r="H111" s="27">
        <v>1</v>
      </c>
    </row>
    <row r="112" spans="1:8" x14ac:dyDescent="0.25">
      <c r="A112" t="str">
        <f>A110</f>
        <v>3C Aggregated and non-CO2 emissions on land</v>
      </c>
      <c r="B112" t="str">
        <f>B110</f>
        <v>3C1 Biomass burning (N2O)</v>
      </c>
      <c r="C112" t="str">
        <f t="shared" si="40"/>
        <v>3C1d Biomass burning in Wetlands</v>
      </c>
      <c r="D112" t="str">
        <f t="shared" si="40"/>
        <v>Wetlands</v>
      </c>
      <c r="E112" t="str">
        <f>E110</f>
        <v>Biomass burning Cf</v>
      </c>
      <c r="G112" t="s">
        <v>705</v>
      </c>
      <c r="H112" s="27">
        <v>1</v>
      </c>
    </row>
    <row r="113" spans="1:8" x14ac:dyDescent="0.25">
      <c r="A113" t="str">
        <f t="shared" si="37"/>
        <v>3C Aggregated and non-CO2 emissions on land</v>
      </c>
      <c r="B113" t="str">
        <f t="shared" si="41"/>
        <v>3C1 Biomass burning (N2O)</v>
      </c>
      <c r="C113" t="str">
        <f t="shared" si="40"/>
        <v>3C1e Biomass burning in Settlements</v>
      </c>
      <c r="D113" t="str">
        <f t="shared" si="40"/>
        <v>Settlements</v>
      </c>
      <c r="E113" t="str">
        <f t="shared" si="39"/>
        <v>Biomass burning Cf</v>
      </c>
      <c r="G113" t="s">
        <v>705</v>
      </c>
      <c r="H113" s="27">
        <v>1</v>
      </c>
    </row>
    <row r="114" spans="1:8" x14ac:dyDescent="0.25">
      <c r="A114" t="str">
        <f t="shared" si="37"/>
        <v>3C Aggregated and non-CO2 emissions on land</v>
      </c>
      <c r="B114" t="str">
        <f t="shared" si="41"/>
        <v>3C1 Biomass burning (N2O)</v>
      </c>
      <c r="C114" t="str">
        <f t="shared" si="40"/>
        <v>3C1e Biomass burning in Settlements</v>
      </c>
      <c r="D114" t="str">
        <f t="shared" si="40"/>
        <v>Mines</v>
      </c>
      <c r="E114" t="str">
        <f t="shared" si="39"/>
        <v>Biomass burning Cf</v>
      </c>
      <c r="G114" t="s">
        <v>705</v>
      </c>
      <c r="H114" s="27">
        <v>1</v>
      </c>
    </row>
    <row r="115" spans="1:8" x14ac:dyDescent="0.25">
      <c r="A115" t="str">
        <f t="shared" si="37"/>
        <v>3C Aggregated and non-CO2 emissions on land</v>
      </c>
      <c r="B115" t="str">
        <f t="shared" si="41"/>
        <v>3C1 Biomass burning (N2O)</v>
      </c>
      <c r="C115" t="str">
        <f t="shared" si="40"/>
        <v>3C1f Biomass burning in Other lands</v>
      </c>
      <c r="D115" t="str">
        <f t="shared" si="40"/>
        <v>Bare ground</v>
      </c>
      <c r="E115" t="str">
        <f t="shared" si="39"/>
        <v>Biomass burning Cf</v>
      </c>
      <c r="G115" t="s">
        <v>705</v>
      </c>
      <c r="H115" s="56">
        <v>0</v>
      </c>
    </row>
    <row r="116" spans="1:8" x14ac:dyDescent="0.25">
      <c r="A116" t="str">
        <f t="shared" si="37"/>
        <v>3C Aggregated and non-CO2 emissions on land</v>
      </c>
      <c r="B116" t="str">
        <f t="shared" si="41"/>
        <v>3C1 Biomass burning (N2O)</v>
      </c>
      <c r="C116" t="str">
        <f t="shared" si="40"/>
        <v>3C1a Biomass burning in forest land</v>
      </c>
      <c r="D116" t="str">
        <f t="shared" si="40"/>
        <v>Indigenous forests</v>
      </c>
      <c r="E116" t="s">
        <v>362</v>
      </c>
      <c r="F116" t="s">
        <v>121</v>
      </c>
      <c r="G116" t="s">
        <v>366</v>
      </c>
      <c r="H116" s="27">
        <v>4.7</v>
      </c>
    </row>
    <row r="117" spans="1:8" x14ac:dyDescent="0.25">
      <c r="A117" t="str">
        <f t="shared" si="37"/>
        <v>3C Aggregated and non-CO2 emissions on land</v>
      </c>
      <c r="B117" t="str">
        <f t="shared" si="41"/>
        <v>3C1 Biomass burning (N2O)</v>
      </c>
      <c r="C117" t="str">
        <f t="shared" si="40"/>
        <v>3C1a Biomass burning in forest land</v>
      </c>
      <c r="D117" t="str">
        <f t="shared" si="40"/>
        <v>Thickets</v>
      </c>
      <c r="E117" t="str">
        <f>E116</f>
        <v>Biomass burning EF</v>
      </c>
      <c r="F117" t="str">
        <f>F116</f>
        <v>CH4</v>
      </c>
      <c r="G117" t="s">
        <v>366</v>
      </c>
      <c r="H117" s="27">
        <v>4.7</v>
      </c>
    </row>
    <row r="118" spans="1:8" x14ac:dyDescent="0.25">
      <c r="A118" t="str">
        <f t="shared" si="37"/>
        <v>3C Aggregated and non-CO2 emissions on land</v>
      </c>
      <c r="B118" t="str">
        <f t="shared" si="41"/>
        <v>3C1 Biomass burning (N2O)</v>
      </c>
      <c r="C118" t="str">
        <f t="shared" si="40"/>
        <v>3C1a Biomass burning in forest land</v>
      </c>
      <c r="D118" t="str">
        <f t="shared" si="40"/>
        <v>Woodlands</v>
      </c>
      <c r="E118" t="str">
        <f t="shared" ref="E118:E131" si="42">E117</f>
        <v>Biomass burning EF</v>
      </c>
      <c r="F118" t="str">
        <f t="shared" ref="F118:F131" si="43">F117</f>
        <v>CH4</v>
      </c>
      <c r="G118" t="s">
        <v>366</v>
      </c>
      <c r="H118" s="27">
        <v>2.2999999999999998</v>
      </c>
    </row>
    <row r="119" spans="1:8" x14ac:dyDescent="0.25">
      <c r="A119" t="str">
        <f t="shared" si="37"/>
        <v>3C Aggregated and non-CO2 emissions on land</v>
      </c>
      <c r="B119" t="str">
        <f t="shared" si="41"/>
        <v>3C1 Biomass burning (N2O)</v>
      </c>
      <c r="C119" t="str">
        <f t="shared" si="40"/>
        <v>3C1a Biomass burning in forest land</v>
      </c>
      <c r="D119" t="str">
        <f t="shared" si="40"/>
        <v>Plantations</v>
      </c>
      <c r="E119" t="str">
        <f t="shared" si="42"/>
        <v>Biomass burning EF</v>
      </c>
      <c r="F119" t="str">
        <f t="shared" si="43"/>
        <v>CH4</v>
      </c>
      <c r="G119" t="s">
        <v>366</v>
      </c>
      <c r="H119" s="27">
        <v>4.7</v>
      </c>
    </row>
    <row r="120" spans="1:8" x14ac:dyDescent="0.25">
      <c r="A120" t="str">
        <f t="shared" si="37"/>
        <v>3C Aggregated and non-CO2 emissions on land</v>
      </c>
      <c r="B120" t="str">
        <f t="shared" si="41"/>
        <v>3C1 Biomass burning (N2O)</v>
      </c>
      <c r="C120" t="str">
        <f t="shared" ref="C120:D139" si="44">C104</f>
        <v>3C1b Biomass burning in Croplands</v>
      </c>
      <c r="D120" t="str">
        <f t="shared" si="44"/>
        <v>Annual non-pivot</v>
      </c>
      <c r="E120" t="str">
        <f t="shared" si="42"/>
        <v>Biomass burning EF</v>
      </c>
      <c r="F120" t="str">
        <f t="shared" si="43"/>
        <v>CH4</v>
      </c>
      <c r="G120" t="s">
        <v>366</v>
      </c>
      <c r="H120" s="27">
        <v>2.7</v>
      </c>
    </row>
    <row r="121" spans="1:8" x14ac:dyDescent="0.25">
      <c r="A121" t="str">
        <f t="shared" si="37"/>
        <v>3C Aggregated and non-CO2 emissions on land</v>
      </c>
      <c r="B121" t="str">
        <f t="shared" si="41"/>
        <v>3C1 Biomass burning (N2O)</v>
      </c>
      <c r="C121" t="str">
        <f t="shared" si="44"/>
        <v>3C1b Biomass burning in Croplands</v>
      </c>
      <c r="D121" t="str">
        <f t="shared" si="44"/>
        <v>Annual pivot</v>
      </c>
      <c r="E121" t="str">
        <f t="shared" si="42"/>
        <v>Biomass burning EF</v>
      </c>
      <c r="F121" t="str">
        <f t="shared" si="43"/>
        <v>CH4</v>
      </c>
      <c r="G121" t="s">
        <v>366</v>
      </c>
      <c r="H121" s="27">
        <v>2.7</v>
      </c>
    </row>
    <row r="122" spans="1:8" x14ac:dyDescent="0.25">
      <c r="A122" t="str">
        <f t="shared" si="37"/>
        <v>3C Aggregated and non-CO2 emissions on land</v>
      </c>
      <c r="B122" t="str">
        <f t="shared" si="41"/>
        <v>3C1 Biomass burning (N2O)</v>
      </c>
      <c r="C122" t="str">
        <f t="shared" si="44"/>
        <v>3C1b Biomass burning in Croplands</v>
      </c>
      <c r="D122" t="str">
        <f t="shared" si="44"/>
        <v>Perennial orchards</v>
      </c>
      <c r="E122" t="str">
        <f t="shared" si="42"/>
        <v>Biomass burning EF</v>
      </c>
      <c r="F122" t="str">
        <f t="shared" si="43"/>
        <v>CH4</v>
      </c>
      <c r="G122" t="s">
        <v>366</v>
      </c>
      <c r="H122" s="27">
        <v>2.7</v>
      </c>
    </row>
    <row r="123" spans="1:8" x14ac:dyDescent="0.25">
      <c r="A123" t="str">
        <f t="shared" si="37"/>
        <v>3C Aggregated and non-CO2 emissions on land</v>
      </c>
      <c r="B123" t="str">
        <f t="shared" si="41"/>
        <v>3C1 Biomass burning (N2O)</v>
      </c>
      <c r="C123" t="str">
        <f t="shared" si="44"/>
        <v>3C1b Biomass burning in Croplands</v>
      </c>
      <c r="D123" t="str">
        <f t="shared" si="44"/>
        <v>Perennial vineyards</v>
      </c>
      <c r="E123" t="str">
        <f t="shared" si="42"/>
        <v>Biomass burning EF</v>
      </c>
      <c r="F123" t="str">
        <f t="shared" si="43"/>
        <v>CH4</v>
      </c>
      <c r="G123" t="s">
        <v>366</v>
      </c>
      <c r="H123" s="27">
        <v>2.7</v>
      </c>
    </row>
    <row r="124" spans="1:8" x14ac:dyDescent="0.25">
      <c r="A124" t="str">
        <f t="shared" si="37"/>
        <v>3C Aggregated and non-CO2 emissions on land</v>
      </c>
      <c r="B124" t="str">
        <f t="shared" si="41"/>
        <v>3C1 Biomass burning (N2O)</v>
      </c>
      <c r="C124" t="str">
        <f t="shared" si="44"/>
        <v>3C1b Biomass burning in Croplands</v>
      </c>
      <c r="D124" t="str">
        <f t="shared" si="44"/>
        <v>Cropland subsistence</v>
      </c>
      <c r="E124" t="str">
        <f t="shared" si="42"/>
        <v>Biomass burning EF</v>
      </c>
      <c r="F124" t="str">
        <f t="shared" si="43"/>
        <v>CH4</v>
      </c>
      <c r="G124" t="s">
        <v>366</v>
      </c>
      <c r="H124" s="27">
        <v>2.7</v>
      </c>
    </row>
    <row r="125" spans="1:8" x14ac:dyDescent="0.25">
      <c r="A125" t="str">
        <f t="shared" si="37"/>
        <v>3C Aggregated and non-CO2 emissions on land</v>
      </c>
      <c r="B125" t="str">
        <f t="shared" si="41"/>
        <v>3C1 Biomass burning (N2O)</v>
      </c>
      <c r="C125" t="str">
        <f t="shared" si="44"/>
        <v>3C1c Biomass burning in Grasslands</v>
      </c>
      <c r="D125" t="str">
        <f t="shared" si="44"/>
        <v>Grasslands</v>
      </c>
      <c r="E125" t="str">
        <f t="shared" si="42"/>
        <v>Biomass burning EF</v>
      </c>
      <c r="F125" t="str">
        <f t="shared" si="43"/>
        <v>CH4</v>
      </c>
      <c r="G125" t="s">
        <v>366</v>
      </c>
      <c r="H125" s="27">
        <v>2.2999999999999998</v>
      </c>
    </row>
    <row r="126" spans="1:8" x14ac:dyDescent="0.25">
      <c r="A126" t="str">
        <f t="shared" si="37"/>
        <v>3C Aggregated and non-CO2 emissions on land</v>
      </c>
      <c r="B126" t="str">
        <f t="shared" si="41"/>
        <v>3C1 Biomass burning (N2O)</v>
      </c>
      <c r="C126" t="str">
        <f t="shared" si="44"/>
        <v>3C1c Biomass burning in Grasslands</v>
      </c>
      <c r="D126" t="str">
        <f t="shared" si="44"/>
        <v>Low shrublands</v>
      </c>
      <c r="E126" t="str">
        <f t="shared" si="42"/>
        <v>Biomass burning EF</v>
      </c>
      <c r="F126" t="str">
        <f t="shared" si="43"/>
        <v>CH4</v>
      </c>
      <c r="G126" t="s">
        <v>366</v>
      </c>
      <c r="H126" s="27">
        <v>4.7</v>
      </c>
    </row>
    <row r="127" spans="1:8" x14ac:dyDescent="0.25">
      <c r="A127" t="str">
        <f t="shared" si="37"/>
        <v>3C Aggregated and non-CO2 emissions on land</v>
      </c>
      <c r="B127" t="str">
        <f t="shared" si="41"/>
        <v>3C1 Biomass burning (N2O)</v>
      </c>
      <c r="C127" t="str">
        <f t="shared" si="44"/>
        <v>3C1f Biomass burning in Other lands</v>
      </c>
      <c r="D127" t="str">
        <f t="shared" si="44"/>
        <v>Degraded land</v>
      </c>
      <c r="E127" t="str">
        <f>E131</f>
        <v>Biomass burning EF</v>
      </c>
      <c r="F127" t="str">
        <f>F131</f>
        <v>CH4</v>
      </c>
      <c r="G127" t="s">
        <v>366</v>
      </c>
      <c r="H127" s="27">
        <v>2.2999999999999998</v>
      </c>
    </row>
    <row r="128" spans="1:8" x14ac:dyDescent="0.25">
      <c r="A128" t="str">
        <f t="shared" si="37"/>
        <v>3C Aggregated and non-CO2 emissions on land</v>
      </c>
      <c r="B128" t="str">
        <f t="shared" si="41"/>
        <v>3C1 Biomass burning (N2O)</v>
      </c>
      <c r="C128" t="str">
        <f t="shared" si="44"/>
        <v>3C1d Biomass burning in Wetlands</v>
      </c>
      <c r="D128" t="str">
        <f t="shared" si="44"/>
        <v>Wetlands</v>
      </c>
      <c r="E128" t="str">
        <f>E126</f>
        <v>Biomass burning EF</v>
      </c>
      <c r="F128" t="str">
        <f>F126</f>
        <v>CH4</v>
      </c>
      <c r="G128" t="s">
        <v>366</v>
      </c>
      <c r="H128" s="27">
        <v>2.2999999999999998</v>
      </c>
    </row>
    <row r="129" spans="1:8" x14ac:dyDescent="0.25">
      <c r="A129" t="str">
        <f t="shared" si="37"/>
        <v>3C Aggregated and non-CO2 emissions on land</v>
      </c>
      <c r="B129" t="str">
        <f t="shared" si="41"/>
        <v>3C1 Biomass burning (N2O)</v>
      </c>
      <c r="C129" t="str">
        <f t="shared" si="44"/>
        <v>3C1e Biomass burning in Settlements</v>
      </c>
      <c r="D129" t="str">
        <f t="shared" si="44"/>
        <v>Settlements</v>
      </c>
      <c r="E129" t="str">
        <f t="shared" si="42"/>
        <v>Biomass burning EF</v>
      </c>
      <c r="F129" t="str">
        <f t="shared" si="43"/>
        <v>CH4</v>
      </c>
      <c r="G129" t="s">
        <v>366</v>
      </c>
      <c r="H129" s="27">
        <v>2.2999999999999998</v>
      </c>
    </row>
    <row r="130" spans="1:8" x14ac:dyDescent="0.25">
      <c r="A130" t="str">
        <f t="shared" si="37"/>
        <v>3C Aggregated and non-CO2 emissions on land</v>
      </c>
      <c r="B130" t="str">
        <f t="shared" si="41"/>
        <v>3C1 Biomass burning (N2O)</v>
      </c>
      <c r="C130" t="str">
        <f t="shared" si="44"/>
        <v>3C1e Biomass burning in Settlements</v>
      </c>
      <c r="D130" t="str">
        <f t="shared" si="44"/>
        <v>Mines</v>
      </c>
      <c r="E130" t="str">
        <f t="shared" si="42"/>
        <v>Biomass burning EF</v>
      </c>
      <c r="F130" t="str">
        <f t="shared" si="43"/>
        <v>CH4</v>
      </c>
      <c r="G130" t="s">
        <v>366</v>
      </c>
      <c r="H130" s="27">
        <v>2.2999999999999998</v>
      </c>
    </row>
    <row r="131" spans="1:8" x14ac:dyDescent="0.25">
      <c r="A131" t="str">
        <f t="shared" si="37"/>
        <v>3C Aggregated and non-CO2 emissions on land</v>
      </c>
      <c r="B131" t="str">
        <f t="shared" si="41"/>
        <v>3C1 Biomass burning (N2O)</v>
      </c>
      <c r="C131" t="str">
        <f t="shared" si="44"/>
        <v>3C1f Biomass burning in Other lands</v>
      </c>
      <c r="D131" t="str">
        <f t="shared" si="44"/>
        <v>Bare ground</v>
      </c>
      <c r="E131" t="str">
        <f t="shared" si="42"/>
        <v>Biomass burning EF</v>
      </c>
      <c r="F131" t="str">
        <f t="shared" si="43"/>
        <v>CH4</v>
      </c>
      <c r="G131" t="s">
        <v>366</v>
      </c>
      <c r="H131" s="27">
        <v>0</v>
      </c>
    </row>
    <row r="132" spans="1:8" x14ac:dyDescent="0.25">
      <c r="A132" t="str">
        <f t="shared" si="37"/>
        <v>3C Aggregated and non-CO2 emissions on land</v>
      </c>
      <c r="B132" t="str">
        <f t="shared" si="41"/>
        <v>3C1 Biomass burning (N2O)</v>
      </c>
      <c r="C132" t="str">
        <f t="shared" si="44"/>
        <v>3C1a Biomass burning in forest land</v>
      </c>
      <c r="D132" t="str">
        <f t="shared" si="44"/>
        <v>Indigenous forests</v>
      </c>
      <c r="E132" t="str">
        <f>E127</f>
        <v>Biomass burning EF</v>
      </c>
      <c r="F132" t="s">
        <v>139</v>
      </c>
      <c r="G132" t="s">
        <v>366</v>
      </c>
      <c r="H132" s="27">
        <v>0.26</v>
      </c>
    </row>
    <row r="133" spans="1:8" x14ac:dyDescent="0.25">
      <c r="A133" t="str">
        <f t="shared" si="37"/>
        <v>3C Aggregated and non-CO2 emissions on land</v>
      </c>
      <c r="B133" t="str">
        <f t="shared" si="41"/>
        <v>3C1 Biomass burning (N2O)</v>
      </c>
      <c r="C133" t="str">
        <f t="shared" si="44"/>
        <v>3C1a Biomass burning in forest land</v>
      </c>
      <c r="D133" t="str">
        <f t="shared" si="44"/>
        <v>Thickets</v>
      </c>
      <c r="E133" t="str">
        <f t="shared" ref="E133:E147" si="45">E132</f>
        <v>Biomass burning EF</v>
      </c>
      <c r="F133" t="str">
        <f t="shared" ref="F133:F147" si="46">F132</f>
        <v>N2O</v>
      </c>
      <c r="G133" t="s">
        <v>366</v>
      </c>
      <c r="H133" s="27">
        <v>0.26</v>
      </c>
    </row>
    <row r="134" spans="1:8" x14ac:dyDescent="0.25">
      <c r="A134" t="str">
        <f t="shared" si="37"/>
        <v>3C Aggregated and non-CO2 emissions on land</v>
      </c>
      <c r="B134" t="str">
        <f t="shared" si="41"/>
        <v>3C1 Biomass burning (N2O)</v>
      </c>
      <c r="C134" t="str">
        <f t="shared" si="44"/>
        <v>3C1a Biomass burning in forest land</v>
      </c>
      <c r="D134" t="str">
        <f t="shared" si="44"/>
        <v>Woodlands</v>
      </c>
      <c r="E134" t="str">
        <f t="shared" si="45"/>
        <v>Biomass burning EF</v>
      </c>
      <c r="F134" t="str">
        <f t="shared" si="46"/>
        <v>N2O</v>
      </c>
      <c r="G134" t="s">
        <v>366</v>
      </c>
      <c r="H134" s="27">
        <v>0.21</v>
      </c>
    </row>
    <row r="135" spans="1:8" x14ac:dyDescent="0.25">
      <c r="A135" t="str">
        <f t="shared" si="37"/>
        <v>3C Aggregated and non-CO2 emissions on land</v>
      </c>
      <c r="B135" t="str">
        <f t="shared" si="41"/>
        <v>3C1 Biomass burning (N2O)</v>
      </c>
      <c r="C135" t="str">
        <f t="shared" si="44"/>
        <v>3C1a Biomass burning in forest land</v>
      </c>
      <c r="D135" t="str">
        <f t="shared" si="44"/>
        <v>Plantations</v>
      </c>
      <c r="E135" t="str">
        <f t="shared" si="45"/>
        <v>Biomass burning EF</v>
      </c>
      <c r="F135" t="str">
        <f t="shared" si="46"/>
        <v>N2O</v>
      </c>
      <c r="G135" t="s">
        <v>366</v>
      </c>
      <c r="H135" s="27">
        <v>0.26</v>
      </c>
    </row>
    <row r="136" spans="1:8" x14ac:dyDescent="0.25">
      <c r="A136" t="str">
        <f t="shared" si="37"/>
        <v>3C Aggregated and non-CO2 emissions on land</v>
      </c>
      <c r="B136" t="str">
        <f t="shared" si="41"/>
        <v>3C1 Biomass burning (N2O)</v>
      </c>
      <c r="C136" t="str">
        <f t="shared" si="44"/>
        <v>3C1b Biomass burning in Croplands</v>
      </c>
      <c r="D136" t="str">
        <f t="shared" si="44"/>
        <v>Annual non-pivot</v>
      </c>
      <c r="E136" t="str">
        <f t="shared" si="45"/>
        <v>Biomass burning EF</v>
      </c>
      <c r="F136" t="str">
        <f t="shared" si="46"/>
        <v>N2O</v>
      </c>
      <c r="G136" t="s">
        <v>366</v>
      </c>
      <c r="H136" s="27">
        <v>7.0000000000000007E-2</v>
      </c>
    </row>
    <row r="137" spans="1:8" x14ac:dyDescent="0.25">
      <c r="A137" t="str">
        <f t="shared" si="37"/>
        <v>3C Aggregated and non-CO2 emissions on land</v>
      </c>
      <c r="B137" t="str">
        <f t="shared" si="41"/>
        <v>3C1 Biomass burning (N2O)</v>
      </c>
      <c r="C137" t="str">
        <f t="shared" si="44"/>
        <v>3C1b Biomass burning in Croplands</v>
      </c>
      <c r="D137" t="str">
        <f t="shared" si="44"/>
        <v>Annual pivot</v>
      </c>
      <c r="E137" t="str">
        <f t="shared" si="45"/>
        <v>Biomass burning EF</v>
      </c>
      <c r="F137" t="str">
        <f t="shared" si="46"/>
        <v>N2O</v>
      </c>
      <c r="G137" t="s">
        <v>366</v>
      </c>
      <c r="H137" s="27">
        <v>7.0000000000000007E-2</v>
      </c>
    </row>
    <row r="138" spans="1:8" x14ac:dyDescent="0.25">
      <c r="A138" t="str">
        <f t="shared" si="37"/>
        <v>3C Aggregated and non-CO2 emissions on land</v>
      </c>
      <c r="B138" t="str">
        <f t="shared" si="41"/>
        <v>3C1 Biomass burning (N2O)</v>
      </c>
      <c r="C138" t="str">
        <f t="shared" si="44"/>
        <v>3C1b Biomass burning in Croplands</v>
      </c>
      <c r="D138" t="str">
        <f t="shared" si="44"/>
        <v>Perennial orchards</v>
      </c>
      <c r="E138" t="str">
        <f t="shared" si="45"/>
        <v>Biomass burning EF</v>
      </c>
      <c r="F138" t="str">
        <f t="shared" si="46"/>
        <v>N2O</v>
      </c>
      <c r="G138" t="s">
        <v>366</v>
      </c>
      <c r="H138" s="27">
        <v>7.0000000000000007E-2</v>
      </c>
    </row>
    <row r="139" spans="1:8" x14ac:dyDescent="0.25">
      <c r="A139" t="str">
        <f t="shared" si="37"/>
        <v>3C Aggregated and non-CO2 emissions on land</v>
      </c>
      <c r="B139" t="str">
        <f t="shared" si="41"/>
        <v>3C1 Biomass burning (N2O)</v>
      </c>
      <c r="C139" t="str">
        <f t="shared" si="44"/>
        <v>3C1b Biomass burning in Croplands</v>
      </c>
      <c r="D139" t="str">
        <f t="shared" si="44"/>
        <v>Perennial vineyards</v>
      </c>
      <c r="E139" t="str">
        <f t="shared" si="45"/>
        <v>Biomass burning EF</v>
      </c>
      <c r="F139" t="str">
        <f t="shared" si="46"/>
        <v>N2O</v>
      </c>
      <c r="G139" t="s">
        <v>366</v>
      </c>
      <c r="H139" s="27">
        <v>7.0000000000000007E-2</v>
      </c>
    </row>
    <row r="140" spans="1:8" x14ac:dyDescent="0.25">
      <c r="A140" t="str">
        <f t="shared" si="37"/>
        <v>3C Aggregated and non-CO2 emissions on land</v>
      </c>
      <c r="B140" t="str">
        <f t="shared" si="41"/>
        <v>3C1 Biomass burning (N2O)</v>
      </c>
      <c r="C140" t="str">
        <f t="shared" ref="C140:D147" si="47">C124</f>
        <v>3C1b Biomass burning in Croplands</v>
      </c>
      <c r="D140" t="str">
        <f t="shared" si="47"/>
        <v>Cropland subsistence</v>
      </c>
      <c r="E140" t="str">
        <f t="shared" si="45"/>
        <v>Biomass burning EF</v>
      </c>
      <c r="F140" t="str">
        <f t="shared" si="46"/>
        <v>N2O</v>
      </c>
      <c r="G140" t="s">
        <v>366</v>
      </c>
      <c r="H140" s="27">
        <v>7.0000000000000007E-2</v>
      </c>
    </row>
    <row r="141" spans="1:8" x14ac:dyDescent="0.25">
      <c r="A141" t="str">
        <f t="shared" si="37"/>
        <v>3C Aggregated and non-CO2 emissions on land</v>
      </c>
      <c r="B141" t="str">
        <f t="shared" si="41"/>
        <v>3C1 Biomass burning (N2O)</v>
      </c>
      <c r="C141" t="str">
        <f t="shared" si="47"/>
        <v>3C1c Biomass burning in Grasslands</v>
      </c>
      <c r="D141" t="str">
        <f t="shared" si="47"/>
        <v>Grasslands</v>
      </c>
      <c r="E141" t="str">
        <f t="shared" si="45"/>
        <v>Biomass burning EF</v>
      </c>
      <c r="F141" t="str">
        <f t="shared" si="46"/>
        <v>N2O</v>
      </c>
      <c r="G141" t="s">
        <v>366</v>
      </c>
      <c r="H141" s="27">
        <v>0.21</v>
      </c>
    </row>
    <row r="142" spans="1:8" x14ac:dyDescent="0.25">
      <c r="A142" t="str">
        <f t="shared" si="37"/>
        <v>3C Aggregated and non-CO2 emissions on land</v>
      </c>
      <c r="B142" t="str">
        <f t="shared" si="41"/>
        <v>3C1 Biomass burning (N2O)</v>
      </c>
      <c r="C142" t="str">
        <f t="shared" si="47"/>
        <v>3C1c Biomass burning in Grasslands</v>
      </c>
      <c r="D142" t="str">
        <f t="shared" si="47"/>
        <v>Low shrublands</v>
      </c>
      <c r="E142" t="str">
        <f t="shared" si="45"/>
        <v>Biomass burning EF</v>
      </c>
      <c r="F142" t="str">
        <f t="shared" si="46"/>
        <v>N2O</v>
      </c>
      <c r="G142" t="s">
        <v>366</v>
      </c>
      <c r="H142" s="27">
        <v>0.26</v>
      </c>
    </row>
    <row r="143" spans="1:8" x14ac:dyDescent="0.25">
      <c r="A143" t="str">
        <f t="shared" si="37"/>
        <v>3C Aggregated and non-CO2 emissions on land</v>
      </c>
      <c r="B143" t="str">
        <f t="shared" si="41"/>
        <v>3C1 Biomass burning (N2O)</v>
      </c>
      <c r="C143" t="str">
        <f t="shared" si="47"/>
        <v>3C1f Biomass burning in Other lands</v>
      </c>
      <c r="D143" t="str">
        <f t="shared" si="47"/>
        <v>Degraded land</v>
      </c>
      <c r="E143" t="str">
        <f>E147</f>
        <v>Biomass burning EF</v>
      </c>
      <c r="F143" t="str">
        <f>F147</f>
        <v>N2O</v>
      </c>
      <c r="G143" t="s">
        <v>366</v>
      </c>
      <c r="H143" s="27">
        <v>0.21</v>
      </c>
    </row>
    <row r="144" spans="1:8" x14ac:dyDescent="0.25">
      <c r="A144" t="str">
        <f t="shared" si="37"/>
        <v>3C Aggregated and non-CO2 emissions on land</v>
      </c>
      <c r="B144" t="str">
        <f t="shared" si="41"/>
        <v>3C1 Biomass burning (N2O)</v>
      </c>
      <c r="C144" t="str">
        <f t="shared" si="47"/>
        <v>3C1d Biomass burning in Wetlands</v>
      </c>
      <c r="D144" t="str">
        <f t="shared" si="47"/>
        <v>Wetlands</v>
      </c>
      <c r="E144" t="str">
        <f>E142</f>
        <v>Biomass burning EF</v>
      </c>
      <c r="F144" t="str">
        <f>F142</f>
        <v>N2O</v>
      </c>
      <c r="G144" t="s">
        <v>366</v>
      </c>
      <c r="H144" s="27">
        <v>0.21</v>
      </c>
    </row>
    <row r="145" spans="1:8" x14ac:dyDescent="0.25">
      <c r="A145" t="str">
        <f t="shared" si="37"/>
        <v>3C Aggregated and non-CO2 emissions on land</v>
      </c>
      <c r="B145" t="str">
        <f t="shared" si="41"/>
        <v>3C1 Biomass burning (N2O)</v>
      </c>
      <c r="C145" t="str">
        <f t="shared" si="47"/>
        <v>3C1e Biomass burning in Settlements</v>
      </c>
      <c r="D145" t="str">
        <f t="shared" si="47"/>
        <v>Settlements</v>
      </c>
      <c r="E145" t="str">
        <f t="shared" si="45"/>
        <v>Biomass burning EF</v>
      </c>
      <c r="F145" t="str">
        <f t="shared" si="46"/>
        <v>N2O</v>
      </c>
      <c r="G145" t="s">
        <v>366</v>
      </c>
      <c r="H145" s="27">
        <v>0.21</v>
      </c>
    </row>
    <row r="146" spans="1:8" x14ac:dyDescent="0.25">
      <c r="A146" t="str">
        <f t="shared" si="37"/>
        <v>3C Aggregated and non-CO2 emissions on land</v>
      </c>
      <c r="B146" t="str">
        <f t="shared" si="41"/>
        <v>3C1 Biomass burning (N2O)</v>
      </c>
      <c r="C146" t="str">
        <f t="shared" si="47"/>
        <v>3C1e Biomass burning in Settlements</v>
      </c>
      <c r="D146" t="str">
        <f t="shared" si="47"/>
        <v>Mines</v>
      </c>
      <c r="E146" t="str">
        <f t="shared" si="45"/>
        <v>Biomass burning EF</v>
      </c>
      <c r="F146" t="str">
        <f t="shared" si="46"/>
        <v>N2O</v>
      </c>
      <c r="G146" t="s">
        <v>366</v>
      </c>
      <c r="H146" s="27">
        <v>0.21</v>
      </c>
    </row>
    <row r="147" spans="1:8" x14ac:dyDescent="0.25">
      <c r="A147" t="str">
        <f t="shared" si="37"/>
        <v>3C Aggregated and non-CO2 emissions on land</v>
      </c>
      <c r="B147" t="str">
        <f t="shared" si="41"/>
        <v>3C1 Biomass burning (N2O)</v>
      </c>
      <c r="C147" t="str">
        <f t="shared" si="47"/>
        <v>3C1f Biomass burning in Other lands</v>
      </c>
      <c r="D147" t="str">
        <f t="shared" si="47"/>
        <v>Bare ground</v>
      </c>
      <c r="E147" t="str">
        <f t="shared" si="45"/>
        <v>Biomass burning EF</v>
      </c>
      <c r="F147" t="str">
        <f t="shared" si="46"/>
        <v>N2O</v>
      </c>
      <c r="G147" t="s">
        <v>366</v>
      </c>
      <c r="H147" s="27">
        <v>0</v>
      </c>
    </row>
    <row r="149" spans="1:8" x14ac:dyDescent="0.25">
      <c r="A149" t="str">
        <f>'IPCC Categories'!A59</f>
        <v>3C Aggregated and non-CO2 emissions on land</v>
      </c>
      <c r="B149" t="str">
        <f>'IPCC Categories'!B71</f>
        <v>3C2 Liming (CO2)</v>
      </c>
      <c r="E149" t="s">
        <v>378</v>
      </c>
      <c r="F149" t="s">
        <v>380</v>
      </c>
      <c r="G149" t="s">
        <v>379</v>
      </c>
      <c r="H149" s="27">
        <v>0.125</v>
      </c>
    </row>
    <row r="150" spans="1:8" x14ac:dyDescent="0.25">
      <c r="A150" t="str">
        <f>A149</f>
        <v>3C Aggregated and non-CO2 emissions on land</v>
      </c>
      <c r="B150" t="str">
        <f>'IPCC Categories'!B72</f>
        <v>3C3 Urea application (CO2)</v>
      </c>
      <c r="E150" t="s">
        <v>385</v>
      </c>
      <c r="F150" t="s">
        <v>380</v>
      </c>
      <c r="G150" t="s">
        <v>386</v>
      </c>
      <c r="H150" s="27">
        <v>0.2</v>
      </c>
    </row>
    <row r="152" spans="1:8" x14ac:dyDescent="0.25">
      <c r="A152" t="str">
        <f>A150</f>
        <v>3C Aggregated and non-CO2 emissions on land</v>
      </c>
      <c r="B152" t="str">
        <f>'IPCC Categories'!B73</f>
        <v>3C4 Direct N2O from managed soils (N2O)</v>
      </c>
      <c r="C152" t="s">
        <v>391</v>
      </c>
      <c r="D152" t="s">
        <v>392</v>
      </c>
      <c r="E152" t="str">
        <f>C152&amp;D152</f>
        <v>FracMM - Diary cattle</v>
      </c>
      <c r="F152" t="s">
        <v>139</v>
      </c>
      <c r="G152" t="s">
        <v>377</v>
      </c>
      <c r="H152" s="22">
        <f>(SUM('Mitigation drivers'!C12:C20,'Mitigation drivers'!C24:C32)/2)/100</f>
        <v>0.7</v>
      </c>
    </row>
    <row r="153" spans="1:8" x14ac:dyDescent="0.25">
      <c r="A153" t="str">
        <f>A152</f>
        <v>3C Aggregated and non-CO2 emissions on land</v>
      </c>
      <c r="B153" t="str">
        <f>B152</f>
        <v>3C4 Direct N2O from managed soils (N2O)</v>
      </c>
      <c r="C153" t="str">
        <f>C152</f>
        <v>FracMM</v>
      </c>
      <c r="D153" t="s">
        <v>393</v>
      </c>
      <c r="E153" t="str">
        <f t="shared" ref="E153:E176" si="48">C153&amp;D153</f>
        <v>FracMM - commercial other cattle</v>
      </c>
      <c r="F153" t="str">
        <f>F152</f>
        <v>N2O</v>
      </c>
      <c r="G153" t="str">
        <f>G152</f>
        <v>fraction</v>
      </c>
      <c r="H153" s="22">
        <f>(SUM('Mitigation drivers'!C36:C44,'Mitigation drivers'!C49:C57)/2)/100</f>
        <v>0.05</v>
      </c>
    </row>
    <row r="154" spans="1:8" x14ac:dyDescent="0.25">
      <c r="A154" t="str">
        <f t="shared" ref="A154:A163" si="49">A153</f>
        <v>3C Aggregated and non-CO2 emissions on land</v>
      </c>
      <c r="B154" t="str">
        <f t="shared" ref="B154:B163" si="50">B153</f>
        <v>3C4 Direct N2O from managed soils (N2O)</v>
      </c>
      <c r="C154" t="str">
        <f t="shared" ref="C154:C163" si="51">C153</f>
        <v>FracMM</v>
      </c>
      <c r="D154" t="s">
        <v>394</v>
      </c>
      <c r="E154" t="str">
        <f t="shared" si="48"/>
        <v>FracMM - feedlot other cattle</v>
      </c>
      <c r="F154" t="str">
        <f t="shared" ref="F154:F163" si="52">F153</f>
        <v>N2O</v>
      </c>
      <c r="G154" t="str">
        <f t="shared" ref="G154:G163" si="53">G153</f>
        <v>fraction</v>
      </c>
      <c r="H154" s="22">
        <f>(SUM('Mitigation drivers'!C73:C81))/100</f>
        <v>1</v>
      </c>
    </row>
    <row r="155" spans="1:8" x14ac:dyDescent="0.25">
      <c r="A155" t="str">
        <f t="shared" si="49"/>
        <v>3C Aggregated and non-CO2 emissions on land</v>
      </c>
      <c r="B155" t="str">
        <f t="shared" si="50"/>
        <v>3C4 Direct N2O from managed soils (N2O)</v>
      </c>
      <c r="C155" t="str">
        <f t="shared" si="51"/>
        <v>FracMM</v>
      </c>
      <c r="D155" t="s">
        <v>395</v>
      </c>
      <c r="E155" t="str">
        <f t="shared" si="48"/>
        <v>FracMM - subsistence other cattle</v>
      </c>
      <c r="F155" t="str">
        <f t="shared" si="52"/>
        <v>N2O</v>
      </c>
      <c r="G155" t="str">
        <f t="shared" si="53"/>
        <v>fraction</v>
      </c>
      <c r="H155" s="22">
        <f>(SUM('Mitigation drivers'!C61:C69))/100</f>
        <v>0.1</v>
      </c>
    </row>
    <row r="156" spans="1:8" x14ac:dyDescent="0.25">
      <c r="A156" t="str">
        <f t="shared" si="49"/>
        <v>3C Aggregated and non-CO2 emissions on land</v>
      </c>
      <c r="B156" t="str">
        <f t="shared" si="50"/>
        <v>3C4 Direct N2O from managed soils (N2O)</v>
      </c>
      <c r="C156" t="str">
        <f t="shared" si="51"/>
        <v>FracMM</v>
      </c>
      <c r="D156" t="s">
        <v>396</v>
      </c>
      <c r="E156" t="str">
        <f t="shared" si="48"/>
        <v>FracMM - commercial sheep</v>
      </c>
      <c r="F156" t="str">
        <f t="shared" si="52"/>
        <v>N2O</v>
      </c>
      <c r="G156" t="str">
        <f t="shared" si="53"/>
        <v>fraction</v>
      </c>
      <c r="H156" s="22">
        <f>(SUM('Mitigation drivers'!C86:C94))/100</f>
        <v>0.01</v>
      </c>
    </row>
    <row r="157" spans="1:8" x14ac:dyDescent="0.25">
      <c r="A157" t="str">
        <f t="shared" si="49"/>
        <v>3C Aggregated and non-CO2 emissions on land</v>
      </c>
      <c r="B157" t="str">
        <f t="shared" si="50"/>
        <v>3C4 Direct N2O from managed soils (N2O)</v>
      </c>
      <c r="C157" t="str">
        <f t="shared" si="51"/>
        <v>FracMM</v>
      </c>
      <c r="D157" t="s">
        <v>397</v>
      </c>
      <c r="E157" t="str">
        <f t="shared" si="48"/>
        <v>FracMM - subsistence sheep</v>
      </c>
      <c r="F157" t="str">
        <f t="shared" si="52"/>
        <v>N2O</v>
      </c>
      <c r="G157" t="str">
        <f t="shared" si="53"/>
        <v>fraction</v>
      </c>
      <c r="H157" s="22">
        <f>(SUM('Mitigation drivers'!C97:C105))/100</f>
        <v>7.0000000000000007E-2</v>
      </c>
    </row>
    <row r="158" spans="1:8" x14ac:dyDescent="0.25">
      <c r="A158" t="str">
        <f t="shared" si="49"/>
        <v>3C Aggregated and non-CO2 emissions on land</v>
      </c>
      <c r="B158" t="str">
        <f t="shared" si="50"/>
        <v>3C4 Direct N2O from managed soils (N2O)</v>
      </c>
      <c r="C158" t="str">
        <f t="shared" si="51"/>
        <v>FracMM</v>
      </c>
      <c r="D158" t="s">
        <v>398</v>
      </c>
      <c r="E158" t="str">
        <f t="shared" si="48"/>
        <v>FracMM - commercial goats</v>
      </c>
      <c r="F158" t="str">
        <f t="shared" si="52"/>
        <v>N2O</v>
      </c>
      <c r="G158" t="str">
        <f t="shared" si="53"/>
        <v>fraction</v>
      </c>
      <c r="H158" s="22">
        <f>(SUM('Mitigation drivers'!C110:C118))/100</f>
        <v>0.01</v>
      </c>
    </row>
    <row r="159" spans="1:8" x14ac:dyDescent="0.25">
      <c r="A159" t="str">
        <f t="shared" si="49"/>
        <v>3C Aggregated and non-CO2 emissions on land</v>
      </c>
      <c r="B159" t="str">
        <f t="shared" si="50"/>
        <v>3C4 Direct N2O from managed soils (N2O)</v>
      </c>
      <c r="C159" t="str">
        <f t="shared" si="51"/>
        <v>FracMM</v>
      </c>
      <c r="D159" t="s">
        <v>399</v>
      </c>
      <c r="E159" t="str">
        <f t="shared" si="48"/>
        <v>FracMM - subsistence goats</v>
      </c>
      <c r="F159" t="str">
        <f t="shared" si="52"/>
        <v>N2O</v>
      </c>
      <c r="G159" t="str">
        <f t="shared" si="53"/>
        <v>fraction</v>
      </c>
      <c r="H159" s="22">
        <f>(SUM('Mitigation drivers'!C122:C130))/100</f>
        <v>7.0000000000000007E-2</v>
      </c>
    </row>
    <row r="160" spans="1:8" x14ac:dyDescent="0.25">
      <c r="A160" t="str">
        <f t="shared" si="49"/>
        <v>3C Aggregated and non-CO2 emissions on land</v>
      </c>
      <c r="B160" t="str">
        <f t="shared" si="50"/>
        <v>3C4 Direct N2O from managed soils (N2O)</v>
      </c>
      <c r="C160" t="str">
        <f t="shared" si="51"/>
        <v>FracMM</v>
      </c>
      <c r="D160" t="s">
        <v>400</v>
      </c>
      <c r="E160" t="str">
        <f t="shared" si="48"/>
        <v>FracMM - commercial swine</v>
      </c>
      <c r="F160" t="str">
        <f t="shared" si="52"/>
        <v>N2O</v>
      </c>
      <c r="G160" t="str">
        <f t="shared" si="53"/>
        <v>fraction</v>
      </c>
      <c r="H160" s="22">
        <f>(SUM('Mitigation drivers'!C160:C168))/100</f>
        <v>1</v>
      </c>
    </row>
    <row r="161" spans="1:8" x14ac:dyDescent="0.25">
      <c r="A161" t="str">
        <f t="shared" si="49"/>
        <v>3C Aggregated and non-CO2 emissions on land</v>
      </c>
      <c r="B161" t="str">
        <f t="shared" si="50"/>
        <v>3C4 Direct N2O from managed soils (N2O)</v>
      </c>
      <c r="C161" t="str">
        <f t="shared" si="51"/>
        <v>FracMM</v>
      </c>
      <c r="D161" t="s">
        <v>401</v>
      </c>
      <c r="E161" t="str">
        <f t="shared" si="48"/>
        <v>FracMM - subsistence swine</v>
      </c>
      <c r="F161" t="str">
        <f t="shared" si="52"/>
        <v>N2O</v>
      </c>
      <c r="G161" t="str">
        <f t="shared" si="53"/>
        <v>fraction</v>
      </c>
      <c r="H161" s="22">
        <f>(SUM('Mitigation drivers'!C172:C180))/100</f>
        <v>1</v>
      </c>
    </row>
    <row r="162" spans="1:8" x14ac:dyDescent="0.25">
      <c r="A162" t="str">
        <f t="shared" si="49"/>
        <v>3C Aggregated and non-CO2 emissions on land</v>
      </c>
      <c r="B162" t="str">
        <f t="shared" si="50"/>
        <v>3C4 Direct N2O from managed soils (N2O)</v>
      </c>
      <c r="C162" t="str">
        <f t="shared" si="51"/>
        <v>FracMM</v>
      </c>
      <c r="D162" t="s">
        <v>402</v>
      </c>
      <c r="E162" t="str">
        <f t="shared" si="48"/>
        <v>FracMM - broilers</v>
      </c>
      <c r="F162" t="str">
        <f t="shared" si="52"/>
        <v>N2O</v>
      </c>
      <c r="G162" t="str">
        <f t="shared" si="53"/>
        <v>fraction</v>
      </c>
      <c r="H162" s="22">
        <f>(SUM('Mitigation drivers'!C197:C205,'Mitigation drivers'!C221:C229)/2)/100</f>
        <v>1</v>
      </c>
    </row>
    <row r="163" spans="1:8" x14ac:dyDescent="0.25">
      <c r="A163" t="str">
        <f t="shared" si="49"/>
        <v>3C Aggregated and non-CO2 emissions on land</v>
      </c>
      <c r="B163" t="str">
        <f t="shared" si="50"/>
        <v>3C4 Direct N2O from managed soils (N2O)</v>
      </c>
      <c r="C163" t="str">
        <f t="shared" si="51"/>
        <v>FracMM</v>
      </c>
      <c r="D163" t="s">
        <v>403</v>
      </c>
      <c r="E163" t="str">
        <f t="shared" si="48"/>
        <v>FracMM - layers</v>
      </c>
      <c r="F163" t="str">
        <f t="shared" si="52"/>
        <v>N2O</v>
      </c>
      <c r="G163" t="str">
        <f t="shared" si="53"/>
        <v>fraction</v>
      </c>
      <c r="H163" s="22">
        <f>(SUM('Mitigation drivers'!C185:C193,'Mitigation drivers'!C209:C217)/2)/100</f>
        <v>1</v>
      </c>
    </row>
    <row r="164" spans="1:8" x14ac:dyDescent="0.25">
      <c r="A164" t="str">
        <f t="shared" ref="A164" si="54">A163</f>
        <v>3C Aggregated and non-CO2 emissions on land</v>
      </c>
      <c r="B164" t="str">
        <f t="shared" ref="B164" si="55">B163</f>
        <v>3C4 Direct N2O from managed soils (N2O)</v>
      </c>
      <c r="C164" t="s">
        <v>404</v>
      </c>
      <c r="D164" t="str">
        <f>D152</f>
        <v xml:space="preserve"> - Diary cattle</v>
      </c>
      <c r="E164" t="str">
        <f t="shared" si="48"/>
        <v>FracLoss - Diary cattle</v>
      </c>
      <c r="F164" t="str">
        <f>F152</f>
        <v>N2O</v>
      </c>
      <c r="G164" t="str">
        <f>G152</f>
        <v>fraction</v>
      </c>
      <c r="H164" s="56">
        <v>0.44350000000000001</v>
      </c>
    </row>
    <row r="165" spans="1:8" x14ac:dyDescent="0.25">
      <c r="A165" t="str">
        <f t="shared" ref="A165:A192" si="56">A164</f>
        <v>3C Aggregated and non-CO2 emissions on land</v>
      </c>
      <c r="B165" t="str">
        <f t="shared" ref="B165:B192" si="57">B164</f>
        <v>3C4 Direct N2O from managed soils (N2O)</v>
      </c>
      <c r="C165" t="str">
        <f>C164</f>
        <v>FracLoss</v>
      </c>
      <c r="D165" t="str">
        <f t="shared" ref="D165:G165" si="58">D153</f>
        <v xml:space="preserve"> - commercial other cattle</v>
      </c>
      <c r="E165" t="str">
        <f t="shared" si="48"/>
        <v>FracLoss - commercial other cattle</v>
      </c>
      <c r="F165" t="str">
        <f t="shared" si="58"/>
        <v>N2O</v>
      </c>
      <c r="G165" t="str">
        <f t="shared" si="58"/>
        <v>fraction</v>
      </c>
      <c r="H165" s="56">
        <v>1.4E-2</v>
      </c>
    </row>
    <row r="166" spans="1:8" x14ac:dyDescent="0.25">
      <c r="A166" t="str">
        <f t="shared" si="56"/>
        <v>3C Aggregated and non-CO2 emissions on land</v>
      </c>
      <c r="B166" t="str">
        <f t="shared" si="57"/>
        <v>3C4 Direct N2O from managed soils (N2O)</v>
      </c>
      <c r="C166" t="str">
        <f>C165</f>
        <v>FracLoss</v>
      </c>
      <c r="D166" t="str">
        <f t="shared" ref="D166:G166" si="59">D154</f>
        <v xml:space="preserve"> - feedlot other cattle</v>
      </c>
      <c r="E166" t="str">
        <f t="shared" si="48"/>
        <v>FracLoss - feedlot other cattle</v>
      </c>
      <c r="F166" t="str">
        <f t="shared" si="59"/>
        <v>N2O</v>
      </c>
      <c r="G166" t="str">
        <f t="shared" si="59"/>
        <v>fraction</v>
      </c>
      <c r="H166" s="56">
        <v>0.38600000000000001</v>
      </c>
    </row>
    <row r="167" spans="1:8" x14ac:dyDescent="0.25">
      <c r="A167" t="str">
        <f t="shared" si="56"/>
        <v>3C Aggregated and non-CO2 emissions on land</v>
      </c>
      <c r="B167" t="str">
        <f t="shared" si="57"/>
        <v>3C4 Direct N2O from managed soils (N2O)</v>
      </c>
      <c r="C167" t="str">
        <f t="shared" ref="C167:C175" si="60">C166</f>
        <v>FracLoss</v>
      </c>
      <c r="D167" t="str">
        <f t="shared" ref="D167:G167" si="61">D155</f>
        <v xml:space="preserve"> - subsistence other cattle</v>
      </c>
      <c r="E167" t="str">
        <f t="shared" si="48"/>
        <v>FracLoss - subsistence other cattle</v>
      </c>
      <c r="F167" t="str">
        <f t="shared" si="61"/>
        <v>N2O</v>
      </c>
      <c r="G167" t="str">
        <f t="shared" si="61"/>
        <v>fraction</v>
      </c>
      <c r="H167" s="56">
        <v>0.04</v>
      </c>
    </row>
    <row r="168" spans="1:8" x14ac:dyDescent="0.25">
      <c r="A168" t="str">
        <f t="shared" si="56"/>
        <v>3C Aggregated and non-CO2 emissions on land</v>
      </c>
      <c r="B168" t="str">
        <f t="shared" si="57"/>
        <v>3C4 Direct N2O from managed soils (N2O)</v>
      </c>
      <c r="C168" t="str">
        <f t="shared" si="60"/>
        <v>FracLoss</v>
      </c>
      <c r="D168" t="str">
        <f t="shared" ref="D168:G168" si="62">D156</f>
        <v xml:space="preserve"> - commercial sheep</v>
      </c>
      <c r="E168" t="str">
        <f t="shared" si="48"/>
        <v>FracLoss - commercial sheep</v>
      </c>
      <c r="F168" t="str">
        <f t="shared" si="62"/>
        <v>N2O</v>
      </c>
      <c r="G168" t="str">
        <f t="shared" si="62"/>
        <v>fraction</v>
      </c>
      <c r="H168" s="56">
        <v>4.0000000000000001E-3</v>
      </c>
    </row>
    <row r="169" spans="1:8" x14ac:dyDescent="0.25">
      <c r="A169" t="str">
        <f t="shared" si="56"/>
        <v>3C Aggregated and non-CO2 emissions on land</v>
      </c>
      <c r="B169" t="str">
        <f t="shared" si="57"/>
        <v>3C4 Direct N2O from managed soils (N2O)</v>
      </c>
      <c r="C169" t="str">
        <f t="shared" si="60"/>
        <v>FracLoss</v>
      </c>
      <c r="D169" t="str">
        <f t="shared" ref="D169:G169" si="63">D157</f>
        <v xml:space="preserve"> - subsistence sheep</v>
      </c>
      <c r="E169" t="str">
        <f t="shared" si="48"/>
        <v>FracLoss - subsistence sheep</v>
      </c>
      <c r="F169" t="str">
        <f t="shared" si="63"/>
        <v>N2O</v>
      </c>
      <c r="G169" t="str">
        <f t="shared" si="63"/>
        <v>fraction</v>
      </c>
      <c r="H169" s="56">
        <v>2.5499999999999998E-2</v>
      </c>
    </row>
    <row r="170" spans="1:8" x14ac:dyDescent="0.25">
      <c r="A170" t="str">
        <f t="shared" si="56"/>
        <v>3C Aggregated and non-CO2 emissions on land</v>
      </c>
      <c r="B170" t="str">
        <f t="shared" si="57"/>
        <v>3C4 Direct N2O from managed soils (N2O)</v>
      </c>
      <c r="C170" t="str">
        <f t="shared" si="60"/>
        <v>FracLoss</v>
      </c>
      <c r="D170" t="str">
        <f t="shared" ref="D170:G170" si="64">D158</f>
        <v xml:space="preserve"> - commercial goats</v>
      </c>
      <c r="E170" t="str">
        <f t="shared" si="48"/>
        <v>FracLoss - commercial goats</v>
      </c>
      <c r="F170" t="str">
        <f t="shared" si="64"/>
        <v>N2O</v>
      </c>
      <c r="G170" t="str">
        <f t="shared" si="64"/>
        <v>fraction</v>
      </c>
      <c r="H170" s="56">
        <v>4.0000000000000001E-3</v>
      </c>
    </row>
    <row r="171" spans="1:8" x14ac:dyDescent="0.25">
      <c r="A171" t="str">
        <f t="shared" si="56"/>
        <v>3C Aggregated and non-CO2 emissions on land</v>
      </c>
      <c r="B171" t="str">
        <f t="shared" si="57"/>
        <v>3C4 Direct N2O from managed soils (N2O)</v>
      </c>
      <c r="C171" t="str">
        <f t="shared" si="60"/>
        <v>FracLoss</v>
      </c>
      <c r="D171" t="str">
        <f t="shared" ref="D171:G171" si="65">D159</f>
        <v xml:space="preserve"> - subsistence goats</v>
      </c>
      <c r="E171" t="str">
        <f t="shared" si="48"/>
        <v>FracLoss - subsistence goats</v>
      </c>
      <c r="F171" t="str">
        <f t="shared" si="65"/>
        <v>N2O</v>
      </c>
      <c r="G171" t="str">
        <f t="shared" si="65"/>
        <v>fraction</v>
      </c>
      <c r="H171" s="56">
        <v>2.5499999999999998E-2</v>
      </c>
    </row>
    <row r="172" spans="1:8" x14ac:dyDescent="0.25">
      <c r="A172" t="str">
        <f t="shared" si="56"/>
        <v>3C Aggregated and non-CO2 emissions on land</v>
      </c>
      <c r="B172" t="str">
        <f t="shared" si="57"/>
        <v>3C4 Direct N2O from managed soils (N2O)</v>
      </c>
      <c r="C172" t="str">
        <f t="shared" si="60"/>
        <v>FracLoss</v>
      </c>
      <c r="D172" t="str">
        <f t="shared" ref="D172:G172" si="66">D160</f>
        <v xml:space="preserve"> - commercial swine</v>
      </c>
      <c r="E172" t="str">
        <f t="shared" si="48"/>
        <v>FracLoss - commercial swine</v>
      </c>
      <c r="F172" t="str">
        <f t="shared" si="66"/>
        <v>N2O</v>
      </c>
      <c r="G172" t="str">
        <f t="shared" si="66"/>
        <v>fraction</v>
      </c>
      <c r="H172" s="56">
        <v>0.6522</v>
      </c>
    </row>
    <row r="173" spans="1:8" x14ac:dyDescent="0.25">
      <c r="A173" t="str">
        <f t="shared" si="56"/>
        <v>3C Aggregated and non-CO2 emissions on land</v>
      </c>
      <c r="B173" t="str">
        <f t="shared" si="57"/>
        <v>3C4 Direct N2O from managed soils (N2O)</v>
      </c>
      <c r="C173" t="str">
        <f t="shared" si="60"/>
        <v>FracLoss</v>
      </c>
      <c r="D173" t="str">
        <f t="shared" ref="D173:G173" si="67">D161</f>
        <v xml:space="preserve"> - subsistence swine</v>
      </c>
      <c r="E173" t="str">
        <f t="shared" si="48"/>
        <v>FracLoss - subsistence swine</v>
      </c>
      <c r="F173" t="str">
        <f t="shared" si="67"/>
        <v>N2O</v>
      </c>
      <c r="G173" t="str">
        <f t="shared" si="67"/>
        <v>fraction</v>
      </c>
      <c r="H173" s="56">
        <v>0.40959999999999996</v>
      </c>
    </row>
    <row r="174" spans="1:8" x14ac:dyDescent="0.25">
      <c r="A174" t="str">
        <f t="shared" si="56"/>
        <v>3C Aggregated and non-CO2 emissions on land</v>
      </c>
      <c r="B174" t="str">
        <f t="shared" si="57"/>
        <v>3C4 Direct N2O from managed soils (N2O)</v>
      </c>
      <c r="C174" t="str">
        <f t="shared" si="60"/>
        <v>FracLoss</v>
      </c>
      <c r="D174" t="str">
        <f t="shared" ref="D174:G174" si="68">D162</f>
        <v xml:space="preserve"> - broilers</v>
      </c>
      <c r="E174" t="str">
        <f t="shared" si="48"/>
        <v>FracLoss - broilers</v>
      </c>
      <c r="F174" t="str">
        <f t="shared" si="68"/>
        <v>N2O</v>
      </c>
      <c r="G174" t="str">
        <f t="shared" si="68"/>
        <v>fraction</v>
      </c>
      <c r="H174" s="56">
        <v>0.24</v>
      </c>
    </row>
    <row r="175" spans="1:8" x14ac:dyDescent="0.25">
      <c r="A175" t="str">
        <f t="shared" si="56"/>
        <v>3C Aggregated and non-CO2 emissions on land</v>
      </c>
      <c r="B175" t="str">
        <f t="shared" si="57"/>
        <v>3C4 Direct N2O from managed soils (N2O)</v>
      </c>
      <c r="C175" t="str">
        <f t="shared" si="60"/>
        <v>FracLoss</v>
      </c>
      <c r="D175" t="str">
        <f t="shared" ref="D175:G176" si="69">D163</f>
        <v xml:space="preserve"> - layers</v>
      </c>
      <c r="E175" t="str">
        <f t="shared" si="48"/>
        <v>FracLoss - layers</v>
      </c>
      <c r="F175" t="str">
        <f t="shared" si="69"/>
        <v>N2O</v>
      </c>
      <c r="G175" t="str">
        <f t="shared" si="69"/>
        <v>fraction</v>
      </c>
      <c r="H175" s="56">
        <v>0.29600000000000004</v>
      </c>
    </row>
    <row r="176" spans="1:8" x14ac:dyDescent="0.25">
      <c r="A176" t="str">
        <f t="shared" si="56"/>
        <v>3C Aggregated and non-CO2 emissions on land</v>
      </c>
      <c r="B176" t="str">
        <f t="shared" si="57"/>
        <v>3C4 Direct N2O from managed soils (N2O)</v>
      </c>
      <c r="C176" t="s">
        <v>405</v>
      </c>
      <c r="D176" t="str">
        <f>D164</f>
        <v xml:space="preserve"> - Diary cattle</v>
      </c>
      <c r="E176" t="str">
        <f t="shared" si="48"/>
        <v>N for bedding - Diary cattle</v>
      </c>
      <c r="F176" t="str">
        <f t="shared" si="69"/>
        <v>N2O</v>
      </c>
      <c r="G176" t="str">
        <f t="shared" si="69"/>
        <v>fraction</v>
      </c>
      <c r="H176" s="56">
        <v>0.35</v>
      </c>
    </row>
    <row r="177" spans="1:8" x14ac:dyDescent="0.25">
      <c r="A177" t="str">
        <f t="shared" si="56"/>
        <v>3C Aggregated and non-CO2 emissions on land</v>
      </c>
      <c r="B177" t="str">
        <f t="shared" si="57"/>
        <v>3C4 Direct N2O from managed soils (N2O)</v>
      </c>
      <c r="C177" t="s">
        <v>405</v>
      </c>
      <c r="D177" t="str">
        <f t="shared" ref="D177:D187" si="70">D165</f>
        <v xml:space="preserve"> - commercial other cattle</v>
      </c>
      <c r="E177" t="str">
        <f t="shared" ref="E177:E187" si="71">C177&amp;D177</f>
        <v>N for bedding - commercial other cattle</v>
      </c>
      <c r="F177" t="str">
        <f t="shared" ref="F177:G177" si="72">F165</f>
        <v>N2O</v>
      </c>
      <c r="G177" t="str">
        <f t="shared" si="72"/>
        <v>fraction</v>
      </c>
      <c r="H177" s="56">
        <v>0.04</v>
      </c>
    </row>
    <row r="178" spans="1:8" x14ac:dyDescent="0.25">
      <c r="A178" t="str">
        <f t="shared" si="56"/>
        <v>3C Aggregated and non-CO2 emissions on land</v>
      </c>
      <c r="B178" t="str">
        <f t="shared" si="57"/>
        <v>3C4 Direct N2O from managed soils (N2O)</v>
      </c>
      <c r="C178" t="s">
        <v>405</v>
      </c>
      <c r="D178" t="str">
        <f t="shared" si="70"/>
        <v xml:space="preserve"> - feedlot other cattle</v>
      </c>
      <c r="E178" t="str">
        <f t="shared" si="71"/>
        <v>N for bedding - feedlot other cattle</v>
      </c>
      <c r="F178" t="str">
        <f t="shared" ref="F178:G178" si="73">F166</f>
        <v>N2O</v>
      </c>
      <c r="G178" t="str">
        <f t="shared" si="73"/>
        <v>fraction</v>
      </c>
      <c r="H178" s="56">
        <v>0</v>
      </c>
    </row>
    <row r="179" spans="1:8" x14ac:dyDescent="0.25">
      <c r="A179" t="str">
        <f t="shared" si="56"/>
        <v>3C Aggregated and non-CO2 emissions on land</v>
      </c>
      <c r="B179" t="str">
        <f t="shared" si="57"/>
        <v>3C4 Direct N2O from managed soils (N2O)</v>
      </c>
      <c r="C179" t="s">
        <v>405</v>
      </c>
      <c r="D179" t="str">
        <f t="shared" si="70"/>
        <v xml:space="preserve"> - subsistence other cattle</v>
      </c>
      <c r="E179" t="str">
        <f t="shared" si="71"/>
        <v>N for bedding - subsistence other cattle</v>
      </c>
      <c r="F179" t="str">
        <f t="shared" ref="F179:G179" si="74">F167</f>
        <v>N2O</v>
      </c>
      <c r="G179" t="str">
        <f t="shared" si="74"/>
        <v>fraction</v>
      </c>
      <c r="H179" s="56">
        <v>0.4</v>
      </c>
    </row>
    <row r="180" spans="1:8" x14ac:dyDescent="0.25">
      <c r="A180" t="str">
        <f t="shared" si="56"/>
        <v>3C Aggregated and non-CO2 emissions on land</v>
      </c>
      <c r="B180" t="str">
        <f t="shared" si="57"/>
        <v>3C4 Direct N2O from managed soils (N2O)</v>
      </c>
      <c r="C180" t="s">
        <v>405</v>
      </c>
      <c r="D180" t="str">
        <f t="shared" si="70"/>
        <v xml:space="preserve"> - commercial sheep</v>
      </c>
      <c r="E180" t="str">
        <f t="shared" si="71"/>
        <v>N for bedding - commercial sheep</v>
      </c>
      <c r="F180" t="str">
        <f t="shared" ref="F180:G180" si="75">F168</f>
        <v>N2O</v>
      </c>
      <c r="G180" t="str">
        <f t="shared" si="75"/>
        <v>fraction</v>
      </c>
      <c r="H180" s="56">
        <v>0</v>
      </c>
    </row>
    <row r="181" spans="1:8" x14ac:dyDescent="0.25">
      <c r="A181" t="str">
        <f t="shared" si="56"/>
        <v>3C Aggregated and non-CO2 emissions on land</v>
      </c>
      <c r="B181" t="str">
        <f t="shared" si="57"/>
        <v>3C4 Direct N2O from managed soils (N2O)</v>
      </c>
      <c r="C181" t="s">
        <v>405</v>
      </c>
      <c r="D181" t="str">
        <f t="shared" si="70"/>
        <v xml:space="preserve"> - subsistence sheep</v>
      </c>
      <c r="E181" t="str">
        <f t="shared" si="71"/>
        <v>N for bedding - subsistence sheep</v>
      </c>
      <c r="F181" t="str">
        <f t="shared" ref="F181:G181" si="76">F169</f>
        <v>N2O</v>
      </c>
      <c r="G181" t="str">
        <f t="shared" si="76"/>
        <v>fraction</v>
      </c>
      <c r="H181" s="56">
        <v>0</v>
      </c>
    </row>
    <row r="182" spans="1:8" x14ac:dyDescent="0.25">
      <c r="A182" t="str">
        <f t="shared" si="56"/>
        <v>3C Aggregated and non-CO2 emissions on land</v>
      </c>
      <c r="B182" t="str">
        <f t="shared" si="57"/>
        <v>3C4 Direct N2O from managed soils (N2O)</v>
      </c>
      <c r="C182" t="s">
        <v>405</v>
      </c>
      <c r="D182" t="str">
        <f t="shared" si="70"/>
        <v xml:space="preserve"> - commercial goats</v>
      </c>
      <c r="E182" t="str">
        <f t="shared" si="71"/>
        <v>N for bedding - commercial goats</v>
      </c>
      <c r="F182" t="str">
        <f t="shared" ref="F182:G182" si="77">F170</f>
        <v>N2O</v>
      </c>
      <c r="G182" t="str">
        <f t="shared" si="77"/>
        <v>fraction</v>
      </c>
      <c r="H182" s="56">
        <v>0</v>
      </c>
    </row>
    <row r="183" spans="1:8" x14ac:dyDescent="0.25">
      <c r="A183" t="str">
        <f t="shared" si="56"/>
        <v>3C Aggregated and non-CO2 emissions on land</v>
      </c>
      <c r="B183" t="str">
        <f t="shared" si="57"/>
        <v>3C4 Direct N2O from managed soils (N2O)</v>
      </c>
      <c r="C183" t="s">
        <v>405</v>
      </c>
      <c r="D183" t="str">
        <f t="shared" si="70"/>
        <v xml:space="preserve"> - subsistence goats</v>
      </c>
      <c r="E183" t="str">
        <f t="shared" si="71"/>
        <v>N for bedding - subsistence goats</v>
      </c>
      <c r="F183" t="str">
        <f t="shared" ref="F183:G183" si="78">F171</f>
        <v>N2O</v>
      </c>
      <c r="G183" t="str">
        <f t="shared" si="78"/>
        <v>fraction</v>
      </c>
      <c r="H183" s="56">
        <v>0</v>
      </c>
    </row>
    <row r="184" spans="1:8" x14ac:dyDescent="0.25">
      <c r="A184" t="str">
        <f t="shared" si="56"/>
        <v>3C Aggregated and non-CO2 emissions on land</v>
      </c>
      <c r="B184" t="str">
        <f t="shared" si="57"/>
        <v>3C4 Direct N2O from managed soils (N2O)</v>
      </c>
      <c r="C184" t="s">
        <v>405</v>
      </c>
      <c r="D184" t="str">
        <f t="shared" si="70"/>
        <v xml:space="preserve"> - commercial swine</v>
      </c>
      <c r="E184" t="str">
        <f t="shared" si="71"/>
        <v>N for bedding - commercial swine</v>
      </c>
      <c r="F184" t="str">
        <f t="shared" ref="F184:G184" si="79">F172</f>
        <v>N2O</v>
      </c>
      <c r="G184" t="str">
        <f t="shared" si="79"/>
        <v>fraction</v>
      </c>
      <c r="H184" s="56">
        <v>0</v>
      </c>
    </row>
    <row r="185" spans="1:8" x14ac:dyDescent="0.25">
      <c r="A185" t="str">
        <f t="shared" si="56"/>
        <v>3C Aggregated and non-CO2 emissions on land</v>
      </c>
      <c r="B185" t="str">
        <f t="shared" si="57"/>
        <v>3C4 Direct N2O from managed soils (N2O)</v>
      </c>
      <c r="C185" t="s">
        <v>405</v>
      </c>
      <c r="D185" t="str">
        <f t="shared" si="70"/>
        <v xml:space="preserve"> - subsistence swine</v>
      </c>
      <c r="E185" t="str">
        <f t="shared" si="71"/>
        <v>N for bedding - subsistence swine</v>
      </c>
      <c r="F185" t="str">
        <f t="shared" ref="F185:G185" si="80">F173</f>
        <v>N2O</v>
      </c>
      <c r="G185" t="str">
        <f t="shared" si="80"/>
        <v>fraction</v>
      </c>
      <c r="H185" s="56">
        <v>0</v>
      </c>
    </row>
    <row r="186" spans="1:8" x14ac:dyDescent="0.25">
      <c r="A186" t="str">
        <f t="shared" si="56"/>
        <v>3C Aggregated and non-CO2 emissions on land</v>
      </c>
      <c r="B186" t="str">
        <f t="shared" si="57"/>
        <v>3C4 Direct N2O from managed soils (N2O)</v>
      </c>
      <c r="C186" t="s">
        <v>405</v>
      </c>
      <c r="D186" t="str">
        <f t="shared" si="70"/>
        <v xml:space="preserve"> - broilers</v>
      </c>
      <c r="E186" t="str">
        <f t="shared" si="71"/>
        <v>N for bedding - broilers</v>
      </c>
      <c r="F186" t="str">
        <f t="shared" ref="F186:G186" si="81">F174</f>
        <v>N2O</v>
      </c>
      <c r="G186" t="str">
        <f t="shared" si="81"/>
        <v>fraction</v>
      </c>
      <c r="H186" s="56">
        <v>0</v>
      </c>
    </row>
    <row r="187" spans="1:8" x14ac:dyDescent="0.25">
      <c r="A187" t="str">
        <f t="shared" si="56"/>
        <v>3C Aggregated and non-CO2 emissions on land</v>
      </c>
      <c r="B187" t="str">
        <f t="shared" si="57"/>
        <v>3C4 Direct N2O from managed soils (N2O)</v>
      </c>
      <c r="C187" t="s">
        <v>405</v>
      </c>
      <c r="D187" t="str">
        <f t="shared" si="70"/>
        <v xml:space="preserve"> - layers</v>
      </c>
      <c r="E187" t="str">
        <f t="shared" si="71"/>
        <v>N for bedding - layers</v>
      </c>
      <c r="F187" t="str">
        <f t="shared" ref="F187:G187" si="82">F175</f>
        <v>N2O</v>
      </c>
      <c r="G187" t="str">
        <f t="shared" si="82"/>
        <v>fraction</v>
      </c>
      <c r="H187" s="56">
        <v>0</v>
      </c>
    </row>
    <row r="188" spans="1:8" x14ac:dyDescent="0.25">
      <c r="A188" t="str">
        <f t="shared" si="56"/>
        <v>3C Aggregated and non-CO2 emissions on land</v>
      </c>
      <c r="B188" t="str">
        <f t="shared" si="57"/>
        <v>3C4 Direct N2O from managed soils (N2O)</v>
      </c>
      <c r="C188" t="s">
        <v>411</v>
      </c>
      <c r="D188" t="s">
        <v>417</v>
      </c>
      <c r="E188" t="str">
        <f t="shared" ref="E188:E206" si="83">C188&amp;D188</f>
        <v>Synthetic N - EF</v>
      </c>
      <c r="F188" t="str">
        <f t="shared" ref="F188" si="84">F176</f>
        <v>N2O</v>
      </c>
      <c r="G188" t="s">
        <v>416</v>
      </c>
      <c r="H188" s="27">
        <v>0.01</v>
      </c>
    </row>
    <row r="189" spans="1:8" x14ac:dyDescent="0.25">
      <c r="A189" t="str">
        <f t="shared" si="56"/>
        <v>3C Aggregated and non-CO2 emissions on land</v>
      </c>
      <c r="B189" t="str">
        <f t="shared" si="57"/>
        <v>3C4 Direct N2O from managed soils (N2O)</v>
      </c>
      <c r="C189" t="s">
        <v>412</v>
      </c>
      <c r="D189" t="str">
        <f>D188</f>
        <v xml:space="preserve"> - EF</v>
      </c>
      <c r="E189" t="str">
        <f t="shared" si="83"/>
        <v>Organic N - EF</v>
      </c>
      <c r="F189" t="str">
        <f t="shared" ref="F189" si="85">F177</f>
        <v>N2O</v>
      </c>
      <c r="G189" t="s">
        <v>416</v>
      </c>
      <c r="H189" s="27">
        <v>0.01</v>
      </c>
    </row>
    <row r="190" spans="1:8" x14ac:dyDescent="0.25">
      <c r="A190" t="str">
        <f t="shared" si="56"/>
        <v>3C Aggregated and non-CO2 emissions on land</v>
      </c>
      <c r="B190" t="str">
        <f t="shared" si="57"/>
        <v>3C4 Direct N2O from managed soils (N2O)</v>
      </c>
      <c r="C190" t="s">
        <v>406</v>
      </c>
      <c r="D190" t="str">
        <f t="shared" ref="D190:D193" si="86">D189</f>
        <v xml:space="preserve"> - EF</v>
      </c>
      <c r="E190" t="str">
        <f t="shared" si="83"/>
        <v>Manure N - EF</v>
      </c>
      <c r="F190" t="str">
        <f t="shared" ref="F190" si="87">F178</f>
        <v>N2O</v>
      </c>
      <c r="G190" t="s">
        <v>416</v>
      </c>
      <c r="H190" s="27">
        <v>0.01</v>
      </c>
    </row>
    <row r="191" spans="1:8" x14ac:dyDescent="0.25">
      <c r="A191" t="str">
        <f t="shared" si="56"/>
        <v>3C Aggregated and non-CO2 emissions on land</v>
      </c>
      <c r="B191" t="str">
        <f t="shared" si="57"/>
        <v>3C4 Direct N2O from managed soils (N2O)</v>
      </c>
      <c r="C191" t="s">
        <v>414</v>
      </c>
      <c r="D191" t="str">
        <f t="shared" si="86"/>
        <v xml:space="preserve"> - EF</v>
      </c>
      <c r="E191" t="str">
        <f t="shared" si="83"/>
        <v>Urine and dung N (CPP) - EF</v>
      </c>
      <c r="F191" t="str">
        <f t="shared" ref="F191" si="88">F179</f>
        <v>N2O</v>
      </c>
      <c r="G191" t="s">
        <v>416</v>
      </c>
      <c r="H191" s="27">
        <v>0.02</v>
      </c>
    </row>
    <row r="192" spans="1:8" x14ac:dyDescent="0.25">
      <c r="A192" t="str">
        <f t="shared" si="56"/>
        <v>3C Aggregated and non-CO2 emissions on land</v>
      </c>
      <c r="B192" t="str">
        <f t="shared" si="57"/>
        <v>3C4 Direct N2O from managed soils (N2O)</v>
      </c>
      <c r="C192" t="s">
        <v>415</v>
      </c>
      <c r="D192" t="str">
        <f t="shared" si="86"/>
        <v xml:space="preserve"> - EF</v>
      </c>
      <c r="E192" t="str">
        <f t="shared" si="83"/>
        <v>Urine and dung N (SO) - EF</v>
      </c>
      <c r="F192" t="str">
        <f t="shared" ref="F192" si="89">F180</f>
        <v>N2O</v>
      </c>
      <c r="G192" t="s">
        <v>416</v>
      </c>
      <c r="H192" s="27">
        <v>0.01</v>
      </c>
    </row>
    <row r="193" spans="1:8" x14ac:dyDescent="0.25">
      <c r="A193" t="str">
        <f t="shared" ref="A193" si="90">A192</f>
        <v>3C Aggregated and non-CO2 emissions on land</v>
      </c>
      <c r="B193" t="str">
        <f t="shared" ref="B193" si="91">B192</f>
        <v>3C4 Direct N2O from managed soils (N2O)</v>
      </c>
      <c r="C193" t="s">
        <v>413</v>
      </c>
      <c r="D193" t="str">
        <f t="shared" si="86"/>
        <v xml:space="preserve"> - EF</v>
      </c>
      <c r="E193" t="str">
        <f t="shared" si="83"/>
        <v>SOM N - EF</v>
      </c>
      <c r="F193" t="str">
        <f t="shared" ref="F193:F194" si="92">F181</f>
        <v>N2O</v>
      </c>
      <c r="G193" t="s">
        <v>416</v>
      </c>
      <c r="H193" s="27">
        <v>0.01</v>
      </c>
    </row>
    <row r="194" spans="1:8" x14ac:dyDescent="0.25">
      <c r="A194" t="str">
        <f t="shared" ref="A194" si="93">A193</f>
        <v>3C Aggregated and non-CO2 emissions on land</v>
      </c>
      <c r="B194" t="str">
        <f t="shared" ref="B194" si="94">B193</f>
        <v>3C4 Direct N2O from managed soils (N2O)</v>
      </c>
      <c r="C194" t="s">
        <v>446</v>
      </c>
      <c r="D194" t="s">
        <v>417</v>
      </c>
      <c r="E194" t="str">
        <f t="shared" ref="E194" si="95">C194&amp;D194</f>
        <v>Crop residue - EF</v>
      </c>
      <c r="F194" t="str">
        <f t="shared" si="92"/>
        <v>N2O</v>
      </c>
      <c r="G194" t="s">
        <v>416</v>
      </c>
      <c r="H194" s="27">
        <v>0.01</v>
      </c>
    </row>
    <row r="196" spans="1:8" x14ac:dyDescent="0.25">
      <c r="A196" t="str">
        <f>'IPCC Categories'!A59</f>
        <v>3C Aggregated and non-CO2 emissions on land</v>
      </c>
      <c r="B196" t="str">
        <f>'IPCC Categories'!B78</f>
        <v>3C5 Indirect N2O from managed soils (N2O)</v>
      </c>
      <c r="C196" t="s">
        <v>423</v>
      </c>
      <c r="D196" t="s">
        <v>426</v>
      </c>
      <c r="E196" t="str">
        <f t="shared" si="83"/>
        <v>FracGASF - synthetic N</v>
      </c>
      <c r="F196" t="s">
        <v>139</v>
      </c>
      <c r="G196" t="s">
        <v>377</v>
      </c>
      <c r="H196" s="27">
        <v>0.1</v>
      </c>
    </row>
    <row r="197" spans="1:8" x14ac:dyDescent="0.25">
      <c r="A197" t="str">
        <f>A196</f>
        <v>3C Aggregated and non-CO2 emissions on land</v>
      </c>
      <c r="B197" t="str">
        <f>B196</f>
        <v>3C5 Indirect N2O from managed soils (N2O)</v>
      </c>
      <c r="C197" t="s">
        <v>424</v>
      </c>
      <c r="D197" t="s">
        <v>427</v>
      </c>
      <c r="E197" t="str">
        <f t="shared" si="83"/>
        <v>FracGASM - Organic N</v>
      </c>
      <c r="F197" t="str">
        <f>F196</f>
        <v>N2O</v>
      </c>
      <c r="G197" t="str">
        <f>G196</f>
        <v>fraction</v>
      </c>
      <c r="H197" s="27">
        <v>0.2</v>
      </c>
    </row>
    <row r="198" spans="1:8" x14ac:dyDescent="0.25">
      <c r="A198" t="str">
        <f t="shared" ref="A198:A201" si="96">A197</f>
        <v>3C Aggregated and non-CO2 emissions on land</v>
      </c>
      <c r="B198" t="str">
        <f t="shared" ref="B198:B201" si="97">B197</f>
        <v>3C5 Indirect N2O from managed soils (N2O)</v>
      </c>
      <c r="C198" t="s">
        <v>425</v>
      </c>
      <c r="D198" t="s">
        <v>428</v>
      </c>
      <c r="E198" t="str">
        <f t="shared" si="83"/>
        <v>FracLEACH - N application</v>
      </c>
      <c r="F198" t="str">
        <f t="shared" ref="F198:F201" si="98">F197</f>
        <v>N2O</v>
      </c>
      <c r="G198" t="str">
        <f t="shared" ref="G198:G199" si="99">G197</f>
        <v>fraction</v>
      </c>
      <c r="H198" s="27">
        <v>4.5999999999999999E-2</v>
      </c>
    </row>
    <row r="199" spans="1:8" x14ac:dyDescent="0.25">
      <c r="A199" t="str">
        <f t="shared" si="96"/>
        <v>3C Aggregated and non-CO2 emissions on land</v>
      </c>
      <c r="B199" t="str">
        <f t="shared" si="97"/>
        <v>3C5 Indirect N2O from managed soils (N2O)</v>
      </c>
      <c r="C199" t="s">
        <v>425</v>
      </c>
      <c r="D199" t="s">
        <v>429</v>
      </c>
      <c r="E199" t="str">
        <f t="shared" si="83"/>
        <v>FracLEACH - U&amp;D</v>
      </c>
      <c r="F199" t="str">
        <f t="shared" si="98"/>
        <v>N2O</v>
      </c>
      <c r="G199" t="str">
        <f t="shared" si="99"/>
        <v>fraction</v>
      </c>
      <c r="H199" s="27">
        <v>0</v>
      </c>
    </row>
    <row r="200" spans="1:8" x14ac:dyDescent="0.25">
      <c r="A200" t="str">
        <f t="shared" si="96"/>
        <v>3C Aggregated and non-CO2 emissions on land</v>
      </c>
      <c r="B200" t="str">
        <f t="shared" si="97"/>
        <v>3C5 Indirect N2O from managed soils (N2O)</v>
      </c>
      <c r="C200" t="s">
        <v>432</v>
      </c>
      <c r="D200" t="s">
        <v>430</v>
      </c>
      <c r="E200" t="str">
        <f t="shared" si="83"/>
        <v>Indirect MS - volatilisation EF</v>
      </c>
      <c r="F200" t="str">
        <f t="shared" si="98"/>
        <v>N2O</v>
      </c>
      <c r="G200" t="s">
        <v>433</v>
      </c>
      <c r="H200" s="27">
        <v>0.01</v>
      </c>
    </row>
    <row r="201" spans="1:8" x14ac:dyDescent="0.25">
      <c r="A201" t="str">
        <f t="shared" si="96"/>
        <v>3C Aggregated and non-CO2 emissions on land</v>
      </c>
      <c r="B201" t="str">
        <f t="shared" si="97"/>
        <v>3C5 Indirect N2O from managed soils (N2O)</v>
      </c>
      <c r="C201" t="str">
        <f>C200</f>
        <v>Indirect MS</v>
      </c>
      <c r="D201" t="s">
        <v>431</v>
      </c>
      <c r="E201" t="str">
        <f t="shared" si="83"/>
        <v>Indirect MS - leaching EF</v>
      </c>
      <c r="F201" t="str">
        <f t="shared" si="98"/>
        <v>N2O</v>
      </c>
      <c r="G201" t="s">
        <v>434</v>
      </c>
      <c r="H201" s="27">
        <v>7.4999999999999997E-3</v>
      </c>
    </row>
    <row r="203" spans="1:8" x14ac:dyDescent="0.25">
      <c r="A203" t="str">
        <f>'IPCC Categories'!A59</f>
        <v>3C Aggregated and non-CO2 emissions on land</v>
      </c>
      <c r="B203" t="str">
        <f>'IPCC Categories'!B80</f>
        <v>3C6 Indirect N2O from manure management (N2O)</v>
      </c>
      <c r="C203" t="s">
        <v>440</v>
      </c>
      <c r="D203" t="s">
        <v>441</v>
      </c>
      <c r="E203" t="str">
        <f t="shared" si="83"/>
        <v>FracLEACHMM - manure management</v>
      </c>
      <c r="F203" t="s">
        <v>139</v>
      </c>
      <c r="G203" t="s">
        <v>377</v>
      </c>
      <c r="H203" s="27">
        <v>0.1</v>
      </c>
    </row>
    <row r="204" spans="1:8" x14ac:dyDescent="0.25">
      <c r="A204" t="str">
        <f t="shared" ref="A204:B206" si="100">A203</f>
        <v>3C Aggregated and non-CO2 emissions on land</v>
      </c>
      <c r="B204" t="str">
        <f t="shared" si="100"/>
        <v>3C6 Indirect N2O from manure management (N2O)</v>
      </c>
      <c r="C204" t="s">
        <v>442</v>
      </c>
      <c r="D204" t="s">
        <v>430</v>
      </c>
      <c r="E204" t="str">
        <f t="shared" si="83"/>
        <v>Indirect MM - volatilisation EF</v>
      </c>
      <c r="F204" t="str">
        <f>F203</f>
        <v>N2O</v>
      </c>
      <c r="G204" t="s">
        <v>433</v>
      </c>
      <c r="H204" s="27">
        <v>0.01</v>
      </c>
    </row>
    <row r="205" spans="1:8" x14ac:dyDescent="0.25">
      <c r="A205" t="str">
        <f t="shared" si="100"/>
        <v>3C Aggregated and non-CO2 emissions on land</v>
      </c>
      <c r="B205" t="str">
        <f t="shared" si="100"/>
        <v>3C6 Indirect N2O from manure management (N2O)</v>
      </c>
      <c r="C205" t="str">
        <f>C204</f>
        <v>Indirect MM</v>
      </c>
      <c r="D205" t="s">
        <v>431</v>
      </c>
      <c r="E205" t="str">
        <f t="shared" si="83"/>
        <v>Indirect MM - leaching EF</v>
      </c>
      <c r="F205" t="str">
        <f>F204</f>
        <v>N2O</v>
      </c>
      <c r="G205" t="s">
        <v>434</v>
      </c>
      <c r="H205" s="27">
        <v>7.4999999999999997E-3</v>
      </c>
    </row>
    <row r="206" spans="1:8" x14ac:dyDescent="0.25">
      <c r="A206" t="str">
        <f t="shared" si="100"/>
        <v>3C Aggregated and non-CO2 emissions on land</v>
      </c>
      <c r="B206" t="str">
        <f t="shared" si="100"/>
        <v>3C6 Indirect N2O from manure management (N2O)</v>
      </c>
      <c r="C206" t="s">
        <v>443</v>
      </c>
      <c r="D206" t="str">
        <f>'Activity data'!D66</f>
        <v xml:space="preserve"> - TMR</v>
      </c>
      <c r="E206" t="str">
        <f t="shared" si="83"/>
        <v>FracGasMS - TMR</v>
      </c>
      <c r="F206" t="str">
        <f t="shared" ref="F206:F221" si="101">F205</f>
        <v>N2O</v>
      </c>
      <c r="G206" t="s">
        <v>377</v>
      </c>
      <c r="H206" s="27">
        <v>0.33300000000000002</v>
      </c>
    </row>
    <row r="207" spans="1:8" x14ac:dyDescent="0.25">
      <c r="A207" t="str">
        <f t="shared" ref="A207:A221" si="102">A206</f>
        <v>3C Aggregated and non-CO2 emissions on land</v>
      </c>
      <c r="B207" t="str">
        <f t="shared" ref="B207:B221" si="103">B206</f>
        <v>3C6 Indirect N2O from manure management (N2O)</v>
      </c>
      <c r="C207" t="s">
        <v>443</v>
      </c>
      <c r="D207" t="str">
        <f>'Activity data'!D67</f>
        <v xml:space="preserve"> - Pasture</v>
      </c>
      <c r="E207" t="str">
        <f t="shared" ref="E207:E221" si="104">C207&amp;D207</f>
        <v>FracGasMS - Pasture</v>
      </c>
      <c r="F207" t="str">
        <f t="shared" si="101"/>
        <v>N2O</v>
      </c>
      <c r="G207" t="s">
        <v>377</v>
      </c>
      <c r="H207" s="27">
        <v>8.6999999999999994E-2</v>
      </c>
    </row>
    <row r="208" spans="1:8" x14ac:dyDescent="0.25">
      <c r="A208" t="str">
        <f t="shared" si="102"/>
        <v>3C Aggregated and non-CO2 emissions on land</v>
      </c>
      <c r="B208" t="str">
        <f t="shared" si="103"/>
        <v>3C6 Indirect N2O from manure management (N2O)</v>
      </c>
      <c r="C208" t="s">
        <v>443</v>
      </c>
      <c r="D208" t="str">
        <f>'Activity data'!D68</f>
        <v xml:space="preserve"> - Non-lactating</v>
      </c>
      <c r="E208" t="str">
        <f t="shared" si="104"/>
        <v>FracGasMS - Non-lactating</v>
      </c>
      <c r="F208" t="str">
        <f t="shared" si="101"/>
        <v>N2O</v>
      </c>
      <c r="G208" t="s">
        <v>377</v>
      </c>
      <c r="H208" s="27">
        <v>1.4999999999999999E-2</v>
      </c>
    </row>
    <row r="209" spans="1:8" x14ac:dyDescent="0.25">
      <c r="A209" t="str">
        <f t="shared" si="102"/>
        <v>3C Aggregated and non-CO2 emissions on land</v>
      </c>
      <c r="B209" t="str">
        <f t="shared" si="103"/>
        <v>3C6 Indirect N2O from manure management (N2O)</v>
      </c>
      <c r="C209" t="s">
        <v>443</v>
      </c>
      <c r="D209" t="str">
        <f>'Activity data'!D69</f>
        <v xml:space="preserve"> - Commercial cattle</v>
      </c>
      <c r="E209" t="str">
        <f t="shared" si="104"/>
        <v>FracGasMS - Commercial cattle</v>
      </c>
      <c r="F209" t="str">
        <f t="shared" si="101"/>
        <v>N2O</v>
      </c>
      <c r="G209" t="s">
        <v>377</v>
      </c>
      <c r="H209" s="27">
        <v>8.0000000000000002E-3</v>
      </c>
    </row>
    <row r="210" spans="1:8" x14ac:dyDescent="0.25">
      <c r="A210" t="str">
        <f t="shared" si="102"/>
        <v>3C Aggregated and non-CO2 emissions on land</v>
      </c>
      <c r="B210" t="str">
        <f t="shared" si="103"/>
        <v>3C6 Indirect N2O from manure management (N2O)</v>
      </c>
      <c r="C210" t="s">
        <v>443</v>
      </c>
      <c r="D210" t="str">
        <f>'Activity data'!D70</f>
        <v xml:space="preserve"> - Subsistence cattle</v>
      </c>
      <c r="E210" t="str">
        <f t="shared" si="104"/>
        <v>FracGasMS - Subsistence cattle</v>
      </c>
      <c r="F210" t="str">
        <f t="shared" si="101"/>
        <v>N2O</v>
      </c>
      <c r="G210" t="s">
        <v>377</v>
      </c>
      <c r="H210" s="27">
        <v>0.03</v>
      </c>
    </row>
    <row r="211" spans="1:8" x14ac:dyDescent="0.25">
      <c r="A211" t="str">
        <f t="shared" si="102"/>
        <v>3C Aggregated and non-CO2 emissions on land</v>
      </c>
      <c r="B211" t="str">
        <f t="shared" si="103"/>
        <v>3C6 Indirect N2O from manure management (N2O)</v>
      </c>
      <c r="C211" t="s">
        <v>443</v>
      </c>
      <c r="D211" t="str">
        <f>'Activity data'!D71</f>
        <v xml:space="preserve"> - Feedlot</v>
      </c>
      <c r="E211" t="str">
        <f t="shared" si="104"/>
        <v>FracGasMS - Feedlot</v>
      </c>
      <c r="F211" t="str">
        <f t="shared" si="101"/>
        <v>N2O</v>
      </c>
      <c r="G211" t="s">
        <v>377</v>
      </c>
      <c r="H211" s="27">
        <v>0.28299999999999997</v>
      </c>
    </row>
    <row r="212" spans="1:8" x14ac:dyDescent="0.25">
      <c r="A212" t="str">
        <f t="shared" si="102"/>
        <v>3C Aggregated and non-CO2 emissions on land</v>
      </c>
      <c r="B212" t="str">
        <f t="shared" si="103"/>
        <v>3C6 Indirect N2O from manure management (N2O)</v>
      </c>
      <c r="C212" t="s">
        <v>443</v>
      </c>
      <c r="D212" t="str">
        <f>'Activity data'!D72</f>
        <v xml:space="preserve"> - Commercial sheep</v>
      </c>
      <c r="E212" t="str">
        <f t="shared" si="104"/>
        <v>FracGasMS - Commercial sheep</v>
      </c>
      <c r="F212" t="str">
        <f t="shared" si="101"/>
        <v>N2O</v>
      </c>
      <c r="G212" t="s">
        <v>377</v>
      </c>
      <c r="H212" s="27">
        <v>2E-3</v>
      </c>
    </row>
    <row r="213" spans="1:8" x14ac:dyDescent="0.25">
      <c r="A213" t="str">
        <f t="shared" si="102"/>
        <v>3C Aggregated and non-CO2 emissions on land</v>
      </c>
      <c r="B213" t="str">
        <f t="shared" si="103"/>
        <v>3C6 Indirect N2O from manure management (N2O)</v>
      </c>
      <c r="C213" t="s">
        <v>443</v>
      </c>
      <c r="D213" t="str">
        <f>'Activity data'!D73</f>
        <v xml:space="preserve"> - Subsistence sheep</v>
      </c>
      <c r="E213" t="str">
        <f t="shared" si="104"/>
        <v>FracGasMS - Subsistence sheep</v>
      </c>
      <c r="F213" t="str">
        <f t="shared" si="101"/>
        <v>N2O</v>
      </c>
      <c r="G213" t="s">
        <v>377</v>
      </c>
      <c r="H213" s="27">
        <v>1.6500000000000001E-2</v>
      </c>
    </row>
    <row r="214" spans="1:8" x14ac:dyDescent="0.25">
      <c r="A214" t="str">
        <f t="shared" si="102"/>
        <v>3C Aggregated and non-CO2 emissions on land</v>
      </c>
      <c r="B214" t="str">
        <f t="shared" si="103"/>
        <v>3C6 Indirect N2O from manure management (N2O)</v>
      </c>
      <c r="C214" t="s">
        <v>443</v>
      </c>
      <c r="D214" t="str">
        <f>'Activity data'!D74</f>
        <v xml:space="preserve"> - Commercial goats</v>
      </c>
      <c r="E214" t="str">
        <f t="shared" si="104"/>
        <v>FracGasMS - Commercial goats</v>
      </c>
      <c r="F214" t="str">
        <f t="shared" si="101"/>
        <v>N2O</v>
      </c>
      <c r="G214" t="s">
        <v>377</v>
      </c>
      <c r="H214" s="27">
        <v>2E-3</v>
      </c>
    </row>
    <row r="215" spans="1:8" x14ac:dyDescent="0.25">
      <c r="A215" t="str">
        <f t="shared" si="102"/>
        <v>3C Aggregated and non-CO2 emissions on land</v>
      </c>
      <c r="B215" t="str">
        <f t="shared" si="103"/>
        <v>3C6 Indirect N2O from manure management (N2O)</v>
      </c>
      <c r="C215" t="s">
        <v>443</v>
      </c>
      <c r="D215" t="str">
        <f>'Activity data'!D75</f>
        <v xml:space="preserve"> - Subsistence goats</v>
      </c>
      <c r="E215" t="str">
        <f t="shared" si="104"/>
        <v>FracGasMS - Subsistence goats</v>
      </c>
      <c r="F215" t="str">
        <f t="shared" si="101"/>
        <v>N2O</v>
      </c>
      <c r="G215" t="s">
        <v>377</v>
      </c>
      <c r="H215" s="27">
        <v>1.6500000000000001E-2</v>
      </c>
    </row>
    <row r="216" spans="1:8" x14ac:dyDescent="0.25">
      <c r="A216" t="str">
        <f t="shared" si="102"/>
        <v>3C Aggregated and non-CO2 emissions on land</v>
      </c>
      <c r="B216" t="str">
        <f t="shared" si="103"/>
        <v>3C6 Indirect N2O from manure management (N2O)</v>
      </c>
      <c r="C216" t="s">
        <v>443</v>
      </c>
      <c r="D216" t="str">
        <f>'Activity data'!D76</f>
        <v xml:space="preserve"> - Horses</v>
      </c>
      <c r="E216" t="str">
        <f t="shared" si="104"/>
        <v>FracGasMS - Horses</v>
      </c>
      <c r="F216" t="str">
        <f t="shared" si="101"/>
        <v>N2O</v>
      </c>
      <c r="G216" t="s">
        <v>377</v>
      </c>
      <c r="H216" s="27">
        <v>0</v>
      </c>
    </row>
    <row r="217" spans="1:8" x14ac:dyDescent="0.25">
      <c r="A217" t="str">
        <f t="shared" si="102"/>
        <v>3C Aggregated and non-CO2 emissions on land</v>
      </c>
      <c r="B217" t="str">
        <f t="shared" si="103"/>
        <v>3C6 Indirect N2O from manure management (N2O)</v>
      </c>
      <c r="C217" t="s">
        <v>443</v>
      </c>
      <c r="D217" t="str">
        <f>'Activity data'!D77</f>
        <v xml:space="preserve"> - Mules &amp; Asses</v>
      </c>
      <c r="E217" t="str">
        <f t="shared" si="104"/>
        <v>FracGasMS - Mules &amp; Asses</v>
      </c>
      <c r="F217" t="str">
        <f t="shared" si="101"/>
        <v>N2O</v>
      </c>
      <c r="G217" t="s">
        <v>377</v>
      </c>
      <c r="H217" s="27">
        <v>0</v>
      </c>
    </row>
    <row r="218" spans="1:8" x14ac:dyDescent="0.25">
      <c r="A218" t="str">
        <f t="shared" si="102"/>
        <v>3C Aggregated and non-CO2 emissions on land</v>
      </c>
      <c r="B218" t="str">
        <f t="shared" si="103"/>
        <v>3C6 Indirect N2O from manure management (N2O)</v>
      </c>
      <c r="C218" t="s">
        <v>443</v>
      </c>
      <c r="D218" t="str">
        <f>'Activity data'!D78</f>
        <v xml:space="preserve"> - Commercial swine</v>
      </c>
      <c r="E218" t="str">
        <f t="shared" si="104"/>
        <v>FracGasMS - Commercial swine</v>
      </c>
      <c r="F218" t="str">
        <f t="shared" si="101"/>
        <v>N2O</v>
      </c>
      <c r="G218" t="s">
        <v>377</v>
      </c>
      <c r="H218" s="27">
        <v>0.3649</v>
      </c>
    </row>
    <row r="219" spans="1:8" x14ac:dyDescent="0.25">
      <c r="A219" t="str">
        <f t="shared" si="102"/>
        <v>3C Aggregated and non-CO2 emissions on land</v>
      </c>
      <c r="B219" t="str">
        <f t="shared" si="103"/>
        <v>3C6 Indirect N2O from manure management (N2O)</v>
      </c>
      <c r="C219" t="s">
        <v>443</v>
      </c>
      <c r="D219" t="str">
        <f>'Activity data'!D79</f>
        <v xml:space="preserve"> - Subsistence swine</v>
      </c>
      <c r="E219" t="str">
        <f t="shared" si="104"/>
        <v>FracGasMS - Subsistence swine</v>
      </c>
      <c r="F219" t="str">
        <f t="shared" si="101"/>
        <v>N2O</v>
      </c>
      <c r="G219" t="s">
        <v>377</v>
      </c>
      <c r="H219" s="27">
        <v>0.23760000000000001</v>
      </c>
    </row>
    <row r="220" spans="1:8" x14ac:dyDescent="0.25">
      <c r="A220" t="str">
        <f t="shared" si="102"/>
        <v>3C Aggregated and non-CO2 emissions on land</v>
      </c>
      <c r="B220" t="str">
        <f t="shared" si="103"/>
        <v>3C6 Indirect N2O from manure management (N2O)</v>
      </c>
      <c r="C220" t="s">
        <v>443</v>
      </c>
      <c r="D220" t="str">
        <f>'Activity data'!D80</f>
        <v xml:space="preserve"> - Commercial layers</v>
      </c>
      <c r="E220" t="str">
        <f t="shared" si="104"/>
        <v>FracGasMS - Commercial layers</v>
      </c>
      <c r="F220" t="str">
        <f t="shared" si="101"/>
        <v>N2O</v>
      </c>
      <c r="G220" t="s">
        <v>377</v>
      </c>
      <c r="H220" s="27">
        <v>0.28899999999999998</v>
      </c>
    </row>
    <row r="221" spans="1:8" x14ac:dyDescent="0.25">
      <c r="A221" t="str">
        <f t="shared" si="102"/>
        <v>3C Aggregated and non-CO2 emissions on land</v>
      </c>
      <c r="B221" t="str">
        <f t="shared" si="103"/>
        <v>3C6 Indirect N2O from manure management (N2O)</v>
      </c>
      <c r="C221" t="s">
        <v>443</v>
      </c>
      <c r="D221" t="str">
        <f>'Activity data'!D81</f>
        <v xml:space="preserve"> - Commercial broilers</v>
      </c>
      <c r="E221" t="str">
        <f t="shared" si="104"/>
        <v>FracGasMS - Commercial broilers</v>
      </c>
      <c r="F221" t="str">
        <f t="shared" si="101"/>
        <v>N2O</v>
      </c>
      <c r="G221" t="s">
        <v>377</v>
      </c>
      <c r="H221" s="27">
        <v>0.3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T138"/>
  <sheetViews>
    <sheetView workbookViewId="0">
      <pane xSplit="1" topLeftCell="B1" activePane="topRight" state="frozen"/>
      <selection pane="topRight" activeCell="F22" sqref="F22:F34"/>
    </sheetView>
  </sheetViews>
  <sheetFormatPr defaultRowHeight="15" x14ac:dyDescent="0.25"/>
  <cols>
    <col min="1" max="1" width="62.85546875" customWidth="1"/>
    <col min="2" max="2" width="20.42578125" customWidth="1"/>
    <col min="3" max="3" width="8.5703125" customWidth="1"/>
    <col min="5" max="5" width="15.28515625" customWidth="1"/>
    <col min="6" max="6" width="19.140625" customWidth="1"/>
    <col min="8" max="8" width="10.5703125" customWidth="1"/>
    <col min="10" max="10" width="23.28515625" customWidth="1"/>
    <col min="13" max="13" width="15.42578125" customWidth="1"/>
    <col min="14" max="14" width="10.7109375" customWidth="1"/>
    <col min="16" max="16" width="21.7109375" customWidth="1"/>
    <col min="19" max="19" width="13.28515625" customWidth="1"/>
    <col min="20" max="20" width="10.5703125" customWidth="1"/>
  </cols>
  <sheetData>
    <row r="1" spans="1:20" ht="18.75" x14ac:dyDescent="0.3">
      <c r="A1" s="1" t="s">
        <v>277</v>
      </c>
    </row>
    <row r="3" spans="1:20" ht="15.75" x14ac:dyDescent="0.25">
      <c r="A3" s="17" t="s">
        <v>278</v>
      </c>
      <c r="B3" s="17" t="s">
        <v>280</v>
      </c>
      <c r="C3" s="17" t="s">
        <v>5</v>
      </c>
      <c r="D3" s="17" t="s">
        <v>279</v>
      </c>
      <c r="E3" s="17" t="s">
        <v>0</v>
      </c>
      <c r="F3" s="17" t="s">
        <v>281</v>
      </c>
      <c r="G3" s="17" t="s">
        <v>284</v>
      </c>
      <c r="H3" s="17" t="s">
        <v>285</v>
      </c>
      <c r="J3" s="17" t="s">
        <v>280</v>
      </c>
      <c r="K3" s="17" t="s">
        <v>5</v>
      </c>
      <c r="L3" s="17" t="s">
        <v>279</v>
      </c>
      <c r="M3" s="17" t="s">
        <v>0</v>
      </c>
      <c r="N3" s="17" t="s">
        <v>285</v>
      </c>
      <c r="P3" s="17" t="s">
        <v>280</v>
      </c>
      <c r="Q3" s="17" t="s">
        <v>5</v>
      </c>
      <c r="R3" s="17" t="s">
        <v>310</v>
      </c>
      <c r="S3" s="17" t="s">
        <v>0</v>
      </c>
      <c r="T3" s="17" t="s">
        <v>285</v>
      </c>
    </row>
    <row r="4" spans="1:20" x14ac:dyDescent="0.25">
      <c r="A4" s="13" t="s">
        <v>2</v>
      </c>
    </row>
    <row r="5" spans="1:20" x14ac:dyDescent="0.25">
      <c r="A5" s="14" t="s">
        <v>156</v>
      </c>
      <c r="B5" t="s">
        <v>97</v>
      </c>
      <c r="C5" t="s">
        <v>121</v>
      </c>
      <c r="D5" s="21">
        <v>127</v>
      </c>
      <c r="E5" t="s">
        <v>144</v>
      </c>
      <c r="F5" s="21">
        <v>362133.25145839731</v>
      </c>
      <c r="G5" s="22">
        <f>F5/SUM($F$5:$F$7)</f>
        <v>0.71719117961892542</v>
      </c>
      <c r="H5" s="22">
        <f>D5*G5</f>
        <v>91.083279811603532</v>
      </c>
      <c r="J5" t="s">
        <v>98</v>
      </c>
      <c r="K5" t="s">
        <v>121</v>
      </c>
      <c r="L5" s="21">
        <v>4.9800000000000004</v>
      </c>
      <c r="M5" t="s">
        <v>144</v>
      </c>
      <c r="N5" s="22">
        <f>L5*G5</f>
        <v>3.5716120745022488</v>
      </c>
      <c r="P5" t="s">
        <v>98</v>
      </c>
      <c r="Q5" t="s">
        <v>139</v>
      </c>
      <c r="R5" s="21">
        <v>118.26</v>
      </c>
      <c r="S5" t="s">
        <v>311</v>
      </c>
      <c r="T5" s="22">
        <f>R5*G5</f>
        <v>84.815028901734124</v>
      </c>
    </row>
    <row r="6" spans="1:20" x14ac:dyDescent="0.25">
      <c r="A6" s="14" t="s">
        <v>157</v>
      </c>
      <c r="B6" t="str">
        <f>$B$5</f>
        <v>Enteric fermentation</v>
      </c>
      <c r="C6" t="str">
        <f>$C$5</f>
        <v>CH4</v>
      </c>
      <c r="D6" s="21">
        <v>83.4</v>
      </c>
      <c r="E6" t="s">
        <v>144</v>
      </c>
      <c r="F6" s="21">
        <v>88281.240405280929</v>
      </c>
      <c r="G6" s="22">
        <f t="shared" ref="G6:G7" si="0">F6/SUM($F$5:$F$7)</f>
        <v>0.17483765075287233</v>
      </c>
      <c r="H6" s="22">
        <f t="shared" ref="H6:H10" si="1">D6*G6</f>
        <v>14.581460072789554</v>
      </c>
      <c r="J6" t="str">
        <f>$J$5</f>
        <v>Manure management</v>
      </c>
      <c r="K6" t="str">
        <f>$K$5</f>
        <v>CH4</v>
      </c>
      <c r="L6" s="21">
        <v>1.1100000000000001</v>
      </c>
      <c r="M6" t="s">
        <v>144</v>
      </c>
      <c r="N6" s="22">
        <f t="shared" ref="N6:N69" si="2">L6*G6</f>
        <v>0.1940697923356883</v>
      </c>
      <c r="P6" t="str">
        <f>$P$5</f>
        <v>Manure management</v>
      </c>
      <c r="Q6" t="str">
        <f>$Q$5</f>
        <v>N2O</v>
      </c>
      <c r="R6" s="21">
        <v>124.173</v>
      </c>
      <c r="S6" t="s">
        <v>311</v>
      </c>
      <c r="T6" s="22">
        <f t="shared" ref="T6:T69" si="3">R6*G6</f>
        <v>21.710115606936416</v>
      </c>
    </row>
    <row r="7" spans="1:20" x14ac:dyDescent="0.25">
      <c r="A7" s="14" t="s">
        <v>158</v>
      </c>
      <c r="B7" t="str">
        <f t="shared" ref="B7:B10" si="4">$B$5</f>
        <v>Enteric fermentation</v>
      </c>
      <c r="C7" t="str">
        <f t="shared" ref="C7:C10" si="5">$C$5</f>
        <v>CH4</v>
      </c>
      <c r="D7" s="21">
        <v>116</v>
      </c>
      <c r="E7" t="s">
        <v>144</v>
      </c>
      <c r="F7" s="21">
        <v>54518.170095179601</v>
      </c>
      <c r="G7" s="22">
        <f t="shared" si="0"/>
        <v>0.10797116962820237</v>
      </c>
      <c r="H7" s="22">
        <f t="shared" si="1"/>
        <v>12.524655676871475</v>
      </c>
      <c r="J7" t="str">
        <f t="shared" ref="J7:J10" si="6">$J$5</f>
        <v>Manure management</v>
      </c>
      <c r="K7" t="str">
        <f t="shared" ref="K7:K10" si="7">$K$5</f>
        <v>CH4</v>
      </c>
      <c r="L7" s="21">
        <v>4.8</v>
      </c>
      <c r="M7" t="s">
        <v>144</v>
      </c>
      <c r="N7" s="22">
        <f t="shared" si="2"/>
        <v>0.51826161421537131</v>
      </c>
      <c r="P7" t="str">
        <f t="shared" ref="P7:P10" si="8">$P$5</f>
        <v>Manure management</v>
      </c>
      <c r="Q7" t="str">
        <f t="shared" ref="Q7:Q10" si="9">$Q$5</f>
        <v>N2O</v>
      </c>
      <c r="R7" s="21">
        <v>95.921999999999997</v>
      </c>
      <c r="S7" t="s">
        <v>311</v>
      </c>
      <c r="T7" s="22">
        <f t="shared" si="3"/>
        <v>10.356810533076427</v>
      </c>
    </row>
    <row r="8" spans="1:20" x14ac:dyDescent="0.25">
      <c r="A8" s="14" t="s">
        <v>159</v>
      </c>
      <c r="B8" t="str">
        <f t="shared" si="4"/>
        <v>Enteric fermentation</v>
      </c>
      <c r="C8" t="str">
        <f t="shared" si="5"/>
        <v>CH4</v>
      </c>
      <c r="D8" s="21">
        <v>132</v>
      </c>
      <c r="E8" t="s">
        <v>144</v>
      </c>
      <c r="F8" s="21">
        <v>441866.74854160275</v>
      </c>
      <c r="G8" s="22">
        <f>F8/SUM($F$8:$F$10)</f>
        <v>0.71719117961892531</v>
      </c>
      <c r="H8" s="22">
        <f t="shared" si="1"/>
        <v>94.669235709698143</v>
      </c>
      <c r="J8" t="str">
        <f t="shared" si="6"/>
        <v>Manure management</v>
      </c>
      <c r="K8" t="str">
        <f t="shared" si="7"/>
        <v>CH4</v>
      </c>
      <c r="L8" s="21">
        <v>14.8</v>
      </c>
      <c r="M8" t="s">
        <v>144</v>
      </c>
      <c r="N8" s="22">
        <f t="shared" si="2"/>
        <v>10.614429458360096</v>
      </c>
      <c r="P8" t="str">
        <f t="shared" si="8"/>
        <v>Manure management</v>
      </c>
      <c r="Q8" t="str">
        <f t="shared" si="9"/>
        <v>N2O</v>
      </c>
      <c r="R8" s="21">
        <v>129.20999999999998</v>
      </c>
      <c r="S8" t="s">
        <v>311</v>
      </c>
      <c r="T8" s="22">
        <f t="shared" si="3"/>
        <v>92.668272318561321</v>
      </c>
    </row>
    <row r="9" spans="1:20" x14ac:dyDescent="0.25">
      <c r="A9" s="14" t="s">
        <v>160</v>
      </c>
      <c r="B9" t="str">
        <f t="shared" si="4"/>
        <v>Enteric fermentation</v>
      </c>
      <c r="C9" t="str">
        <f t="shared" si="5"/>
        <v>CH4</v>
      </c>
      <c r="D9" s="21">
        <v>80.400000000000006</v>
      </c>
      <c r="E9" t="s">
        <v>144</v>
      </c>
      <c r="F9" s="21">
        <v>107718.75959471907</v>
      </c>
      <c r="G9" s="22">
        <f t="shared" ref="G9:G10" si="10">F9/SUM($F$8:$F$10)</f>
        <v>0.17483765075287233</v>
      </c>
      <c r="H9" s="22">
        <f t="shared" si="1"/>
        <v>14.056947120530936</v>
      </c>
      <c r="J9" t="str">
        <f t="shared" si="6"/>
        <v>Manure management</v>
      </c>
      <c r="K9" t="str">
        <f t="shared" si="7"/>
        <v>CH4</v>
      </c>
      <c r="L9" s="21">
        <v>1.47</v>
      </c>
      <c r="M9" t="s">
        <v>144</v>
      </c>
      <c r="N9" s="22">
        <f t="shared" si="2"/>
        <v>0.25701134660672231</v>
      </c>
      <c r="P9" t="str">
        <f t="shared" si="8"/>
        <v>Manure management</v>
      </c>
      <c r="Q9" t="str">
        <f t="shared" si="9"/>
        <v>N2O</v>
      </c>
      <c r="R9" s="21">
        <v>135.6705</v>
      </c>
      <c r="S9" t="s">
        <v>311</v>
      </c>
      <c r="T9" s="22">
        <f t="shared" si="3"/>
        <v>23.720311496467566</v>
      </c>
    </row>
    <row r="10" spans="1:20" x14ac:dyDescent="0.25">
      <c r="A10" s="14" t="s">
        <v>161</v>
      </c>
      <c r="B10" t="str">
        <f t="shared" si="4"/>
        <v>Enteric fermentation</v>
      </c>
      <c r="C10" t="str">
        <f t="shared" si="5"/>
        <v>CH4</v>
      </c>
      <c r="D10" s="21">
        <v>127</v>
      </c>
      <c r="E10" t="s">
        <v>144</v>
      </c>
      <c r="F10" s="21">
        <v>66521.829904820392</v>
      </c>
      <c r="G10" s="22">
        <f t="shared" si="10"/>
        <v>0.10797116962820238</v>
      </c>
      <c r="H10" s="22">
        <f t="shared" si="1"/>
        <v>13.712338542781703</v>
      </c>
      <c r="J10" t="str">
        <f t="shared" si="6"/>
        <v>Manure management</v>
      </c>
      <c r="K10" t="str">
        <f t="shared" si="7"/>
        <v>CH4</v>
      </c>
      <c r="L10" s="21">
        <v>14.7</v>
      </c>
      <c r="M10" t="s">
        <v>144</v>
      </c>
      <c r="N10" s="22">
        <f t="shared" si="2"/>
        <v>1.587176193534575</v>
      </c>
      <c r="P10" t="str">
        <f t="shared" si="8"/>
        <v>Manure management</v>
      </c>
      <c r="Q10" t="str">
        <f t="shared" si="9"/>
        <v>N2O</v>
      </c>
      <c r="R10" s="21">
        <v>110.15700000000001</v>
      </c>
      <c r="S10" t="s">
        <v>311</v>
      </c>
      <c r="T10" s="22">
        <f t="shared" si="3"/>
        <v>11.893780132733891</v>
      </c>
    </row>
    <row r="11" spans="1:20" x14ac:dyDescent="0.25">
      <c r="A11" s="13" t="s">
        <v>151</v>
      </c>
      <c r="M11" s="13"/>
    </row>
    <row r="12" spans="1:20" x14ac:dyDescent="0.25">
      <c r="A12" s="14" t="s">
        <v>162</v>
      </c>
      <c r="B12" t="str">
        <f t="shared" ref="B12:B34" si="11">$B$5</f>
        <v>Enteric fermentation</v>
      </c>
      <c r="C12" t="str">
        <f t="shared" ref="C12:C34" si="12">$C$5</f>
        <v>CH4</v>
      </c>
      <c r="D12" s="21">
        <v>20</v>
      </c>
      <c r="E12" t="s">
        <v>144</v>
      </c>
      <c r="F12" s="21">
        <v>58517.112103162421</v>
      </c>
      <c r="G12" s="22">
        <f>F12/SUM($F$12:$F$21)</f>
        <v>8.6862621266192389E-2</v>
      </c>
      <c r="H12" s="22">
        <f>D12*G12</f>
        <v>1.7372524253238477</v>
      </c>
      <c r="J12" t="str">
        <f t="shared" ref="J12:J34" si="13">$J$5</f>
        <v>Manure management</v>
      </c>
      <c r="K12" t="str">
        <f t="shared" ref="K12:K34" si="14">$K$5</f>
        <v>CH4</v>
      </c>
      <c r="L12" s="21">
        <v>0.32</v>
      </c>
      <c r="M12" t="s">
        <v>144</v>
      </c>
      <c r="N12" s="22">
        <f t="shared" si="2"/>
        <v>2.7796038805181566E-2</v>
      </c>
      <c r="P12" t="str">
        <f t="shared" ref="P12:P34" si="15">$P$5</f>
        <v>Manure management</v>
      </c>
      <c r="Q12" t="str">
        <f t="shared" ref="Q12:Q34" si="16">$Q$5</f>
        <v>N2O</v>
      </c>
      <c r="R12" s="21">
        <v>8.2782</v>
      </c>
      <c r="S12" t="s">
        <v>311</v>
      </c>
      <c r="T12" s="22">
        <f t="shared" si="3"/>
        <v>0.71906615136579388</v>
      </c>
    </row>
    <row r="13" spans="1:20" x14ac:dyDescent="0.25">
      <c r="A13" s="14" t="s">
        <v>163</v>
      </c>
      <c r="B13" t="str">
        <f t="shared" si="11"/>
        <v>Enteric fermentation</v>
      </c>
      <c r="C13" t="str">
        <f t="shared" si="12"/>
        <v>CH4</v>
      </c>
      <c r="D13" s="21">
        <v>24.5</v>
      </c>
      <c r="E13" t="s">
        <v>144</v>
      </c>
      <c r="F13" s="21">
        <v>58517.112103162421</v>
      </c>
      <c r="G13" s="22">
        <f t="shared" ref="G13:G21" si="17">F13/SUM($F$12:$F$21)</f>
        <v>8.6862621266192389E-2</v>
      </c>
      <c r="H13" s="22">
        <f t="shared" ref="H13:H76" si="18">D13*G13</f>
        <v>2.1281342210217136</v>
      </c>
      <c r="J13" t="str">
        <f t="shared" si="13"/>
        <v>Manure management</v>
      </c>
      <c r="K13" t="str">
        <f t="shared" si="14"/>
        <v>CH4</v>
      </c>
      <c r="L13" s="21">
        <v>0.4</v>
      </c>
      <c r="M13" t="s">
        <v>144</v>
      </c>
      <c r="N13" s="22">
        <f t="shared" si="2"/>
        <v>3.4745048506476958E-2</v>
      </c>
      <c r="P13" t="str">
        <f t="shared" si="15"/>
        <v>Manure management</v>
      </c>
      <c r="Q13" t="str">
        <f t="shared" si="16"/>
        <v>N2O</v>
      </c>
      <c r="R13" s="21">
        <v>12.417300000000001</v>
      </c>
      <c r="S13" t="s">
        <v>311</v>
      </c>
      <c r="T13" s="22">
        <f t="shared" si="3"/>
        <v>1.0785992270486908</v>
      </c>
    </row>
    <row r="14" spans="1:20" x14ac:dyDescent="0.25">
      <c r="A14" s="14" t="s">
        <v>164</v>
      </c>
      <c r="B14" t="str">
        <f t="shared" si="11"/>
        <v>Enteric fermentation</v>
      </c>
      <c r="C14" t="str">
        <f t="shared" si="12"/>
        <v>CH4</v>
      </c>
      <c r="D14" s="21">
        <v>37.1</v>
      </c>
      <c r="E14" t="s">
        <v>144</v>
      </c>
      <c r="F14" s="21">
        <v>87775.668154743631</v>
      </c>
      <c r="G14" s="22">
        <f t="shared" si="17"/>
        <v>0.13029393189928859</v>
      </c>
      <c r="H14" s="22">
        <f t="shared" si="18"/>
        <v>4.8339048734636068</v>
      </c>
      <c r="J14" t="str">
        <f t="shared" si="13"/>
        <v>Manure management</v>
      </c>
      <c r="K14" t="str">
        <f t="shared" si="14"/>
        <v>CH4</v>
      </c>
      <c r="L14" s="21">
        <v>0.57999999999999996</v>
      </c>
      <c r="M14" t="s">
        <v>144</v>
      </c>
      <c r="N14" s="22">
        <f t="shared" si="2"/>
        <v>7.5570480501587378E-2</v>
      </c>
      <c r="P14" t="str">
        <f t="shared" si="15"/>
        <v>Manure management</v>
      </c>
      <c r="Q14" t="str">
        <f t="shared" si="16"/>
        <v>N2O</v>
      </c>
      <c r="R14" s="21">
        <v>32.652900000000002</v>
      </c>
      <c r="S14" t="s">
        <v>311</v>
      </c>
      <c r="T14" s="22">
        <f t="shared" si="3"/>
        <v>4.254474728914281</v>
      </c>
    </row>
    <row r="15" spans="1:20" x14ac:dyDescent="0.25">
      <c r="A15" s="14" t="s">
        <v>165</v>
      </c>
      <c r="B15" t="str">
        <f t="shared" si="11"/>
        <v>Enteric fermentation</v>
      </c>
      <c r="C15" t="str">
        <f t="shared" si="12"/>
        <v>CH4</v>
      </c>
      <c r="D15" s="21">
        <v>52.6</v>
      </c>
      <c r="E15" t="s">
        <v>144</v>
      </c>
      <c r="F15" s="21">
        <v>25115.112066318696</v>
      </c>
      <c r="G15" s="22">
        <f t="shared" si="17"/>
        <v>3.7280795122436018E-2</v>
      </c>
      <c r="H15" s="22">
        <f t="shared" si="18"/>
        <v>1.9609698234401347</v>
      </c>
      <c r="J15" t="str">
        <f t="shared" si="13"/>
        <v>Manure management</v>
      </c>
      <c r="K15" t="str">
        <f t="shared" si="14"/>
        <v>CH4</v>
      </c>
      <c r="L15" s="21">
        <v>0.78</v>
      </c>
      <c r="M15" t="s">
        <v>144</v>
      </c>
      <c r="N15" s="22">
        <f t="shared" si="2"/>
        <v>2.9079020195500096E-2</v>
      </c>
      <c r="P15" t="str">
        <f t="shared" si="15"/>
        <v>Manure management</v>
      </c>
      <c r="Q15" t="str">
        <f t="shared" si="16"/>
        <v>N2O</v>
      </c>
      <c r="R15" s="21">
        <v>58.407299999999999</v>
      </c>
      <c r="S15" t="s">
        <v>311</v>
      </c>
      <c r="T15" s="22">
        <f t="shared" si="3"/>
        <v>2.1774705849546572</v>
      </c>
    </row>
    <row r="16" spans="1:20" x14ac:dyDescent="0.25">
      <c r="A16" s="14" t="s">
        <v>166</v>
      </c>
      <c r="B16" t="str">
        <f t="shared" si="11"/>
        <v>Enteric fermentation</v>
      </c>
      <c r="C16" t="str">
        <f t="shared" si="12"/>
        <v>CH4</v>
      </c>
      <c r="D16" s="21">
        <v>61.8</v>
      </c>
      <c r="E16" t="s">
        <v>144</v>
      </c>
      <c r="F16" s="21">
        <v>73507.645072152271</v>
      </c>
      <c r="G16" s="22">
        <f t="shared" si="17"/>
        <v>0.10911452230956882</v>
      </c>
      <c r="H16" s="22">
        <f t="shared" si="18"/>
        <v>6.7432774787313532</v>
      </c>
      <c r="J16" t="str">
        <f t="shared" si="13"/>
        <v>Manure management</v>
      </c>
      <c r="K16" t="str">
        <f t="shared" si="14"/>
        <v>CH4</v>
      </c>
      <c r="L16" s="21">
        <v>0.88</v>
      </c>
      <c r="M16" t="s">
        <v>144</v>
      </c>
      <c r="N16" s="22">
        <f t="shared" si="2"/>
        <v>9.6020779632420561E-2</v>
      </c>
      <c r="P16" t="str">
        <f t="shared" si="15"/>
        <v>Manure management</v>
      </c>
      <c r="Q16" t="str">
        <f t="shared" si="16"/>
        <v>N2O</v>
      </c>
      <c r="R16" s="21">
        <v>76.573350000000005</v>
      </c>
      <c r="S16" t="s">
        <v>311</v>
      </c>
      <c r="T16" s="22">
        <f t="shared" si="3"/>
        <v>8.3552645068934215</v>
      </c>
    </row>
    <row r="17" spans="1:20" x14ac:dyDescent="0.25">
      <c r="A17" s="14" t="s">
        <v>167</v>
      </c>
      <c r="B17" t="str">
        <f t="shared" si="11"/>
        <v>Enteric fermentation</v>
      </c>
      <c r="C17" t="str">
        <f t="shared" si="12"/>
        <v>CH4</v>
      </c>
      <c r="D17" s="21">
        <v>21.5</v>
      </c>
      <c r="E17" t="s">
        <v>144</v>
      </c>
      <c r="F17" s="21">
        <v>71401.24789683758</v>
      </c>
      <c r="G17" s="22">
        <f t="shared" si="17"/>
        <v>0.10598779281968941</v>
      </c>
      <c r="H17" s="22">
        <f t="shared" si="18"/>
        <v>2.2787375456233225</v>
      </c>
      <c r="J17" t="str">
        <f t="shared" si="13"/>
        <v>Manure management</v>
      </c>
      <c r="K17" t="str">
        <f t="shared" si="14"/>
        <v>CH4</v>
      </c>
      <c r="L17" s="21">
        <v>0.21</v>
      </c>
      <c r="M17" t="s">
        <v>144</v>
      </c>
      <c r="N17" s="22">
        <f t="shared" si="2"/>
        <v>2.2257436492134776E-2</v>
      </c>
      <c r="P17" t="str">
        <f t="shared" si="15"/>
        <v>Manure management</v>
      </c>
      <c r="Q17" t="str">
        <f t="shared" si="16"/>
        <v>N2O</v>
      </c>
      <c r="R17" s="21">
        <v>8.0482500000000012</v>
      </c>
      <c r="S17" t="s">
        <v>311</v>
      </c>
      <c r="T17" s="22">
        <f t="shared" si="3"/>
        <v>0.85301625356106547</v>
      </c>
    </row>
    <row r="18" spans="1:20" x14ac:dyDescent="0.25">
      <c r="A18" s="14" t="s">
        <v>168</v>
      </c>
      <c r="B18" t="str">
        <f t="shared" si="11"/>
        <v>Enteric fermentation</v>
      </c>
      <c r="C18" t="str">
        <f t="shared" si="12"/>
        <v>CH4</v>
      </c>
      <c r="D18" s="21">
        <v>62.6</v>
      </c>
      <c r="E18" t="s">
        <v>144</v>
      </c>
      <c r="F18" s="21">
        <v>71401.24789683758</v>
      </c>
      <c r="G18" s="22">
        <f t="shared" si="17"/>
        <v>0.10598779281968941</v>
      </c>
      <c r="H18" s="22">
        <f t="shared" si="18"/>
        <v>6.6348358305125572</v>
      </c>
      <c r="J18" t="str">
        <f t="shared" si="13"/>
        <v>Manure management</v>
      </c>
      <c r="K18" t="str">
        <f t="shared" si="14"/>
        <v>CH4</v>
      </c>
      <c r="L18" s="21">
        <v>1.19</v>
      </c>
      <c r="M18" t="s">
        <v>144</v>
      </c>
      <c r="N18" s="22">
        <f t="shared" si="2"/>
        <v>0.1261254734554304</v>
      </c>
      <c r="P18" t="str">
        <f t="shared" si="15"/>
        <v>Manure management</v>
      </c>
      <c r="Q18" t="str">
        <f t="shared" si="16"/>
        <v>N2O</v>
      </c>
      <c r="R18" s="21">
        <v>12.64725</v>
      </c>
      <c r="S18" t="s">
        <v>311</v>
      </c>
      <c r="T18" s="22">
        <f t="shared" si="3"/>
        <v>1.3404541127388168</v>
      </c>
    </row>
    <row r="19" spans="1:20" x14ac:dyDescent="0.25">
      <c r="A19" s="14" t="s">
        <v>169</v>
      </c>
      <c r="B19" t="str">
        <f t="shared" si="11"/>
        <v>Enteric fermentation</v>
      </c>
      <c r="C19" t="str">
        <f t="shared" si="12"/>
        <v>CH4</v>
      </c>
      <c r="D19" s="21">
        <v>42.1</v>
      </c>
      <c r="E19" t="s">
        <v>144</v>
      </c>
      <c r="F19" s="21">
        <v>107101.87184525639</v>
      </c>
      <c r="G19" s="22">
        <f t="shared" si="17"/>
        <v>0.15898168922953415</v>
      </c>
      <c r="H19" s="22">
        <f t="shared" si="18"/>
        <v>6.6931291165633882</v>
      </c>
      <c r="J19" t="str">
        <f t="shared" si="13"/>
        <v>Manure management</v>
      </c>
      <c r="K19" t="str">
        <f t="shared" si="14"/>
        <v>CH4</v>
      </c>
      <c r="L19" s="21">
        <v>0.75</v>
      </c>
      <c r="M19" t="s">
        <v>144</v>
      </c>
      <c r="N19" s="22">
        <f t="shared" si="2"/>
        <v>0.11923626692215061</v>
      </c>
      <c r="P19" t="str">
        <f t="shared" si="15"/>
        <v>Manure management</v>
      </c>
      <c r="Q19" t="str">
        <f t="shared" si="16"/>
        <v>N2O</v>
      </c>
      <c r="R19" s="21">
        <v>39.551400000000001</v>
      </c>
      <c r="S19" t="s">
        <v>311</v>
      </c>
      <c r="T19" s="22">
        <f t="shared" si="3"/>
        <v>6.2879483833929974</v>
      </c>
    </row>
    <row r="20" spans="1:20" x14ac:dyDescent="0.25">
      <c r="A20" s="14" t="s">
        <v>170</v>
      </c>
      <c r="B20" t="str">
        <f t="shared" si="11"/>
        <v>Enteric fermentation</v>
      </c>
      <c r="C20" t="str">
        <f t="shared" si="12"/>
        <v>CH4</v>
      </c>
      <c r="D20" s="21">
        <v>22.5</v>
      </c>
      <c r="E20" t="s">
        <v>144</v>
      </c>
      <c r="F20" s="21">
        <v>30644.887933681304</v>
      </c>
      <c r="G20" s="22">
        <f t="shared" si="17"/>
        <v>4.5489177415923988E-2</v>
      </c>
      <c r="H20" s="22">
        <f t="shared" si="18"/>
        <v>1.0235064918582897</v>
      </c>
      <c r="J20" t="str">
        <f t="shared" si="13"/>
        <v>Manure management</v>
      </c>
      <c r="K20" t="str">
        <f t="shared" si="14"/>
        <v>CH4</v>
      </c>
      <c r="L20" s="21">
        <v>0.37</v>
      </c>
      <c r="M20" t="s">
        <v>144</v>
      </c>
      <c r="N20" s="22">
        <f t="shared" si="2"/>
        <v>1.6830995643891875E-2</v>
      </c>
      <c r="P20" t="str">
        <f t="shared" si="15"/>
        <v>Manure management</v>
      </c>
      <c r="Q20" t="str">
        <f t="shared" si="16"/>
        <v>N2O</v>
      </c>
      <c r="R20" s="21">
        <v>74.043900000000008</v>
      </c>
      <c r="S20" t="s">
        <v>311</v>
      </c>
      <c r="T20" s="22">
        <f t="shared" si="3"/>
        <v>3.3681961036669343</v>
      </c>
    </row>
    <row r="21" spans="1:20" x14ac:dyDescent="0.25">
      <c r="A21" s="14" t="s">
        <v>171</v>
      </c>
      <c r="B21" t="str">
        <f t="shared" si="11"/>
        <v>Enteric fermentation</v>
      </c>
      <c r="C21" t="str">
        <f t="shared" si="12"/>
        <v>CH4</v>
      </c>
      <c r="D21" s="21">
        <v>67.7</v>
      </c>
      <c r="E21" t="s">
        <v>144</v>
      </c>
      <c r="F21" s="21">
        <v>89692.354927847715</v>
      </c>
      <c r="G21" s="22">
        <f t="shared" si="17"/>
        <v>0.13313905585148483</v>
      </c>
      <c r="H21" s="22">
        <f t="shared" si="18"/>
        <v>9.013514081145523</v>
      </c>
      <c r="J21" t="str">
        <f t="shared" si="13"/>
        <v>Manure management</v>
      </c>
      <c r="K21" t="str">
        <f t="shared" si="14"/>
        <v>CH4</v>
      </c>
      <c r="L21" s="21">
        <v>1.24</v>
      </c>
      <c r="M21" t="s">
        <v>144</v>
      </c>
      <c r="N21" s="22">
        <f t="shared" si="2"/>
        <v>0.16509242925584119</v>
      </c>
      <c r="P21" t="str">
        <f t="shared" si="15"/>
        <v>Manure management</v>
      </c>
      <c r="Q21" t="str">
        <f t="shared" si="16"/>
        <v>N2O</v>
      </c>
      <c r="R21" s="21">
        <v>90.600300000000004</v>
      </c>
      <c r="S21" t="s">
        <v>311</v>
      </c>
      <c r="T21" s="22">
        <f t="shared" si="3"/>
        <v>12.062438401861282</v>
      </c>
    </row>
    <row r="22" spans="1:20" x14ac:dyDescent="0.25">
      <c r="A22" s="14" t="s">
        <v>172</v>
      </c>
      <c r="B22" t="str">
        <f t="shared" si="11"/>
        <v>Enteric fermentation</v>
      </c>
      <c r="C22" t="str">
        <f t="shared" si="12"/>
        <v>CH4</v>
      </c>
      <c r="D22" s="21">
        <v>113</v>
      </c>
      <c r="E22" t="s">
        <v>144</v>
      </c>
      <c r="F22" s="21">
        <v>160017.76666666666</v>
      </c>
      <c r="G22" s="22">
        <f>F22/SUM($F$22:$F$24,$F$26:$F$28)</f>
        <v>2.6554920846633981E-2</v>
      </c>
      <c r="H22" s="22">
        <f>D22*G22</f>
        <v>3.0007060556696397</v>
      </c>
      <c r="J22" t="str">
        <f t="shared" si="13"/>
        <v>Manure management</v>
      </c>
      <c r="K22" t="str">
        <f t="shared" si="14"/>
        <v>CH4</v>
      </c>
      <c r="L22" s="21">
        <v>2.1999999999999999E-2</v>
      </c>
      <c r="M22" t="s">
        <v>144</v>
      </c>
      <c r="N22" s="22">
        <f t="shared" si="2"/>
        <v>5.842082586259475E-4</v>
      </c>
      <c r="P22" t="str">
        <f t="shared" si="15"/>
        <v>Manure management</v>
      </c>
      <c r="Q22" t="str">
        <f t="shared" si="16"/>
        <v>N2O</v>
      </c>
      <c r="R22" s="21">
        <v>168.55334999999999</v>
      </c>
      <c r="S22" t="s">
        <v>311</v>
      </c>
      <c r="T22" s="22">
        <f t="shared" si="3"/>
        <v>4.4759208676849935</v>
      </c>
    </row>
    <row r="23" spans="1:20" x14ac:dyDescent="0.25">
      <c r="A23" s="14" t="s">
        <v>173</v>
      </c>
      <c r="B23" t="str">
        <f t="shared" si="11"/>
        <v>Enteric fermentation</v>
      </c>
      <c r="C23" t="str">
        <f t="shared" si="12"/>
        <v>CH4</v>
      </c>
      <c r="D23" s="21">
        <v>51.6</v>
      </c>
      <c r="E23" t="s">
        <v>144</v>
      </c>
      <c r="F23" s="21">
        <v>1455775.5333333332</v>
      </c>
      <c r="G23" s="22">
        <f t="shared" ref="G23:G28" si="19">F23/SUM($F$22:$F$24,$F$26:$F$28)</f>
        <v>0.24158569928464005</v>
      </c>
      <c r="H23" s="22">
        <f t="shared" si="18"/>
        <v>12.465822083087426</v>
      </c>
      <c r="J23" t="str">
        <f t="shared" si="13"/>
        <v>Manure management</v>
      </c>
      <c r="K23" t="str">
        <f t="shared" si="14"/>
        <v>CH4</v>
      </c>
      <c r="L23" s="21">
        <v>1.2E-2</v>
      </c>
      <c r="M23" t="s">
        <v>144</v>
      </c>
      <c r="N23" s="22">
        <f t="shared" si="2"/>
        <v>2.8990283914156808E-3</v>
      </c>
      <c r="P23" t="str">
        <f t="shared" si="15"/>
        <v>Manure management</v>
      </c>
      <c r="Q23" t="str">
        <f t="shared" si="16"/>
        <v>N2O</v>
      </c>
      <c r="R23" s="21">
        <v>43.6905</v>
      </c>
      <c r="S23" t="s">
        <v>311</v>
      </c>
      <c r="T23" s="22">
        <f t="shared" si="3"/>
        <v>10.554999994595565</v>
      </c>
    </row>
    <row r="24" spans="1:20" x14ac:dyDescent="0.25">
      <c r="A24" s="14" t="s">
        <v>174</v>
      </c>
      <c r="B24" t="str">
        <f t="shared" si="11"/>
        <v>Enteric fermentation</v>
      </c>
      <c r="C24" t="str">
        <f t="shared" si="12"/>
        <v>CH4</v>
      </c>
      <c r="D24" s="21">
        <v>92.6</v>
      </c>
      <c r="E24" t="s">
        <v>144</v>
      </c>
      <c r="F24" s="21">
        <v>2980000</v>
      </c>
      <c r="G24" s="22">
        <f t="shared" si="19"/>
        <v>0.49453048727903293</v>
      </c>
      <c r="H24" s="22">
        <f t="shared" si="18"/>
        <v>45.793523122038444</v>
      </c>
      <c r="J24" t="str">
        <f t="shared" si="13"/>
        <v>Manure management</v>
      </c>
      <c r="K24" t="str">
        <f t="shared" si="14"/>
        <v>CH4</v>
      </c>
      <c r="L24" s="21">
        <v>1.7999999999999999E-2</v>
      </c>
      <c r="M24" t="s">
        <v>144</v>
      </c>
      <c r="N24" s="22">
        <f t="shared" si="2"/>
        <v>8.9015487710225917E-3</v>
      </c>
      <c r="P24" t="str">
        <f t="shared" si="15"/>
        <v>Manure management</v>
      </c>
      <c r="Q24" t="str">
        <f t="shared" si="16"/>
        <v>N2O</v>
      </c>
      <c r="R24" s="21">
        <v>109.22624999999998</v>
      </c>
      <c r="S24" t="s">
        <v>311</v>
      </c>
      <c r="T24" s="22">
        <f t="shared" si="3"/>
        <v>54.015710636161458</v>
      </c>
    </row>
    <row r="25" spans="1:20" x14ac:dyDescent="0.25">
      <c r="A25" s="14" t="s">
        <v>175</v>
      </c>
      <c r="B25" t="str">
        <f t="shared" si="11"/>
        <v>Enteric fermentation</v>
      </c>
      <c r="C25" t="str">
        <f t="shared" si="12"/>
        <v>CH4</v>
      </c>
      <c r="D25" s="21">
        <v>58.9</v>
      </c>
      <c r="E25" t="s">
        <v>144</v>
      </c>
      <c r="F25" s="21">
        <v>399822.33333333331</v>
      </c>
      <c r="G25" s="22">
        <v>1</v>
      </c>
      <c r="H25" s="22">
        <f>D25*G25</f>
        <v>58.9</v>
      </c>
      <c r="J25" t="str">
        <f t="shared" si="13"/>
        <v>Manure management</v>
      </c>
      <c r="K25" t="str">
        <f t="shared" si="14"/>
        <v>CH4</v>
      </c>
      <c r="L25" s="21">
        <v>0.87</v>
      </c>
      <c r="M25" t="s">
        <v>144</v>
      </c>
      <c r="N25" s="22">
        <f t="shared" si="2"/>
        <v>0.87</v>
      </c>
      <c r="P25" t="str">
        <f t="shared" si="15"/>
        <v>Manure management</v>
      </c>
      <c r="Q25" t="str">
        <f t="shared" si="16"/>
        <v>N2O</v>
      </c>
      <c r="R25" s="21">
        <v>65.765699999999995</v>
      </c>
      <c r="S25" t="s">
        <v>311</v>
      </c>
      <c r="T25" s="22">
        <f t="shared" si="3"/>
        <v>65.765699999999995</v>
      </c>
    </row>
    <row r="26" spans="1:20" x14ac:dyDescent="0.25">
      <c r="A26" s="14" t="s">
        <v>176</v>
      </c>
      <c r="B26" t="str">
        <f t="shared" si="11"/>
        <v>Enteric fermentation</v>
      </c>
      <c r="C26" t="str">
        <f t="shared" si="12"/>
        <v>CH4</v>
      </c>
      <c r="D26" s="21">
        <v>75.900000000000006</v>
      </c>
      <c r="E26" t="s">
        <v>144</v>
      </c>
      <c r="F26" s="21">
        <v>798049.7466666667</v>
      </c>
      <c r="G26" s="22">
        <f t="shared" si="19"/>
        <v>0.13243621815166962</v>
      </c>
      <c r="H26" s="22">
        <f t="shared" si="18"/>
        <v>10.051908957711724</v>
      </c>
      <c r="J26" t="str">
        <f t="shared" si="13"/>
        <v>Manure management</v>
      </c>
      <c r="K26" t="str">
        <f t="shared" si="14"/>
        <v>CH4</v>
      </c>
      <c r="L26" s="21">
        <v>1.6E-2</v>
      </c>
      <c r="M26" t="s">
        <v>144</v>
      </c>
      <c r="N26" s="22">
        <f t="shared" si="2"/>
        <v>2.118979490426714E-3</v>
      </c>
      <c r="P26" t="str">
        <f t="shared" si="15"/>
        <v>Manure management</v>
      </c>
      <c r="Q26" t="str">
        <f t="shared" si="16"/>
        <v>N2O</v>
      </c>
      <c r="R26" s="21">
        <v>83.931749999999994</v>
      </c>
      <c r="S26" t="s">
        <v>311</v>
      </c>
      <c r="T26" s="22">
        <f t="shared" si="3"/>
        <v>11.115603552851395</v>
      </c>
    </row>
    <row r="27" spans="1:20" x14ac:dyDescent="0.25">
      <c r="A27" s="14" t="s">
        <v>177</v>
      </c>
      <c r="B27" t="str">
        <f t="shared" si="11"/>
        <v>Enteric fermentation</v>
      </c>
      <c r="C27" t="str">
        <f t="shared" si="12"/>
        <v>CH4</v>
      </c>
      <c r="D27" s="21">
        <v>89.4</v>
      </c>
      <c r="E27" t="s">
        <v>144</v>
      </c>
      <c r="F27" s="21">
        <v>170000</v>
      </c>
      <c r="G27" s="22">
        <f t="shared" si="19"/>
        <v>2.8211470750817317E-2</v>
      </c>
      <c r="H27" s="22">
        <f t="shared" si="18"/>
        <v>2.5221054851230682</v>
      </c>
      <c r="J27" t="str">
        <f t="shared" si="13"/>
        <v>Manure management</v>
      </c>
      <c r="K27" t="str">
        <f t="shared" si="14"/>
        <v>CH4</v>
      </c>
      <c r="L27" s="21">
        <v>1.7999999999999999E-2</v>
      </c>
      <c r="M27" t="s">
        <v>144</v>
      </c>
      <c r="N27" s="22">
        <f t="shared" si="2"/>
        <v>5.0780647351471168E-4</v>
      </c>
      <c r="P27" t="str">
        <f t="shared" si="15"/>
        <v>Manure management</v>
      </c>
      <c r="Q27" t="str">
        <f t="shared" si="16"/>
        <v>N2O</v>
      </c>
      <c r="R27" s="21">
        <v>98.878499999999988</v>
      </c>
      <c r="S27" t="s">
        <v>311</v>
      </c>
      <c r="T27" s="22">
        <f t="shared" si="3"/>
        <v>2.7895079106346898</v>
      </c>
    </row>
    <row r="28" spans="1:20" x14ac:dyDescent="0.25">
      <c r="A28" s="14" t="s">
        <v>178</v>
      </c>
      <c r="B28" t="str">
        <f t="shared" si="11"/>
        <v>Enteric fermentation</v>
      </c>
      <c r="C28" t="str">
        <f t="shared" si="12"/>
        <v>CH4</v>
      </c>
      <c r="D28" s="21">
        <v>51.6</v>
      </c>
      <c r="E28" t="s">
        <v>144</v>
      </c>
      <c r="F28" s="21">
        <v>462074.62</v>
      </c>
      <c r="G28" s="22">
        <f t="shared" si="19"/>
        <v>7.6681203687206032E-2</v>
      </c>
      <c r="H28" s="22">
        <f>D28*G28</f>
        <v>3.9567501102598315</v>
      </c>
      <c r="J28" t="str">
        <f t="shared" si="13"/>
        <v>Manure management</v>
      </c>
      <c r="K28" t="str">
        <f t="shared" si="14"/>
        <v>CH4</v>
      </c>
      <c r="L28" s="21">
        <v>1.2E-2</v>
      </c>
      <c r="M28" t="s">
        <v>144</v>
      </c>
      <c r="N28" s="22">
        <f t="shared" si="2"/>
        <v>9.2017444424647235E-4</v>
      </c>
      <c r="P28" t="str">
        <f t="shared" si="15"/>
        <v>Manure management</v>
      </c>
      <c r="Q28" t="str">
        <f t="shared" si="16"/>
        <v>N2O</v>
      </c>
      <c r="R28" s="21">
        <v>44.38035</v>
      </c>
      <c r="S28" t="s">
        <v>311</v>
      </c>
      <c r="T28" s="22">
        <f t="shared" si="3"/>
        <v>3.4031386580594942</v>
      </c>
    </row>
    <row r="29" spans="1:20" x14ac:dyDescent="0.25">
      <c r="A29" s="14" t="s">
        <v>179</v>
      </c>
      <c r="B29" t="str">
        <f t="shared" si="11"/>
        <v>Enteric fermentation</v>
      </c>
      <c r="C29" t="str">
        <f t="shared" si="12"/>
        <v>CH4</v>
      </c>
      <c r="D29" s="21">
        <v>83.8</v>
      </c>
      <c r="E29" t="s">
        <v>144</v>
      </c>
      <c r="F29" s="21">
        <v>145520.9662395542</v>
      </c>
      <c r="G29" s="22">
        <f>F29/SUM($F$29:$F$34)</f>
        <v>2.6554920846633981E-2</v>
      </c>
      <c r="H29" s="22">
        <f t="shared" si="18"/>
        <v>2.2253023669479277</v>
      </c>
      <c r="J29" t="str">
        <f t="shared" si="13"/>
        <v>Manure management</v>
      </c>
      <c r="K29" t="str">
        <f t="shared" si="14"/>
        <v>CH4</v>
      </c>
      <c r="L29" s="21">
        <v>1.7000000000000001E-2</v>
      </c>
      <c r="M29" t="s">
        <v>144</v>
      </c>
      <c r="N29" s="22">
        <f t="shared" si="2"/>
        <v>4.514336543927777E-4</v>
      </c>
      <c r="P29" t="str">
        <f t="shared" si="15"/>
        <v>Manure management</v>
      </c>
      <c r="Q29" t="str">
        <f t="shared" si="16"/>
        <v>N2O</v>
      </c>
      <c r="R29" s="21">
        <v>134.52074999999999</v>
      </c>
      <c r="S29" t="s">
        <v>311</v>
      </c>
      <c r="T29" s="22">
        <f t="shared" si="3"/>
        <v>3.5721878684798378</v>
      </c>
    </row>
    <row r="30" spans="1:20" x14ac:dyDescent="0.25">
      <c r="A30" s="14" t="s">
        <v>180</v>
      </c>
      <c r="B30" t="str">
        <f t="shared" si="11"/>
        <v>Enteric fermentation</v>
      </c>
      <c r="C30" t="str">
        <f t="shared" si="12"/>
        <v>CH4</v>
      </c>
      <c r="D30" s="21">
        <v>40.9</v>
      </c>
      <c r="E30" t="s">
        <v>144</v>
      </c>
      <c r="F30" s="21">
        <v>1323889.6320798274</v>
      </c>
      <c r="G30" s="22">
        <f t="shared" ref="G30:G34" si="20">F30/SUM($F$29:$F$34)</f>
        <v>0.24158569928464008</v>
      </c>
      <c r="H30" s="22">
        <f t="shared" si="18"/>
        <v>9.880855100741778</v>
      </c>
      <c r="J30" t="str">
        <f t="shared" si="13"/>
        <v>Manure management</v>
      </c>
      <c r="K30" t="str">
        <f t="shared" si="14"/>
        <v>CH4</v>
      </c>
      <c r="L30" s="21">
        <v>0.01</v>
      </c>
      <c r="M30" t="s">
        <v>144</v>
      </c>
      <c r="N30" s="22">
        <f t="shared" si="2"/>
        <v>2.4158569928464007E-3</v>
      </c>
      <c r="P30" t="str">
        <f t="shared" si="15"/>
        <v>Manure management</v>
      </c>
      <c r="Q30" t="str">
        <f t="shared" si="16"/>
        <v>N2O</v>
      </c>
      <c r="R30" s="21">
        <v>19.545750000000002</v>
      </c>
      <c r="S30" t="s">
        <v>311</v>
      </c>
      <c r="T30" s="22">
        <f t="shared" si="3"/>
        <v>4.721973681792754</v>
      </c>
    </row>
    <row r="31" spans="1:20" x14ac:dyDescent="0.25">
      <c r="A31" s="14" t="s">
        <v>181</v>
      </c>
      <c r="B31" t="str">
        <f t="shared" si="11"/>
        <v>Enteric fermentation</v>
      </c>
      <c r="C31" t="str">
        <f t="shared" si="12"/>
        <v>CH4</v>
      </c>
      <c r="D31" s="21">
        <v>73.099999999999994</v>
      </c>
      <c r="E31" t="s">
        <v>144</v>
      </c>
      <c r="F31" s="21">
        <v>2710027.0702891005</v>
      </c>
      <c r="G31" s="22">
        <f t="shared" si="20"/>
        <v>0.49453048727903304</v>
      </c>
      <c r="H31" s="22">
        <f t="shared" si="18"/>
        <v>36.150178620097314</v>
      </c>
      <c r="J31" t="str">
        <f t="shared" si="13"/>
        <v>Manure management</v>
      </c>
      <c r="K31" t="str">
        <f t="shared" si="14"/>
        <v>CH4</v>
      </c>
      <c r="L31" s="21">
        <v>1.4999999999999999E-2</v>
      </c>
      <c r="M31" t="s">
        <v>144</v>
      </c>
      <c r="N31" s="22">
        <f t="shared" si="2"/>
        <v>7.4179573091854951E-3</v>
      </c>
      <c r="P31" t="str">
        <f t="shared" si="15"/>
        <v>Manure management</v>
      </c>
      <c r="Q31" t="str">
        <f t="shared" si="16"/>
        <v>N2O</v>
      </c>
      <c r="R31" s="21">
        <v>84.851550000000003</v>
      </c>
      <c r="S31" t="s">
        <v>311</v>
      </c>
      <c r="T31" s="22">
        <f t="shared" si="3"/>
        <v>41.961678367881234</v>
      </c>
    </row>
    <row r="32" spans="1:20" x14ac:dyDescent="0.25">
      <c r="A32" s="14" t="s">
        <v>182</v>
      </c>
      <c r="B32" t="str">
        <f t="shared" si="11"/>
        <v>Enteric fermentation</v>
      </c>
      <c r="C32" t="str">
        <f t="shared" si="12"/>
        <v>CH4</v>
      </c>
      <c r="D32" s="21">
        <v>62.5</v>
      </c>
      <c r="E32" t="s">
        <v>144</v>
      </c>
      <c r="F32" s="21">
        <v>725750.47547114955</v>
      </c>
      <c r="G32" s="22">
        <f t="shared" si="20"/>
        <v>0.13243621815166964</v>
      </c>
      <c r="H32" s="22">
        <f t="shared" si="18"/>
        <v>8.2772636344793522</v>
      </c>
      <c r="J32" t="str">
        <f t="shared" si="13"/>
        <v>Manure management</v>
      </c>
      <c r="K32" t="str">
        <f t="shared" si="14"/>
        <v>CH4</v>
      </c>
      <c r="L32" s="21">
        <v>1.2999999999999999E-2</v>
      </c>
      <c r="M32" t="s">
        <v>144</v>
      </c>
      <c r="N32" s="22">
        <f t="shared" si="2"/>
        <v>1.7216708359717053E-3</v>
      </c>
      <c r="P32" t="str">
        <f t="shared" si="15"/>
        <v>Manure management</v>
      </c>
      <c r="Q32" t="str">
        <f t="shared" si="16"/>
        <v>N2O</v>
      </c>
      <c r="R32" s="21">
        <v>48.979350000000004</v>
      </c>
      <c r="S32" t="s">
        <v>311</v>
      </c>
      <c r="T32" s="22">
        <f t="shared" si="3"/>
        <v>6.4866398815269815</v>
      </c>
    </row>
    <row r="33" spans="1:20" x14ac:dyDescent="0.25">
      <c r="A33" s="14" t="s">
        <v>183</v>
      </c>
      <c r="B33" t="str">
        <f t="shared" si="11"/>
        <v>Enteric fermentation</v>
      </c>
      <c r="C33" t="str">
        <f t="shared" si="12"/>
        <v>CH4</v>
      </c>
      <c r="D33" s="21">
        <v>72.599999999999994</v>
      </c>
      <c r="E33" t="s">
        <v>144</v>
      </c>
      <c r="F33" s="21">
        <v>154598.85971447889</v>
      </c>
      <c r="G33" s="22">
        <f t="shared" si="20"/>
        <v>2.821147075081732E-2</v>
      </c>
      <c r="H33" s="22">
        <f t="shared" si="18"/>
        <v>2.0481527765093372</v>
      </c>
      <c r="J33" t="str">
        <f t="shared" si="13"/>
        <v>Manure management</v>
      </c>
      <c r="K33" t="str">
        <f t="shared" si="14"/>
        <v>CH4</v>
      </c>
      <c r="L33" s="21">
        <v>1.4999999999999999E-2</v>
      </c>
      <c r="M33" t="s">
        <v>144</v>
      </c>
      <c r="N33" s="22">
        <f t="shared" si="2"/>
        <v>4.2317206126225978E-4</v>
      </c>
      <c r="P33" t="str">
        <f t="shared" si="15"/>
        <v>Manure management</v>
      </c>
      <c r="Q33" t="str">
        <f t="shared" si="16"/>
        <v>N2O</v>
      </c>
      <c r="R33" s="21">
        <v>92.209950000000006</v>
      </c>
      <c r="S33" t="s">
        <v>311</v>
      </c>
      <c r="T33" s="22">
        <f t="shared" si="3"/>
        <v>2.6013783073593277</v>
      </c>
    </row>
    <row r="34" spans="1:20" x14ac:dyDescent="0.25">
      <c r="A34" s="14" t="s">
        <v>184</v>
      </c>
      <c r="B34" t="str">
        <f t="shared" si="11"/>
        <v>Enteric fermentation</v>
      </c>
      <c r="C34" t="str">
        <f t="shared" si="12"/>
        <v>CH4</v>
      </c>
      <c r="D34" s="21">
        <v>41.6</v>
      </c>
      <c r="E34" t="s">
        <v>144</v>
      </c>
      <c r="F34" s="21">
        <v>420212.99620588904</v>
      </c>
      <c r="G34" s="22">
        <f t="shared" si="20"/>
        <v>7.6681203687206045E-2</v>
      </c>
      <c r="H34" s="22">
        <f t="shared" si="18"/>
        <v>3.1899380733877716</v>
      </c>
      <c r="J34" t="str">
        <f t="shared" si="13"/>
        <v>Manure management</v>
      </c>
      <c r="K34" t="str">
        <f t="shared" si="14"/>
        <v>CH4</v>
      </c>
      <c r="L34" s="21">
        <v>0.01</v>
      </c>
      <c r="M34" t="s">
        <v>144</v>
      </c>
      <c r="N34" s="22">
        <f t="shared" si="2"/>
        <v>7.6681203687206049E-4</v>
      </c>
      <c r="P34" t="str">
        <f t="shared" si="15"/>
        <v>Manure management</v>
      </c>
      <c r="Q34" t="str">
        <f t="shared" si="16"/>
        <v>N2O</v>
      </c>
      <c r="R34" s="21">
        <v>68.984999999999999</v>
      </c>
      <c r="S34" t="s">
        <v>311</v>
      </c>
      <c r="T34" s="22">
        <f t="shared" si="3"/>
        <v>5.2898528363619093</v>
      </c>
    </row>
    <row r="35" spans="1:20" x14ac:dyDescent="0.25">
      <c r="A35" s="13" t="s">
        <v>152</v>
      </c>
      <c r="M35" s="13"/>
    </row>
    <row r="36" spans="1:20" x14ac:dyDescent="0.25">
      <c r="A36" s="14" t="s">
        <v>185</v>
      </c>
      <c r="B36" t="str">
        <f t="shared" ref="B36:B83" si="21">$B$5</f>
        <v>Enteric fermentation</v>
      </c>
      <c r="C36" t="str">
        <f t="shared" ref="C36:C83" si="22">$C$5</f>
        <v>CH4</v>
      </c>
      <c r="D36" s="21">
        <v>7.28</v>
      </c>
      <c r="E36" t="s">
        <v>144</v>
      </c>
      <c r="F36" s="21">
        <v>11250</v>
      </c>
      <c r="G36" s="22">
        <f>F36/SUM($F$36:$F$59)</f>
        <v>5.2342623179639882E-4</v>
      </c>
      <c r="H36" s="22">
        <f t="shared" si="18"/>
        <v>3.8105429674777837E-3</v>
      </c>
      <c r="J36" t="str">
        <f t="shared" ref="J36:J83" si="23">$J$5</f>
        <v>Manure management</v>
      </c>
      <c r="K36" t="str">
        <f t="shared" ref="K36:K83" si="24">$K$5</f>
        <v>CH4</v>
      </c>
      <c r="L36" s="21">
        <v>2E-3</v>
      </c>
      <c r="M36" t="s">
        <v>144</v>
      </c>
      <c r="N36" s="22">
        <f t="shared" si="2"/>
        <v>1.0468524635927976E-6</v>
      </c>
      <c r="P36" t="str">
        <f t="shared" ref="P36:P83" si="25">$P$5</f>
        <v>Manure management</v>
      </c>
      <c r="Q36" t="str">
        <f t="shared" ref="Q36:Q83" si="26">$Q$5</f>
        <v>N2O</v>
      </c>
      <c r="R36" s="21">
        <v>20.498399999999997</v>
      </c>
      <c r="S36" t="s">
        <v>311</v>
      </c>
      <c r="T36" s="22">
        <f t="shared" si="3"/>
        <v>1.07294002698553E-2</v>
      </c>
    </row>
    <row r="37" spans="1:20" x14ac:dyDescent="0.25">
      <c r="A37" s="14" t="s">
        <v>186</v>
      </c>
      <c r="B37" t="str">
        <f t="shared" si="21"/>
        <v>Enteric fermentation</v>
      </c>
      <c r="C37" t="str">
        <f t="shared" si="22"/>
        <v>CH4</v>
      </c>
      <c r="D37" s="21">
        <v>10.5</v>
      </c>
      <c r="E37" t="s">
        <v>144</v>
      </c>
      <c r="F37" s="21">
        <v>250</v>
      </c>
      <c r="G37" s="22">
        <f t="shared" ref="G37:G59" si="27">F37/SUM($F$36:$F$59)</f>
        <v>1.1631694039919974E-5</v>
      </c>
      <c r="H37" s="22">
        <f t="shared" si="18"/>
        <v>1.2213278741915972E-4</v>
      </c>
      <c r="J37" t="str">
        <f t="shared" si="23"/>
        <v>Manure management</v>
      </c>
      <c r="K37" t="str">
        <f t="shared" si="24"/>
        <v>CH4</v>
      </c>
      <c r="L37" s="21">
        <v>3.0000000000000001E-3</v>
      </c>
      <c r="M37" t="s">
        <v>144</v>
      </c>
      <c r="N37" s="22">
        <f t="shared" si="2"/>
        <v>3.4895082119759926E-8</v>
      </c>
      <c r="P37" t="str">
        <f t="shared" si="25"/>
        <v>Manure management</v>
      </c>
      <c r="Q37" t="str">
        <f t="shared" si="26"/>
        <v>N2O</v>
      </c>
      <c r="R37" s="21">
        <v>30.961124999999996</v>
      </c>
      <c r="S37" t="s">
        <v>311</v>
      </c>
      <c r="T37" s="22">
        <f t="shared" si="3"/>
        <v>3.6013033313171726E-4</v>
      </c>
    </row>
    <row r="38" spans="1:20" x14ac:dyDescent="0.25">
      <c r="A38" s="14" t="s">
        <v>187</v>
      </c>
      <c r="B38" t="str">
        <f t="shared" si="21"/>
        <v>Enteric fermentation</v>
      </c>
      <c r="C38" t="str">
        <f t="shared" si="22"/>
        <v>CH4</v>
      </c>
      <c r="D38" s="21">
        <v>3.62</v>
      </c>
      <c r="E38" t="s">
        <v>144</v>
      </c>
      <c r="F38" s="21">
        <v>6000</v>
      </c>
      <c r="G38" s="22">
        <f t="shared" si="27"/>
        <v>2.7916065695807939E-4</v>
      </c>
      <c r="H38" s="22">
        <f t="shared" si="18"/>
        <v>1.0105615781882474E-3</v>
      </c>
      <c r="J38" t="str">
        <f t="shared" si="23"/>
        <v>Manure management</v>
      </c>
      <c r="K38" t="str">
        <f t="shared" si="24"/>
        <v>CH4</v>
      </c>
      <c r="L38" s="21">
        <v>1E-3</v>
      </c>
      <c r="M38" t="s">
        <v>144</v>
      </c>
      <c r="N38" s="22">
        <f t="shared" si="2"/>
        <v>2.7916065695807941E-7</v>
      </c>
      <c r="P38" t="str">
        <f t="shared" si="25"/>
        <v>Manure management</v>
      </c>
      <c r="Q38" t="str">
        <f t="shared" si="26"/>
        <v>N2O</v>
      </c>
      <c r="R38" s="21">
        <v>9.608625</v>
      </c>
      <c r="S38" t="s">
        <v>311</v>
      </c>
      <c r="T38" s="22">
        <f t="shared" si="3"/>
        <v>2.6823500674638253E-3</v>
      </c>
    </row>
    <row r="39" spans="1:20" x14ac:dyDescent="0.25">
      <c r="A39" s="14" t="s">
        <v>188</v>
      </c>
      <c r="B39" t="str">
        <f t="shared" si="21"/>
        <v>Enteric fermentation</v>
      </c>
      <c r="C39" t="str">
        <f t="shared" si="22"/>
        <v>CH4</v>
      </c>
      <c r="D39" s="21">
        <v>5.0199999999999996</v>
      </c>
      <c r="E39" t="s">
        <v>144</v>
      </c>
      <c r="F39" s="21">
        <v>4000</v>
      </c>
      <c r="G39" s="22">
        <f t="shared" si="27"/>
        <v>1.8610710463871959E-4</v>
      </c>
      <c r="H39" s="22">
        <f t="shared" si="18"/>
        <v>9.3425766528637229E-4</v>
      </c>
      <c r="J39" t="str">
        <f t="shared" si="23"/>
        <v>Manure management</v>
      </c>
      <c r="K39" t="str">
        <f t="shared" si="24"/>
        <v>CH4</v>
      </c>
      <c r="L39" s="21">
        <v>1.2999999999999999E-3</v>
      </c>
      <c r="M39" t="s">
        <v>144</v>
      </c>
      <c r="N39" s="22">
        <f t="shared" si="2"/>
        <v>2.4193923603033547E-7</v>
      </c>
      <c r="P39" t="str">
        <f t="shared" si="25"/>
        <v>Manure management</v>
      </c>
      <c r="Q39" t="str">
        <f t="shared" si="26"/>
        <v>N2O</v>
      </c>
      <c r="R39" s="21">
        <v>14.306175</v>
      </c>
      <c r="S39" t="s">
        <v>311</v>
      </c>
      <c r="T39" s="22">
        <f t="shared" si="3"/>
        <v>2.6624808077048341E-3</v>
      </c>
    </row>
    <row r="40" spans="1:20" x14ac:dyDescent="0.25">
      <c r="A40" s="14" t="s">
        <v>189</v>
      </c>
      <c r="B40" t="str">
        <f t="shared" si="21"/>
        <v>Enteric fermentation</v>
      </c>
      <c r="C40" t="str">
        <f t="shared" si="22"/>
        <v>CH4</v>
      </c>
      <c r="D40" s="21">
        <v>5.94</v>
      </c>
      <c r="E40" t="s">
        <v>144</v>
      </c>
      <c r="F40" s="21">
        <v>3000</v>
      </c>
      <c r="G40" s="22">
        <f t="shared" si="27"/>
        <v>1.3958032847903969E-4</v>
      </c>
      <c r="H40" s="22">
        <f t="shared" si="18"/>
        <v>8.2910715116549585E-4</v>
      </c>
      <c r="J40" t="str">
        <f t="shared" si="23"/>
        <v>Manure management</v>
      </c>
      <c r="K40" t="str">
        <f t="shared" si="24"/>
        <v>CH4</v>
      </c>
      <c r="L40" s="21">
        <v>1.6000000000000001E-3</v>
      </c>
      <c r="M40" t="s">
        <v>144</v>
      </c>
      <c r="N40" s="22">
        <f t="shared" si="2"/>
        <v>2.2332852556646353E-7</v>
      </c>
      <c r="P40" t="str">
        <f t="shared" si="25"/>
        <v>Manure management</v>
      </c>
      <c r="Q40" t="str">
        <f t="shared" si="26"/>
        <v>N2O</v>
      </c>
      <c r="R40" s="21">
        <v>17.295524999999998</v>
      </c>
      <c r="S40" t="s">
        <v>311</v>
      </c>
      <c r="T40" s="22">
        <f t="shared" si="3"/>
        <v>2.4141150607174425E-3</v>
      </c>
    </row>
    <row r="41" spans="1:20" x14ac:dyDescent="0.25">
      <c r="A41" s="14" t="s">
        <v>190</v>
      </c>
      <c r="B41" t="str">
        <f t="shared" si="21"/>
        <v>Enteric fermentation</v>
      </c>
      <c r="C41" t="str">
        <f t="shared" si="22"/>
        <v>CH4</v>
      </c>
      <c r="D41" s="21">
        <v>7.64</v>
      </c>
      <c r="E41" t="s">
        <v>144</v>
      </c>
      <c r="F41" s="21">
        <v>500</v>
      </c>
      <c r="G41" s="22">
        <f t="shared" si="27"/>
        <v>2.3263388079839949E-5</v>
      </c>
      <c r="H41" s="22">
        <f t="shared" si="18"/>
        <v>1.7773228492997721E-4</v>
      </c>
      <c r="J41" t="str">
        <f t="shared" si="23"/>
        <v>Manure management</v>
      </c>
      <c r="K41" t="str">
        <f t="shared" si="24"/>
        <v>CH4</v>
      </c>
      <c r="L41" s="21">
        <v>2E-3</v>
      </c>
      <c r="M41" t="s">
        <v>144</v>
      </c>
      <c r="N41" s="22">
        <f t="shared" si="2"/>
        <v>4.6526776159679897E-8</v>
      </c>
      <c r="P41" t="str">
        <f t="shared" si="25"/>
        <v>Manure management</v>
      </c>
      <c r="Q41" t="str">
        <f t="shared" si="26"/>
        <v>N2O</v>
      </c>
      <c r="R41" s="21">
        <v>22.633649999999999</v>
      </c>
      <c r="S41" t="s">
        <v>311</v>
      </c>
      <c r="T41" s="22">
        <f t="shared" si="3"/>
        <v>5.2653538361326947E-4</v>
      </c>
    </row>
    <row r="42" spans="1:20" x14ac:dyDescent="0.25">
      <c r="A42" s="14" t="s">
        <v>191</v>
      </c>
      <c r="B42" t="str">
        <f t="shared" si="21"/>
        <v>Enteric fermentation</v>
      </c>
      <c r="C42" t="str">
        <f t="shared" si="22"/>
        <v>CH4</v>
      </c>
      <c r="D42" s="21">
        <v>8.07</v>
      </c>
      <c r="E42" t="s">
        <v>144</v>
      </c>
      <c r="F42" s="21">
        <v>5062950</v>
      </c>
      <c r="G42" s="22">
        <f t="shared" si="27"/>
        <v>0.23556274135765132</v>
      </c>
      <c r="H42" s="22">
        <f t="shared" si="18"/>
        <v>1.9009913227562463</v>
      </c>
      <c r="J42" t="str">
        <f t="shared" si="23"/>
        <v>Manure management</v>
      </c>
      <c r="K42" t="str">
        <f t="shared" si="24"/>
        <v>CH4</v>
      </c>
      <c r="L42" s="21">
        <v>2.2000000000000001E-3</v>
      </c>
      <c r="M42" t="s">
        <v>144</v>
      </c>
      <c r="N42" s="22">
        <f t="shared" si="2"/>
        <v>5.1823803098683297E-4</v>
      </c>
      <c r="P42" t="str">
        <f t="shared" si="25"/>
        <v>Manure management</v>
      </c>
      <c r="Q42" t="str">
        <f t="shared" si="26"/>
        <v>N2O</v>
      </c>
      <c r="R42" s="21">
        <v>22.633649999999999</v>
      </c>
      <c r="S42" t="s">
        <v>311</v>
      </c>
      <c r="T42" s="22">
        <f t="shared" si="3"/>
        <v>5.3316446409296043</v>
      </c>
    </row>
    <row r="43" spans="1:20" x14ac:dyDescent="0.25">
      <c r="A43" s="14" t="s">
        <v>192</v>
      </c>
      <c r="B43" t="str">
        <f t="shared" si="21"/>
        <v>Enteric fermentation</v>
      </c>
      <c r="C43" t="str">
        <f t="shared" si="22"/>
        <v>CH4</v>
      </c>
      <c r="D43" s="21">
        <v>14.7</v>
      </c>
      <c r="E43" t="s">
        <v>144</v>
      </c>
      <c r="F43" s="21">
        <v>112510</v>
      </c>
      <c r="G43" s="22">
        <f t="shared" si="27"/>
        <v>5.234727585725585E-3</v>
      </c>
      <c r="H43" s="22">
        <f t="shared" si="18"/>
        <v>7.6950495510166098E-2</v>
      </c>
      <c r="J43" t="str">
        <f t="shared" si="23"/>
        <v>Manure management</v>
      </c>
      <c r="K43" t="str">
        <f t="shared" si="24"/>
        <v>CH4</v>
      </c>
      <c r="L43" s="21">
        <v>4.1999999999999997E-3</v>
      </c>
      <c r="M43" t="s">
        <v>144</v>
      </c>
      <c r="N43" s="22">
        <f t="shared" si="2"/>
        <v>2.1985855860047455E-5</v>
      </c>
      <c r="P43" t="str">
        <f t="shared" si="25"/>
        <v>Manure management</v>
      </c>
      <c r="Q43" t="str">
        <f t="shared" si="26"/>
        <v>N2O</v>
      </c>
      <c r="R43" s="21">
        <v>41.637374999999999</v>
      </c>
      <c r="S43" t="s">
        <v>311</v>
      </c>
      <c r="T43" s="22">
        <f t="shared" si="3"/>
        <v>0.21796031550970082</v>
      </c>
    </row>
    <row r="44" spans="1:20" x14ac:dyDescent="0.25">
      <c r="A44" s="14" t="s">
        <v>193</v>
      </c>
      <c r="B44" t="str">
        <f t="shared" si="21"/>
        <v>Enteric fermentation</v>
      </c>
      <c r="C44" t="str">
        <f t="shared" si="22"/>
        <v>CH4</v>
      </c>
      <c r="D44" s="21">
        <v>3.62</v>
      </c>
      <c r="E44" t="s">
        <v>144</v>
      </c>
      <c r="F44" s="21">
        <v>2700240</v>
      </c>
      <c r="G44" s="22">
        <f t="shared" si="27"/>
        <v>0.12563346205741405</v>
      </c>
      <c r="H44" s="22">
        <f t="shared" si="18"/>
        <v>0.45479313264783888</v>
      </c>
      <c r="J44" t="str">
        <f t="shared" si="23"/>
        <v>Manure management</v>
      </c>
      <c r="K44" t="str">
        <f t="shared" si="24"/>
        <v>CH4</v>
      </c>
      <c r="L44" s="21">
        <v>1E-3</v>
      </c>
      <c r="M44" t="s">
        <v>144</v>
      </c>
      <c r="N44" s="22">
        <f t="shared" si="2"/>
        <v>1.2563346205741405E-4</v>
      </c>
      <c r="P44" t="str">
        <f t="shared" si="25"/>
        <v>Manure management</v>
      </c>
      <c r="Q44" t="str">
        <f t="shared" si="26"/>
        <v>N2O</v>
      </c>
      <c r="R44" s="21">
        <v>9.608625</v>
      </c>
      <c r="S44" t="s">
        <v>311</v>
      </c>
      <c r="T44" s="22">
        <f t="shared" si="3"/>
        <v>1.2071648243614201</v>
      </c>
    </row>
    <row r="45" spans="1:20" x14ac:dyDescent="0.25">
      <c r="A45" s="14" t="s">
        <v>194</v>
      </c>
      <c r="B45" t="str">
        <f t="shared" si="21"/>
        <v>Enteric fermentation</v>
      </c>
      <c r="C45" t="str">
        <f t="shared" si="22"/>
        <v>CH4</v>
      </c>
      <c r="D45" s="21">
        <v>5.54</v>
      </c>
      <c r="E45" t="s">
        <v>144</v>
      </c>
      <c r="F45" s="21">
        <v>1800160</v>
      </c>
      <c r="G45" s="22">
        <f t="shared" si="27"/>
        <v>8.375564137160936E-2</v>
      </c>
      <c r="H45" s="22">
        <f t="shared" si="18"/>
        <v>0.46400625319871586</v>
      </c>
      <c r="J45" t="str">
        <f t="shared" si="23"/>
        <v>Manure management</v>
      </c>
      <c r="K45" t="str">
        <f t="shared" si="24"/>
        <v>CH4</v>
      </c>
      <c r="L45" s="21">
        <v>1.4E-3</v>
      </c>
      <c r="M45" t="s">
        <v>144</v>
      </c>
      <c r="N45" s="22">
        <f t="shared" si="2"/>
        <v>1.172578979202531E-4</v>
      </c>
      <c r="P45" t="str">
        <f t="shared" si="25"/>
        <v>Manure management</v>
      </c>
      <c r="Q45" t="str">
        <f t="shared" si="26"/>
        <v>N2O</v>
      </c>
      <c r="R45" s="21">
        <v>16.014374999999998</v>
      </c>
      <c r="S45" t="s">
        <v>311</v>
      </c>
      <c r="T45" s="22">
        <f t="shared" si="3"/>
        <v>1.3412942492904665</v>
      </c>
    </row>
    <row r="46" spans="1:20" x14ac:dyDescent="0.25">
      <c r="A46" s="14" t="s">
        <v>195</v>
      </c>
      <c r="B46" t="str">
        <f t="shared" si="21"/>
        <v>Enteric fermentation</v>
      </c>
      <c r="C46" t="str">
        <f t="shared" si="22"/>
        <v>CH4</v>
      </c>
      <c r="D46" s="21">
        <v>6.21</v>
      </c>
      <c r="E46" t="s">
        <v>144</v>
      </c>
      <c r="F46" s="21">
        <v>1350120</v>
      </c>
      <c r="G46" s="22">
        <f t="shared" si="27"/>
        <v>6.2816731028707024E-2</v>
      </c>
      <c r="H46" s="22">
        <f t="shared" si="18"/>
        <v>0.39009189968827063</v>
      </c>
      <c r="J46" t="str">
        <f t="shared" si="23"/>
        <v>Manure management</v>
      </c>
      <c r="K46" t="str">
        <f t="shared" si="24"/>
        <v>CH4</v>
      </c>
      <c r="L46" s="21">
        <v>1.6000000000000001E-3</v>
      </c>
      <c r="M46" t="s">
        <v>144</v>
      </c>
      <c r="N46" s="22">
        <f t="shared" si="2"/>
        <v>1.0050676964593125E-4</v>
      </c>
      <c r="P46" t="str">
        <f t="shared" si="25"/>
        <v>Manure management</v>
      </c>
      <c r="Q46" t="str">
        <f t="shared" si="26"/>
        <v>N2O</v>
      </c>
      <c r="R46" s="21">
        <v>18.149625</v>
      </c>
      <c r="S46" t="s">
        <v>311</v>
      </c>
      <c r="T46" s="22">
        <f t="shared" si="3"/>
        <v>1.1401001118968968</v>
      </c>
    </row>
    <row r="47" spans="1:20" x14ac:dyDescent="0.25">
      <c r="A47" s="14" t="s">
        <v>196</v>
      </c>
      <c r="B47" t="str">
        <f t="shared" si="21"/>
        <v>Enteric fermentation</v>
      </c>
      <c r="C47" t="str">
        <f t="shared" si="22"/>
        <v>CH4</v>
      </c>
      <c r="D47" s="21">
        <v>11.5</v>
      </c>
      <c r="E47" t="s">
        <v>144</v>
      </c>
      <c r="F47" s="21">
        <v>225020</v>
      </c>
      <c r="G47" s="22">
        <f t="shared" si="27"/>
        <v>1.046945517145117E-2</v>
      </c>
      <c r="H47" s="22">
        <f t="shared" si="18"/>
        <v>0.12039873447168846</v>
      </c>
      <c r="J47" t="str">
        <f t="shared" si="23"/>
        <v>Manure management</v>
      </c>
      <c r="K47" t="str">
        <f t="shared" si="24"/>
        <v>CH4</v>
      </c>
      <c r="L47" s="21">
        <v>3.2000000000000002E-3</v>
      </c>
      <c r="M47" t="s">
        <v>144</v>
      </c>
      <c r="N47" s="22">
        <f t="shared" si="2"/>
        <v>3.3502256548643744E-5</v>
      </c>
      <c r="P47" t="str">
        <f t="shared" si="25"/>
        <v>Manure management</v>
      </c>
      <c r="Q47" t="str">
        <f t="shared" si="26"/>
        <v>N2O</v>
      </c>
      <c r="R47" s="21">
        <v>33.438014999999993</v>
      </c>
      <c r="S47" t="s">
        <v>311</v>
      </c>
      <c r="T47" s="22">
        <f t="shared" si="3"/>
        <v>0.35007779906481173</v>
      </c>
    </row>
    <row r="48" spans="1:20" x14ac:dyDescent="0.25">
      <c r="A48" s="14" t="s">
        <v>197</v>
      </c>
      <c r="B48" t="str">
        <f t="shared" si="21"/>
        <v>Enteric fermentation</v>
      </c>
      <c r="C48" t="str">
        <f t="shared" si="22"/>
        <v>CH4</v>
      </c>
      <c r="D48" s="21">
        <v>9.66</v>
      </c>
      <c r="E48" t="s">
        <v>144</v>
      </c>
      <c r="F48" s="21">
        <v>2725650</v>
      </c>
      <c r="G48" s="22">
        <f t="shared" si="27"/>
        <v>0.1268157074396315</v>
      </c>
      <c r="H48" s="22">
        <f t="shared" si="18"/>
        <v>1.2250397338668402</v>
      </c>
      <c r="J48" t="str">
        <f t="shared" si="23"/>
        <v>Manure management</v>
      </c>
      <c r="K48" t="str">
        <f t="shared" si="24"/>
        <v>CH4</v>
      </c>
      <c r="L48" s="21">
        <v>2.7000000000000001E-3</v>
      </c>
      <c r="M48" t="s">
        <v>144</v>
      </c>
      <c r="N48" s="22">
        <f t="shared" si="2"/>
        <v>3.4240241008700505E-4</v>
      </c>
      <c r="P48" t="str">
        <f t="shared" si="25"/>
        <v>Manure management</v>
      </c>
      <c r="Q48" t="str">
        <f t="shared" si="26"/>
        <v>N2O</v>
      </c>
      <c r="R48" s="21">
        <v>27.117674999999998</v>
      </c>
      <c r="S48" t="s">
        <v>311</v>
      </c>
      <c r="T48" s="22">
        <f t="shared" si="3"/>
        <v>3.4389471392430089</v>
      </c>
    </row>
    <row r="49" spans="1:20" x14ac:dyDescent="0.25">
      <c r="A49" s="14" t="s">
        <v>198</v>
      </c>
      <c r="B49" t="str">
        <f t="shared" si="21"/>
        <v>Enteric fermentation</v>
      </c>
      <c r="C49" t="str">
        <f t="shared" si="22"/>
        <v>CH4</v>
      </c>
      <c r="D49" s="21">
        <v>14.7</v>
      </c>
      <c r="E49" t="s">
        <v>144</v>
      </c>
      <c r="F49" s="21">
        <v>60570</v>
      </c>
      <c r="G49" s="22">
        <f t="shared" si="27"/>
        <v>2.8181268319918112E-3</v>
      </c>
      <c r="H49" s="22">
        <f t="shared" si="18"/>
        <v>4.1426464430279621E-2</v>
      </c>
      <c r="J49" t="str">
        <f t="shared" si="23"/>
        <v>Manure management</v>
      </c>
      <c r="K49" t="str">
        <f t="shared" si="24"/>
        <v>CH4</v>
      </c>
      <c r="L49" s="21">
        <v>4.1000000000000003E-3</v>
      </c>
      <c r="M49" t="s">
        <v>144</v>
      </c>
      <c r="N49" s="22">
        <f t="shared" si="2"/>
        <v>1.1554320011166427E-5</v>
      </c>
      <c r="P49" t="str">
        <f t="shared" si="25"/>
        <v>Manure management</v>
      </c>
      <c r="Q49" t="str">
        <f t="shared" si="26"/>
        <v>N2O</v>
      </c>
      <c r="R49" s="21">
        <v>41.637374999999999</v>
      </c>
      <c r="S49" t="s">
        <v>311</v>
      </c>
      <c r="T49" s="22">
        <f t="shared" si="3"/>
        <v>0.11733940370120503</v>
      </c>
    </row>
    <row r="50" spans="1:20" x14ac:dyDescent="0.25">
      <c r="A50" s="14" t="s">
        <v>199</v>
      </c>
      <c r="B50" t="str">
        <f t="shared" si="21"/>
        <v>Enteric fermentation</v>
      </c>
      <c r="C50" t="str">
        <f t="shared" si="22"/>
        <v>CH4</v>
      </c>
      <c r="D50" s="21">
        <v>3.62</v>
      </c>
      <c r="E50" t="s">
        <v>144</v>
      </c>
      <c r="F50" s="21">
        <v>1453680</v>
      </c>
      <c r="G50" s="22">
        <f t="shared" si="27"/>
        <v>6.7635043967803468E-2</v>
      </c>
      <c r="H50" s="22">
        <f t="shared" si="18"/>
        <v>0.24483885916344855</v>
      </c>
      <c r="J50" t="str">
        <f t="shared" si="23"/>
        <v>Manure management</v>
      </c>
      <c r="K50" t="str">
        <f t="shared" si="24"/>
        <v>CH4</v>
      </c>
      <c r="L50" s="21">
        <v>1E-3</v>
      </c>
      <c r="M50" t="s">
        <v>144</v>
      </c>
      <c r="N50" s="22">
        <f t="shared" si="2"/>
        <v>6.7635043967803464E-5</v>
      </c>
      <c r="P50" t="str">
        <f t="shared" si="25"/>
        <v>Manure management</v>
      </c>
      <c r="Q50" t="str">
        <f t="shared" si="26"/>
        <v>N2O</v>
      </c>
      <c r="R50" s="21">
        <v>9.608625</v>
      </c>
      <c r="S50" t="s">
        <v>311</v>
      </c>
      <c r="T50" s="22">
        <f t="shared" si="3"/>
        <v>0.64987977434513555</v>
      </c>
    </row>
    <row r="51" spans="1:20" x14ac:dyDescent="0.25">
      <c r="A51" s="14" t="s">
        <v>200</v>
      </c>
      <c r="B51" t="str">
        <f t="shared" si="21"/>
        <v>Enteric fermentation</v>
      </c>
      <c r="C51" t="str">
        <f t="shared" si="22"/>
        <v>CH4</v>
      </c>
      <c r="D51" s="21">
        <v>5.54</v>
      </c>
      <c r="E51" t="s">
        <v>144</v>
      </c>
      <c r="F51" s="21">
        <v>969120</v>
      </c>
      <c r="G51" s="22">
        <f t="shared" si="27"/>
        <v>4.5090029311868979E-2</v>
      </c>
      <c r="H51" s="22">
        <f t="shared" si="18"/>
        <v>0.24979876238775414</v>
      </c>
      <c r="J51" t="str">
        <f t="shared" si="23"/>
        <v>Manure management</v>
      </c>
      <c r="K51" t="str">
        <f t="shared" si="24"/>
        <v>CH4</v>
      </c>
      <c r="L51" s="21">
        <v>1.4E-3</v>
      </c>
      <c r="M51" t="s">
        <v>144</v>
      </c>
      <c r="N51" s="22">
        <f t="shared" si="2"/>
        <v>6.3126041036616574E-5</v>
      </c>
      <c r="P51" t="str">
        <f t="shared" si="25"/>
        <v>Manure management</v>
      </c>
      <c r="Q51" t="str">
        <f t="shared" si="26"/>
        <v>N2O</v>
      </c>
      <c r="R51" s="21">
        <v>16.014374999999998</v>
      </c>
      <c r="S51" t="s">
        <v>311</v>
      </c>
      <c r="T51" s="22">
        <f t="shared" si="3"/>
        <v>0.72208863816126168</v>
      </c>
    </row>
    <row r="52" spans="1:20" x14ac:dyDescent="0.25">
      <c r="A52" s="14" t="s">
        <v>201</v>
      </c>
      <c r="B52" t="str">
        <f t="shared" si="21"/>
        <v>Enteric fermentation</v>
      </c>
      <c r="C52" t="str">
        <f t="shared" si="22"/>
        <v>CH4</v>
      </c>
      <c r="D52" s="21">
        <v>6.88</v>
      </c>
      <c r="E52" t="s">
        <v>144</v>
      </c>
      <c r="F52" s="21">
        <v>726840</v>
      </c>
      <c r="G52" s="22">
        <f t="shared" si="27"/>
        <v>3.3817521983901734E-2</v>
      </c>
      <c r="H52" s="22">
        <f t="shared" si="18"/>
        <v>0.23266455124924393</v>
      </c>
      <c r="J52" t="str">
        <f t="shared" si="23"/>
        <v>Manure management</v>
      </c>
      <c r="K52" t="str">
        <f t="shared" si="24"/>
        <v>CH4</v>
      </c>
      <c r="L52" s="21">
        <v>1.8E-3</v>
      </c>
      <c r="M52" t="s">
        <v>144</v>
      </c>
      <c r="N52" s="22">
        <f t="shared" si="2"/>
        <v>6.0871539571023123E-5</v>
      </c>
      <c r="P52" t="str">
        <f t="shared" si="25"/>
        <v>Manure management</v>
      </c>
      <c r="Q52" t="str">
        <f t="shared" si="26"/>
        <v>N2O</v>
      </c>
      <c r="R52" s="21">
        <v>20.284875</v>
      </c>
      <c r="S52" t="s">
        <v>311</v>
      </c>
      <c r="T52" s="22">
        <f t="shared" si="3"/>
        <v>0.68598420625319867</v>
      </c>
    </row>
    <row r="53" spans="1:20" x14ac:dyDescent="0.25">
      <c r="A53" s="14" t="s">
        <v>202</v>
      </c>
      <c r="B53" t="str">
        <f t="shared" si="21"/>
        <v>Enteric fermentation</v>
      </c>
      <c r="C53" t="str">
        <f t="shared" si="22"/>
        <v>CH4</v>
      </c>
      <c r="D53" s="21">
        <v>9.8800000000000008</v>
      </c>
      <c r="E53" t="s">
        <v>144</v>
      </c>
      <c r="F53" s="21">
        <v>121140</v>
      </c>
      <c r="G53" s="22">
        <f t="shared" si="27"/>
        <v>5.6362536639836223E-3</v>
      </c>
      <c r="H53" s="22">
        <f t="shared" si="18"/>
        <v>5.5686186200158194E-2</v>
      </c>
      <c r="J53" t="str">
        <f t="shared" si="23"/>
        <v>Manure management</v>
      </c>
      <c r="K53" t="str">
        <f t="shared" si="24"/>
        <v>CH4</v>
      </c>
      <c r="L53" s="21">
        <v>2.7000000000000001E-3</v>
      </c>
      <c r="M53" t="s">
        <v>144</v>
      </c>
      <c r="N53" s="22">
        <f t="shared" si="2"/>
        <v>1.5217884892755781E-5</v>
      </c>
      <c r="P53" t="str">
        <f t="shared" si="25"/>
        <v>Manure management</v>
      </c>
      <c r="Q53" t="str">
        <f t="shared" si="26"/>
        <v>N2O</v>
      </c>
      <c r="R53" s="21">
        <v>29.167514999999998</v>
      </c>
      <c r="S53" t="s">
        <v>311</v>
      </c>
      <c r="T53" s="22">
        <f t="shared" si="3"/>
        <v>0.16439551328804725</v>
      </c>
    </row>
    <row r="54" spans="1:20" x14ac:dyDescent="0.25">
      <c r="A54" s="14" t="s">
        <v>203</v>
      </c>
      <c r="B54" t="str">
        <f t="shared" si="21"/>
        <v>Enteric fermentation</v>
      </c>
      <c r="C54" t="str">
        <f t="shared" si="22"/>
        <v>CH4</v>
      </c>
      <c r="D54" s="21">
        <v>10.4</v>
      </c>
      <c r="E54" t="s">
        <v>144</v>
      </c>
      <c r="F54" s="21">
        <v>1872000</v>
      </c>
      <c r="G54" s="22">
        <f t="shared" si="27"/>
        <v>8.7098124970920759E-2</v>
      </c>
      <c r="H54" s="22">
        <f t="shared" si="18"/>
        <v>0.90582049969757594</v>
      </c>
      <c r="J54" t="str">
        <f t="shared" si="23"/>
        <v>Manure management</v>
      </c>
      <c r="K54" t="str">
        <f t="shared" si="24"/>
        <v>CH4</v>
      </c>
      <c r="L54" s="21">
        <v>2.8999999999999998E-3</v>
      </c>
      <c r="M54" t="s">
        <v>144</v>
      </c>
      <c r="N54" s="22">
        <f t="shared" si="2"/>
        <v>2.5258456241567017E-4</v>
      </c>
      <c r="P54" t="str">
        <f t="shared" si="25"/>
        <v>Manure management</v>
      </c>
      <c r="Q54" t="str">
        <f t="shared" si="26"/>
        <v>N2O</v>
      </c>
      <c r="R54" s="21">
        <v>29.039400000000001</v>
      </c>
      <c r="S54" t="s">
        <v>311</v>
      </c>
      <c r="T54" s="22">
        <f t="shared" si="3"/>
        <v>2.5292772902805565</v>
      </c>
    </row>
    <row r="55" spans="1:20" x14ac:dyDescent="0.25">
      <c r="A55" s="14" t="s">
        <v>204</v>
      </c>
      <c r="B55" t="str">
        <f t="shared" si="21"/>
        <v>Enteric fermentation</v>
      </c>
      <c r="C55" t="str">
        <f t="shared" si="22"/>
        <v>CH4</v>
      </c>
      <c r="D55" s="21">
        <v>22.2</v>
      </c>
      <c r="E55" t="s">
        <v>144</v>
      </c>
      <c r="F55" s="21">
        <v>41600</v>
      </c>
      <c r="G55" s="22">
        <f t="shared" si="27"/>
        <v>1.9355138882426836E-3</v>
      </c>
      <c r="H55" s="22">
        <f t="shared" si="18"/>
        <v>4.2968408318987579E-2</v>
      </c>
      <c r="J55" t="str">
        <f t="shared" si="23"/>
        <v>Manure management</v>
      </c>
      <c r="K55" t="str">
        <f t="shared" si="24"/>
        <v>CH4</v>
      </c>
      <c r="L55" s="21">
        <v>6.4000000000000003E-3</v>
      </c>
      <c r="M55" t="s">
        <v>144</v>
      </c>
      <c r="N55" s="22">
        <f t="shared" si="2"/>
        <v>1.2387288884753176E-5</v>
      </c>
      <c r="P55" t="str">
        <f t="shared" si="25"/>
        <v>Manure management</v>
      </c>
      <c r="Q55" t="str">
        <f t="shared" si="26"/>
        <v>N2O</v>
      </c>
      <c r="R55" s="21">
        <v>58.932899999999997</v>
      </c>
      <c r="S55" t="s">
        <v>311</v>
      </c>
      <c r="T55" s="22">
        <f t="shared" si="3"/>
        <v>0.11406544642441724</v>
      </c>
    </row>
    <row r="56" spans="1:20" x14ac:dyDescent="0.25">
      <c r="A56" s="14" t="s">
        <v>205</v>
      </c>
      <c r="B56" t="str">
        <f t="shared" si="21"/>
        <v>Enteric fermentation</v>
      </c>
      <c r="C56" t="str">
        <f t="shared" si="22"/>
        <v>CH4</v>
      </c>
      <c r="D56" s="21">
        <v>3.62</v>
      </c>
      <c r="E56" t="s">
        <v>144</v>
      </c>
      <c r="F56" s="21">
        <v>998400</v>
      </c>
      <c r="G56" s="22">
        <f t="shared" si="27"/>
        <v>4.6452333317824411E-2</v>
      </c>
      <c r="H56" s="22">
        <f t="shared" si="18"/>
        <v>0.16815744661052437</v>
      </c>
      <c r="J56" t="str">
        <f t="shared" si="23"/>
        <v>Manure management</v>
      </c>
      <c r="K56" t="str">
        <f t="shared" si="24"/>
        <v>CH4</v>
      </c>
      <c r="L56" s="21">
        <v>1E-3</v>
      </c>
      <c r="M56" t="s">
        <v>144</v>
      </c>
      <c r="N56" s="22">
        <f t="shared" si="2"/>
        <v>4.6452333317824413E-5</v>
      </c>
      <c r="P56" t="str">
        <f t="shared" si="25"/>
        <v>Manure management</v>
      </c>
      <c r="Q56" t="str">
        <f t="shared" si="26"/>
        <v>N2O</v>
      </c>
      <c r="R56" s="21">
        <v>9.608625</v>
      </c>
      <c r="S56" t="s">
        <v>311</v>
      </c>
      <c r="T56" s="22">
        <f t="shared" si="3"/>
        <v>0.44634305122598056</v>
      </c>
    </row>
    <row r="57" spans="1:20" x14ac:dyDescent="0.25">
      <c r="A57" s="14" t="s">
        <v>206</v>
      </c>
      <c r="B57" t="str">
        <f t="shared" si="21"/>
        <v>Enteric fermentation</v>
      </c>
      <c r="C57" t="str">
        <f t="shared" si="22"/>
        <v>CH4</v>
      </c>
      <c r="D57" s="21">
        <v>4.7699999999999996</v>
      </c>
      <c r="E57" t="s">
        <v>144</v>
      </c>
      <c r="F57" s="21">
        <v>665600</v>
      </c>
      <c r="G57" s="22">
        <f t="shared" si="27"/>
        <v>3.0968222211882938E-2</v>
      </c>
      <c r="H57" s="22">
        <f t="shared" si="18"/>
        <v>0.14771841995068161</v>
      </c>
      <c r="J57" t="str">
        <f t="shared" si="23"/>
        <v>Manure management</v>
      </c>
      <c r="K57" t="str">
        <f t="shared" si="24"/>
        <v>CH4</v>
      </c>
      <c r="L57" s="21">
        <v>1.1999999999999999E-3</v>
      </c>
      <c r="M57" t="s">
        <v>144</v>
      </c>
      <c r="N57" s="22">
        <f t="shared" si="2"/>
        <v>3.7161866654259525E-5</v>
      </c>
      <c r="P57" t="str">
        <f t="shared" si="25"/>
        <v>Manure management</v>
      </c>
      <c r="Q57" t="str">
        <f t="shared" si="26"/>
        <v>N2O</v>
      </c>
      <c r="R57" s="21">
        <v>13.452074999999999</v>
      </c>
      <c r="S57" t="s">
        <v>311</v>
      </c>
      <c r="T57" s="22">
        <f t="shared" si="3"/>
        <v>0.41658684781091515</v>
      </c>
    </row>
    <row r="58" spans="1:20" x14ac:dyDescent="0.25">
      <c r="A58" s="14" t="s">
        <v>207</v>
      </c>
      <c r="B58" t="str">
        <f t="shared" si="21"/>
        <v>Enteric fermentation</v>
      </c>
      <c r="C58" t="str">
        <f t="shared" si="22"/>
        <v>CH4</v>
      </c>
      <c r="D58" s="21">
        <v>8.01</v>
      </c>
      <c r="E58" t="s">
        <v>144</v>
      </c>
      <c r="F58" s="21">
        <v>499200</v>
      </c>
      <c r="G58" s="22">
        <f t="shared" si="27"/>
        <v>2.3226166658912206E-2</v>
      </c>
      <c r="H58" s="22">
        <f t="shared" si="18"/>
        <v>0.18604159493788677</v>
      </c>
      <c r="J58" t="str">
        <f t="shared" si="23"/>
        <v>Manure management</v>
      </c>
      <c r="K58" t="str">
        <f t="shared" si="24"/>
        <v>CH4</v>
      </c>
      <c r="L58" s="21">
        <v>2.2000000000000001E-3</v>
      </c>
      <c r="M58" t="s">
        <v>144</v>
      </c>
      <c r="N58" s="22">
        <f t="shared" si="2"/>
        <v>5.1097566649606857E-5</v>
      </c>
      <c r="P58" t="str">
        <f t="shared" si="25"/>
        <v>Manure management</v>
      </c>
      <c r="Q58" t="str">
        <f t="shared" si="26"/>
        <v>N2O</v>
      </c>
      <c r="R58" s="21">
        <v>23.701274999999999</v>
      </c>
      <c r="S58" t="s">
        <v>311</v>
      </c>
      <c r="T58" s="22">
        <f t="shared" si="3"/>
        <v>0.55048976317870935</v>
      </c>
    </row>
    <row r="59" spans="1:20" x14ac:dyDescent="0.25">
      <c r="A59" s="14" t="s">
        <v>208</v>
      </c>
      <c r="B59" t="str">
        <f t="shared" si="21"/>
        <v>Enteric fermentation</v>
      </c>
      <c r="C59" t="str">
        <f t="shared" si="22"/>
        <v>CH4</v>
      </c>
      <c r="D59" s="21">
        <v>14.8</v>
      </c>
      <c r="E59" t="s">
        <v>144</v>
      </c>
      <c r="F59" s="21">
        <v>83200</v>
      </c>
      <c r="G59" s="22">
        <f t="shared" si="27"/>
        <v>3.8710277764853673E-3</v>
      </c>
      <c r="H59" s="22">
        <f t="shared" si="18"/>
        <v>5.7291211091983436E-2</v>
      </c>
      <c r="J59" t="str">
        <f t="shared" si="23"/>
        <v>Manure management</v>
      </c>
      <c r="K59" t="str">
        <f t="shared" si="24"/>
        <v>CH4</v>
      </c>
      <c r="L59" s="21">
        <v>4.1999999999999997E-3</v>
      </c>
      <c r="M59" t="s">
        <v>144</v>
      </c>
      <c r="N59" s="22">
        <f t="shared" si="2"/>
        <v>1.6258316661238541E-5</v>
      </c>
      <c r="P59" t="str">
        <f t="shared" si="25"/>
        <v>Manure management</v>
      </c>
      <c r="Q59" t="str">
        <f t="shared" si="26"/>
        <v>N2O</v>
      </c>
      <c r="R59" s="21">
        <v>41.979014999999997</v>
      </c>
      <c r="S59" t="s">
        <v>311</v>
      </c>
      <c r="T59" s="22">
        <f t="shared" si="3"/>
        <v>0.16250193309449587</v>
      </c>
    </row>
    <row r="60" spans="1:20" x14ac:dyDescent="0.25">
      <c r="A60" s="14" t="s">
        <v>209</v>
      </c>
      <c r="B60" t="str">
        <f t="shared" si="21"/>
        <v>Enteric fermentation</v>
      </c>
      <c r="C60" t="str">
        <f t="shared" si="22"/>
        <v>CH4</v>
      </c>
      <c r="D60" s="21">
        <v>5.27</v>
      </c>
      <c r="E60" t="s">
        <v>144</v>
      </c>
      <c r="F60" s="21">
        <v>1570.0475704490825</v>
      </c>
      <c r="G60" s="22">
        <f>F60/SUM($F$60:$F$83)</f>
        <v>5.2342623179639871E-4</v>
      </c>
      <c r="H60" s="22">
        <f t="shared" si="18"/>
        <v>2.758456241567021E-3</v>
      </c>
      <c r="J60" t="str">
        <f t="shared" si="23"/>
        <v>Manure management</v>
      </c>
      <c r="K60" t="str">
        <f t="shared" si="24"/>
        <v>CH4</v>
      </c>
      <c r="L60" s="21">
        <v>1.5E-3</v>
      </c>
      <c r="M60" t="s">
        <v>144</v>
      </c>
      <c r="N60" s="22">
        <f t="shared" si="2"/>
        <v>7.8513934769459805E-7</v>
      </c>
      <c r="P60" t="str">
        <f t="shared" si="25"/>
        <v>Manure management</v>
      </c>
      <c r="Q60" t="str">
        <f t="shared" si="26"/>
        <v>N2O</v>
      </c>
      <c r="R60" s="21">
        <v>16.398719999999997</v>
      </c>
      <c r="S60" t="s">
        <v>311</v>
      </c>
      <c r="T60" s="22">
        <f t="shared" si="3"/>
        <v>8.5835202158842383E-3</v>
      </c>
    </row>
    <row r="61" spans="1:20" x14ac:dyDescent="0.25">
      <c r="A61" s="14" t="s">
        <v>210</v>
      </c>
      <c r="B61" t="str">
        <f t="shared" si="21"/>
        <v>Enteric fermentation</v>
      </c>
      <c r="C61" t="str">
        <f t="shared" si="22"/>
        <v>CH4</v>
      </c>
      <c r="D61" s="21">
        <v>7.62</v>
      </c>
      <c r="E61" t="s">
        <v>144</v>
      </c>
      <c r="F61" s="21">
        <v>34.88994600997961</v>
      </c>
      <c r="G61" s="22">
        <f t="shared" ref="G61:G83" si="28">F61/SUM($F$60:$F$83)</f>
        <v>1.1631694039919973E-5</v>
      </c>
      <c r="H61" s="22">
        <f t="shared" si="18"/>
        <v>8.8633508584190187E-5</v>
      </c>
      <c r="J61" t="str">
        <f t="shared" si="23"/>
        <v>Manure management</v>
      </c>
      <c r="K61" t="str">
        <f t="shared" si="24"/>
        <v>CH4</v>
      </c>
      <c r="L61" s="21">
        <v>2.2000000000000001E-3</v>
      </c>
      <c r="M61" t="s">
        <v>144</v>
      </c>
      <c r="N61" s="22">
        <f t="shared" si="2"/>
        <v>2.5589726887823941E-8</v>
      </c>
      <c r="P61" t="str">
        <f t="shared" si="25"/>
        <v>Manure management</v>
      </c>
      <c r="Q61" t="str">
        <f t="shared" si="26"/>
        <v>N2O</v>
      </c>
      <c r="R61" s="21">
        <v>24.768900000000002</v>
      </c>
      <c r="S61" t="s">
        <v>311</v>
      </c>
      <c r="T61" s="22">
        <f t="shared" si="3"/>
        <v>2.8810426650537383E-4</v>
      </c>
    </row>
    <row r="62" spans="1:20" x14ac:dyDescent="0.25">
      <c r="A62" s="14" t="s">
        <v>211</v>
      </c>
      <c r="B62" t="str">
        <f t="shared" si="21"/>
        <v>Enteric fermentation</v>
      </c>
      <c r="C62" t="str">
        <f t="shared" si="22"/>
        <v>CH4</v>
      </c>
      <c r="D62" s="21">
        <v>2.76</v>
      </c>
      <c r="E62" t="s">
        <v>144</v>
      </c>
      <c r="F62" s="21">
        <v>837.35870423951064</v>
      </c>
      <c r="G62" s="22">
        <f t="shared" si="28"/>
        <v>2.7916065695807933E-4</v>
      </c>
      <c r="H62" s="22">
        <f t="shared" si="18"/>
        <v>7.7048341320429888E-4</v>
      </c>
      <c r="J62" t="str">
        <f t="shared" si="23"/>
        <v>Manure management</v>
      </c>
      <c r="K62" t="str">
        <f t="shared" si="24"/>
        <v>CH4</v>
      </c>
      <c r="L62" s="21">
        <v>6.9999999999999999E-4</v>
      </c>
      <c r="M62" t="s">
        <v>144</v>
      </c>
      <c r="N62" s="22">
        <f t="shared" si="2"/>
        <v>1.9541245987065553E-7</v>
      </c>
      <c r="P62" t="str">
        <f t="shared" si="25"/>
        <v>Manure management</v>
      </c>
      <c r="Q62" t="str">
        <f t="shared" si="26"/>
        <v>N2O</v>
      </c>
      <c r="R62" s="21">
        <v>7.6868999999999996</v>
      </c>
      <c r="S62" t="s">
        <v>311</v>
      </c>
      <c r="T62" s="22">
        <f t="shared" si="3"/>
        <v>2.14588005397106E-3</v>
      </c>
    </row>
    <row r="63" spans="1:20" x14ac:dyDescent="0.25">
      <c r="A63" s="14" t="s">
        <v>212</v>
      </c>
      <c r="B63" t="str">
        <f t="shared" si="21"/>
        <v>Enteric fermentation</v>
      </c>
      <c r="C63" t="str">
        <f t="shared" si="22"/>
        <v>CH4</v>
      </c>
      <c r="D63" s="21">
        <v>3.76</v>
      </c>
      <c r="E63" t="s">
        <v>144</v>
      </c>
      <c r="F63" s="21">
        <v>558.23913615967376</v>
      </c>
      <c r="G63" s="22">
        <f t="shared" si="28"/>
        <v>1.8610710463871956E-4</v>
      </c>
      <c r="H63" s="22">
        <f t="shared" si="18"/>
        <v>6.9976271344158547E-4</v>
      </c>
      <c r="J63" t="str">
        <f t="shared" si="23"/>
        <v>Manure management</v>
      </c>
      <c r="K63" t="str">
        <f t="shared" si="24"/>
        <v>CH4</v>
      </c>
      <c r="L63" s="21">
        <v>1E-3</v>
      </c>
      <c r="M63" t="s">
        <v>144</v>
      </c>
      <c r="N63" s="22">
        <f t="shared" si="2"/>
        <v>1.8610710463871956E-7</v>
      </c>
      <c r="P63" t="str">
        <f t="shared" si="25"/>
        <v>Manure management</v>
      </c>
      <c r="Q63" t="str">
        <f t="shared" si="26"/>
        <v>N2O</v>
      </c>
      <c r="R63" s="21">
        <v>11.444940000000001</v>
      </c>
      <c r="S63" t="s">
        <v>311</v>
      </c>
      <c r="T63" s="22">
        <f t="shared" si="3"/>
        <v>2.1299846461638673E-3</v>
      </c>
    </row>
    <row r="64" spans="1:20" x14ac:dyDescent="0.25">
      <c r="A64" s="14" t="s">
        <v>213</v>
      </c>
      <c r="B64" t="str">
        <f t="shared" si="21"/>
        <v>Enteric fermentation</v>
      </c>
      <c r="C64" t="str">
        <f t="shared" si="22"/>
        <v>CH4</v>
      </c>
      <c r="D64" s="21">
        <v>4.4000000000000004</v>
      </c>
      <c r="E64" t="s">
        <v>144</v>
      </c>
      <c r="F64" s="21">
        <v>418.67935211975532</v>
      </c>
      <c r="G64" s="22">
        <f t="shared" si="28"/>
        <v>1.3958032847903967E-4</v>
      </c>
      <c r="H64" s="22">
        <f t="shared" si="18"/>
        <v>6.1415344530777458E-4</v>
      </c>
      <c r="J64" t="str">
        <f t="shared" si="23"/>
        <v>Manure management</v>
      </c>
      <c r="K64" t="str">
        <f t="shared" si="24"/>
        <v>CH4</v>
      </c>
      <c r="L64" s="21">
        <v>1.1999999999999999E-3</v>
      </c>
      <c r="M64" t="s">
        <v>144</v>
      </c>
      <c r="N64" s="22">
        <f t="shared" si="2"/>
        <v>1.6749639417484759E-7</v>
      </c>
      <c r="P64" t="str">
        <f t="shared" si="25"/>
        <v>Manure management</v>
      </c>
      <c r="Q64" t="str">
        <f t="shared" si="26"/>
        <v>N2O</v>
      </c>
      <c r="R64" s="21">
        <v>13.836419999999999</v>
      </c>
      <c r="S64" t="s">
        <v>311</v>
      </c>
      <c r="T64" s="22">
        <f t="shared" si="3"/>
        <v>1.9312920485739537E-3</v>
      </c>
    </row>
    <row r="65" spans="1:20" x14ac:dyDescent="0.25">
      <c r="A65" s="14" t="s">
        <v>214</v>
      </c>
      <c r="B65" t="str">
        <f t="shared" si="21"/>
        <v>Enteric fermentation</v>
      </c>
      <c r="C65" t="str">
        <f t="shared" si="22"/>
        <v>CH4</v>
      </c>
      <c r="D65" s="21">
        <v>5.6</v>
      </c>
      <c r="E65" t="s">
        <v>144</v>
      </c>
      <c r="F65" s="21">
        <v>69.77989201995922</v>
      </c>
      <c r="G65" s="22">
        <f t="shared" si="28"/>
        <v>2.3263388079839945E-5</v>
      </c>
      <c r="H65" s="22">
        <f t="shared" si="18"/>
        <v>1.302749732471037E-4</v>
      </c>
      <c r="J65" t="str">
        <f t="shared" si="23"/>
        <v>Manure management</v>
      </c>
      <c r="K65" t="str">
        <f t="shared" si="24"/>
        <v>CH4</v>
      </c>
      <c r="L65" s="21">
        <v>1.6000000000000001E-3</v>
      </c>
      <c r="M65" t="s">
        <v>144</v>
      </c>
      <c r="N65" s="22">
        <f t="shared" si="2"/>
        <v>3.7221420927743912E-8</v>
      </c>
      <c r="P65" t="str">
        <f t="shared" si="25"/>
        <v>Manure management</v>
      </c>
      <c r="Q65" t="str">
        <f t="shared" si="26"/>
        <v>N2O</v>
      </c>
      <c r="R65" s="21">
        <v>18.106919999999999</v>
      </c>
      <c r="S65" t="s">
        <v>311</v>
      </c>
      <c r="T65" s="22">
        <f t="shared" si="3"/>
        <v>4.2122830689061546E-4</v>
      </c>
    </row>
    <row r="66" spans="1:20" x14ac:dyDescent="0.25">
      <c r="A66" s="14" t="s">
        <v>215</v>
      </c>
      <c r="B66" t="str">
        <f t="shared" si="21"/>
        <v>Enteric fermentation</v>
      </c>
      <c r="C66" t="str">
        <f t="shared" si="22"/>
        <v>CH4</v>
      </c>
      <c r="D66" s="21">
        <v>5.79</v>
      </c>
      <c r="E66" t="s">
        <v>144</v>
      </c>
      <c r="F66" s="21">
        <v>706584.20860490517</v>
      </c>
      <c r="G66" s="22">
        <f t="shared" si="28"/>
        <v>0.23556274135765132</v>
      </c>
      <c r="H66" s="22">
        <f t="shared" si="18"/>
        <v>1.3639082724608012</v>
      </c>
      <c r="J66" t="str">
        <f t="shared" si="23"/>
        <v>Manure management</v>
      </c>
      <c r="K66" t="str">
        <f t="shared" si="24"/>
        <v>CH4</v>
      </c>
      <c r="L66" s="21">
        <v>1.6999999999999999E-3</v>
      </c>
      <c r="M66" t="s">
        <v>144</v>
      </c>
      <c r="N66" s="22">
        <f t="shared" si="2"/>
        <v>4.0045666030800721E-4</v>
      </c>
      <c r="P66" t="str">
        <f t="shared" si="25"/>
        <v>Manure management</v>
      </c>
      <c r="Q66" t="str">
        <f t="shared" si="26"/>
        <v>N2O</v>
      </c>
      <c r="R66" s="21">
        <v>17.978804999999998</v>
      </c>
      <c r="S66" t="s">
        <v>311</v>
      </c>
      <c r="T66" s="22">
        <f t="shared" si="3"/>
        <v>4.2351365921346478</v>
      </c>
    </row>
    <row r="67" spans="1:20" x14ac:dyDescent="0.25">
      <c r="A67" s="14" t="s">
        <v>216</v>
      </c>
      <c r="B67" t="str">
        <f t="shared" si="21"/>
        <v>Enteric fermentation</v>
      </c>
      <c r="C67" t="str">
        <f t="shared" si="22"/>
        <v>CH4</v>
      </c>
      <c r="D67" s="21">
        <v>10.5</v>
      </c>
      <c r="E67" t="s">
        <v>144</v>
      </c>
      <c r="F67" s="21">
        <v>15701.871302331225</v>
      </c>
      <c r="G67" s="22">
        <f t="shared" si="28"/>
        <v>5.234727585725585E-3</v>
      </c>
      <c r="H67" s="22">
        <f t="shared" si="18"/>
        <v>5.4964639650118642E-2</v>
      </c>
      <c r="J67" t="str">
        <f t="shared" si="23"/>
        <v>Manure management</v>
      </c>
      <c r="K67" t="str">
        <f t="shared" si="24"/>
        <v>CH4</v>
      </c>
      <c r="L67" s="21">
        <v>3.2000000000000002E-3</v>
      </c>
      <c r="M67" t="s">
        <v>144</v>
      </c>
      <c r="N67" s="22">
        <f t="shared" si="2"/>
        <v>1.6751128274321872E-5</v>
      </c>
      <c r="P67" t="str">
        <f t="shared" si="25"/>
        <v>Manure management</v>
      </c>
      <c r="Q67" t="str">
        <f t="shared" si="26"/>
        <v>N2O</v>
      </c>
      <c r="R67" s="21">
        <v>33.309899999999999</v>
      </c>
      <c r="S67" t="s">
        <v>311</v>
      </c>
      <c r="T67" s="22">
        <f t="shared" si="3"/>
        <v>0.17436825240776066</v>
      </c>
    </row>
    <row r="68" spans="1:20" x14ac:dyDescent="0.25">
      <c r="A68" s="14" t="s">
        <v>217</v>
      </c>
      <c r="B68" t="str">
        <f t="shared" si="21"/>
        <v>Enteric fermentation</v>
      </c>
      <c r="C68" t="str">
        <f t="shared" si="22"/>
        <v>CH4</v>
      </c>
      <c r="D68" s="21">
        <v>2.76</v>
      </c>
      <c r="E68" t="s">
        <v>144</v>
      </c>
      <c r="F68" s="21">
        <v>376844.91125594941</v>
      </c>
      <c r="G68" s="22">
        <f t="shared" si="28"/>
        <v>0.12563346205741405</v>
      </c>
      <c r="H68" s="22">
        <f t="shared" si="18"/>
        <v>0.34674835527846276</v>
      </c>
      <c r="J68" t="str">
        <f t="shared" si="23"/>
        <v>Manure management</v>
      </c>
      <c r="K68" t="str">
        <f t="shared" si="24"/>
        <v>CH4</v>
      </c>
      <c r="L68" s="21">
        <v>6.9999999999999999E-4</v>
      </c>
      <c r="M68" t="s">
        <v>144</v>
      </c>
      <c r="N68" s="22">
        <f t="shared" si="2"/>
        <v>8.7943423440189835E-5</v>
      </c>
      <c r="P68" t="str">
        <f t="shared" si="25"/>
        <v>Manure management</v>
      </c>
      <c r="Q68" t="str">
        <f t="shared" si="26"/>
        <v>N2O</v>
      </c>
      <c r="R68" s="21">
        <v>7.6868999999999996</v>
      </c>
      <c r="S68" t="s">
        <v>311</v>
      </c>
      <c r="T68" s="22">
        <f t="shared" si="3"/>
        <v>0.96573185948913598</v>
      </c>
    </row>
    <row r="69" spans="1:20" x14ac:dyDescent="0.25">
      <c r="A69" s="14" t="s">
        <v>218</v>
      </c>
      <c r="B69" t="str">
        <f t="shared" si="21"/>
        <v>Enteric fermentation</v>
      </c>
      <c r="C69" t="str">
        <f t="shared" si="22"/>
        <v>CH4</v>
      </c>
      <c r="D69" s="21">
        <v>4.12</v>
      </c>
      <c r="E69" t="s">
        <v>144</v>
      </c>
      <c r="F69" s="21">
        <v>251229.9408372996</v>
      </c>
      <c r="G69" s="22">
        <f t="shared" si="28"/>
        <v>8.375564137160936E-2</v>
      </c>
      <c r="H69" s="22">
        <f t="shared" si="18"/>
        <v>0.34507324245103055</v>
      </c>
      <c r="J69" t="str">
        <f t="shared" si="23"/>
        <v>Manure management</v>
      </c>
      <c r="K69" t="str">
        <f t="shared" si="24"/>
        <v>CH4</v>
      </c>
      <c r="L69" s="21">
        <v>1.1000000000000001E-3</v>
      </c>
      <c r="M69" t="s">
        <v>144</v>
      </c>
      <c r="N69" s="22">
        <f t="shared" si="2"/>
        <v>9.2131205508770296E-5</v>
      </c>
      <c r="P69" t="str">
        <f t="shared" si="25"/>
        <v>Manure management</v>
      </c>
      <c r="Q69" t="str">
        <f t="shared" si="26"/>
        <v>N2O</v>
      </c>
      <c r="R69" s="21">
        <v>12.811500000000001</v>
      </c>
      <c r="S69" t="s">
        <v>311</v>
      </c>
      <c r="T69" s="22">
        <f t="shared" si="3"/>
        <v>1.0730353994323734</v>
      </c>
    </row>
    <row r="70" spans="1:20" x14ac:dyDescent="0.25">
      <c r="A70" s="14" t="s">
        <v>219</v>
      </c>
      <c r="B70" t="str">
        <f t="shared" si="21"/>
        <v>Enteric fermentation</v>
      </c>
      <c r="C70" t="str">
        <f t="shared" si="22"/>
        <v>CH4</v>
      </c>
      <c r="D70" s="21">
        <v>4.59</v>
      </c>
      <c r="E70" t="s">
        <v>144</v>
      </c>
      <c r="F70" s="21">
        <v>188422.4556279747</v>
      </c>
      <c r="G70" s="22">
        <f t="shared" si="28"/>
        <v>6.2816731028707024E-2</v>
      </c>
      <c r="H70" s="22">
        <f t="shared" si="18"/>
        <v>0.2883287954217652</v>
      </c>
      <c r="J70" t="str">
        <f t="shared" si="23"/>
        <v>Manure management</v>
      </c>
      <c r="K70" t="str">
        <f t="shared" si="24"/>
        <v>CH4</v>
      </c>
      <c r="L70" s="21">
        <v>1.2999999999999999E-3</v>
      </c>
      <c r="M70" t="s">
        <v>144</v>
      </c>
      <c r="N70" s="22">
        <f t="shared" ref="N70:N108" si="29">L70*G70</f>
        <v>8.1661750337319122E-5</v>
      </c>
      <c r="P70" t="str">
        <f t="shared" si="25"/>
        <v>Manure management</v>
      </c>
      <c r="Q70" t="str">
        <f t="shared" si="26"/>
        <v>N2O</v>
      </c>
      <c r="R70" s="21">
        <v>14.5197</v>
      </c>
      <c r="S70" t="s">
        <v>311</v>
      </c>
      <c r="T70" s="22">
        <f t="shared" ref="T70:T83" si="30">R70*G70</f>
        <v>0.9120800895175174</v>
      </c>
    </row>
    <row r="71" spans="1:20" x14ac:dyDescent="0.25">
      <c r="A71" s="14" t="s">
        <v>220</v>
      </c>
      <c r="B71" t="str">
        <f t="shared" si="21"/>
        <v>Enteric fermentation</v>
      </c>
      <c r="C71" t="str">
        <f t="shared" si="22"/>
        <v>CH4</v>
      </c>
      <c r="D71" s="21">
        <v>8.25</v>
      </c>
      <c r="E71" t="s">
        <v>144</v>
      </c>
      <c r="F71" s="21">
        <v>31403.74260466245</v>
      </c>
      <c r="G71" s="22">
        <f t="shared" si="28"/>
        <v>1.046945517145117E-2</v>
      </c>
      <c r="H71" s="22">
        <f t="shared" si="18"/>
        <v>8.6373005164472147E-2</v>
      </c>
      <c r="J71" t="str">
        <f t="shared" si="23"/>
        <v>Manure management</v>
      </c>
      <c r="K71" t="str">
        <f t="shared" si="24"/>
        <v>CH4</v>
      </c>
      <c r="L71" s="21">
        <v>2.5000000000000001E-3</v>
      </c>
      <c r="M71" t="s">
        <v>144</v>
      </c>
      <c r="N71" s="22">
        <f t="shared" si="29"/>
        <v>2.6173637928627927E-5</v>
      </c>
      <c r="P71" t="str">
        <f t="shared" si="25"/>
        <v>Manure management</v>
      </c>
      <c r="Q71" t="str">
        <f t="shared" si="26"/>
        <v>N2O</v>
      </c>
      <c r="R71" s="21">
        <v>26.733330000000002</v>
      </c>
      <c r="S71" t="s">
        <v>311</v>
      </c>
      <c r="T71" s="22">
        <f t="shared" si="30"/>
        <v>0.27988340001861073</v>
      </c>
    </row>
    <row r="72" spans="1:20" x14ac:dyDescent="0.25">
      <c r="A72" s="14" t="s">
        <v>221</v>
      </c>
      <c r="B72" t="str">
        <f t="shared" si="21"/>
        <v>Enteric fermentation</v>
      </c>
      <c r="C72" t="str">
        <f t="shared" si="22"/>
        <v>CH4</v>
      </c>
      <c r="D72" s="21">
        <v>6.83</v>
      </c>
      <c r="E72" t="s">
        <v>144</v>
      </c>
      <c r="F72" s="21">
        <v>380391.12536840374</v>
      </c>
      <c r="G72" s="22">
        <f t="shared" si="28"/>
        <v>0.1268157074396315</v>
      </c>
      <c r="H72" s="22">
        <f t="shared" si="18"/>
        <v>0.86615128181268308</v>
      </c>
      <c r="J72" t="str">
        <f t="shared" si="23"/>
        <v>Manure management</v>
      </c>
      <c r="K72" t="str">
        <f t="shared" si="24"/>
        <v>CH4</v>
      </c>
      <c r="L72" s="21">
        <v>2E-3</v>
      </c>
      <c r="M72" t="s">
        <v>144</v>
      </c>
      <c r="N72" s="22">
        <f t="shared" si="29"/>
        <v>2.5363141487926298E-4</v>
      </c>
      <c r="P72" t="str">
        <f t="shared" si="25"/>
        <v>Manure management</v>
      </c>
      <c r="Q72" t="str">
        <f t="shared" si="26"/>
        <v>N2O</v>
      </c>
      <c r="R72" s="21">
        <v>21.480614999999997</v>
      </c>
      <c r="S72" t="s">
        <v>311</v>
      </c>
      <c r="T72" s="22">
        <f t="shared" si="30"/>
        <v>2.7240793874633593</v>
      </c>
    </row>
    <row r="73" spans="1:20" x14ac:dyDescent="0.25">
      <c r="A73" s="14" t="s">
        <v>222</v>
      </c>
      <c r="B73" t="str">
        <f t="shared" si="21"/>
        <v>Enteric fermentation</v>
      </c>
      <c r="C73" t="str">
        <f t="shared" si="22"/>
        <v>CH4</v>
      </c>
      <c r="D73" s="21">
        <v>10.5</v>
      </c>
      <c r="E73" t="s">
        <v>144</v>
      </c>
      <c r="F73" s="21">
        <v>8453.1361192978602</v>
      </c>
      <c r="G73" s="22">
        <f t="shared" si="28"/>
        <v>2.8181268319918107E-3</v>
      </c>
      <c r="H73" s="22">
        <f t="shared" si="18"/>
        <v>2.9590331735914011E-2</v>
      </c>
      <c r="J73" t="str">
        <f t="shared" si="23"/>
        <v>Manure management</v>
      </c>
      <c r="K73" t="str">
        <f t="shared" si="24"/>
        <v>CH4</v>
      </c>
      <c r="L73" s="21">
        <v>3.2000000000000002E-3</v>
      </c>
      <c r="M73" t="s">
        <v>144</v>
      </c>
      <c r="N73" s="22">
        <f t="shared" si="29"/>
        <v>9.0180058623737941E-6</v>
      </c>
      <c r="P73" t="str">
        <f t="shared" si="25"/>
        <v>Manure management</v>
      </c>
      <c r="Q73" t="str">
        <f t="shared" si="26"/>
        <v>N2O</v>
      </c>
      <c r="R73" s="21">
        <v>33.352604999999997</v>
      </c>
      <c r="S73" t="s">
        <v>311</v>
      </c>
      <c r="T73" s="22">
        <f t="shared" si="30"/>
        <v>9.399187106732422E-2</v>
      </c>
    </row>
    <row r="74" spans="1:20" x14ac:dyDescent="0.25">
      <c r="A74" s="14" t="s">
        <v>223</v>
      </c>
      <c r="B74" t="str">
        <f t="shared" si="21"/>
        <v>Enteric fermentation</v>
      </c>
      <c r="C74" t="str">
        <f t="shared" si="22"/>
        <v>CH4</v>
      </c>
      <c r="D74" s="21">
        <v>2.76</v>
      </c>
      <c r="E74" t="s">
        <v>144</v>
      </c>
      <c r="F74" s="21">
        <v>202875.26686314863</v>
      </c>
      <c r="G74" s="22">
        <f t="shared" si="28"/>
        <v>6.7635043967803454E-2</v>
      </c>
      <c r="H74" s="22">
        <f t="shared" si="18"/>
        <v>0.18667272135113752</v>
      </c>
      <c r="J74" t="str">
        <f t="shared" si="23"/>
        <v>Manure management</v>
      </c>
      <c r="K74" t="str">
        <f t="shared" si="24"/>
        <v>CH4</v>
      </c>
      <c r="L74" s="21">
        <v>6.9999999999999999E-4</v>
      </c>
      <c r="M74" t="s">
        <v>144</v>
      </c>
      <c r="N74" s="22">
        <f t="shared" si="29"/>
        <v>4.734453077746242E-5</v>
      </c>
      <c r="P74" t="str">
        <f t="shared" si="25"/>
        <v>Manure management</v>
      </c>
      <c r="Q74" t="str">
        <f t="shared" si="26"/>
        <v>N2O</v>
      </c>
      <c r="R74" s="21">
        <v>7.6868999999999996</v>
      </c>
      <c r="S74" t="s">
        <v>311</v>
      </c>
      <c r="T74" s="22">
        <f t="shared" si="30"/>
        <v>0.51990381947610831</v>
      </c>
    </row>
    <row r="75" spans="1:20" x14ac:dyDescent="0.25">
      <c r="A75" s="14" t="s">
        <v>224</v>
      </c>
      <c r="B75" t="str">
        <f t="shared" si="21"/>
        <v>Enteric fermentation</v>
      </c>
      <c r="C75" t="str">
        <f t="shared" si="22"/>
        <v>CH4</v>
      </c>
      <c r="D75" s="21">
        <v>4.12</v>
      </c>
      <c r="E75" t="s">
        <v>144</v>
      </c>
      <c r="F75" s="21">
        <v>135250.17790876576</v>
      </c>
      <c r="G75" s="22">
        <f t="shared" si="28"/>
        <v>4.5090029311868972E-2</v>
      </c>
      <c r="H75" s="22">
        <f t="shared" si="18"/>
        <v>0.18577092076490018</v>
      </c>
      <c r="J75" t="str">
        <f t="shared" si="23"/>
        <v>Manure management</v>
      </c>
      <c r="K75" t="str">
        <f t="shared" si="24"/>
        <v>CH4</v>
      </c>
      <c r="L75" s="21">
        <v>1.1000000000000001E-3</v>
      </c>
      <c r="M75" t="s">
        <v>144</v>
      </c>
      <c r="N75" s="22">
        <f t="shared" si="29"/>
        <v>4.9599032243055872E-5</v>
      </c>
      <c r="P75" t="str">
        <f t="shared" si="25"/>
        <v>Manure management</v>
      </c>
      <c r="Q75" t="str">
        <f t="shared" si="26"/>
        <v>N2O</v>
      </c>
      <c r="R75" s="21">
        <v>12.811500000000001</v>
      </c>
      <c r="S75" t="s">
        <v>311</v>
      </c>
      <c r="T75" s="22">
        <f t="shared" si="30"/>
        <v>0.57767091052900932</v>
      </c>
    </row>
    <row r="76" spans="1:20" x14ac:dyDescent="0.25">
      <c r="A76" s="14" t="s">
        <v>225</v>
      </c>
      <c r="B76" t="str">
        <f t="shared" si="21"/>
        <v>Enteric fermentation</v>
      </c>
      <c r="C76" t="str">
        <f t="shared" si="22"/>
        <v>CH4</v>
      </c>
      <c r="D76" s="21">
        <v>5.07</v>
      </c>
      <c r="E76" t="s">
        <v>144</v>
      </c>
      <c r="F76" s="21">
        <v>101437.63343157432</v>
      </c>
      <c r="G76" s="22">
        <f t="shared" si="28"/>
        <v>3.3817521983901727E-2</v>
      </c>
      <c r="H76" s="22">
        <f t="shared" si="18"/>
        <v>0.17145483645838178</v>
      </c>
      <c r="J76" t="str">
        <f t="shared" si="23"/>
        <v>Manure management</v>
      </c>
      <c r="K76" t="str">
        <f t="shared" si="24"/>
        <v>CH4</v>
      </c>
      <c r="L76" s="21">
        <v>1.4E-3</v>
      </c>
      <c r="M76" t="s">
        <v>144</v>
      </c>
      <c r="N76" s="22">
        <f t="shared" si="29"/>
        <v>4.734453077746242E-5</v>
      </c>
      <c r="P76" t="str">
        <f t="shared" si="25"/>
        <v>Manure management</v>
      </c>
      <c r="Q76" t="str">
        <f t="shared" si="26"/>
        <v>N2O</v>
      </c>
      <c r="R76" s="21">
        <v>16.227899999999998</v>
      </c>
      <c r="S76" t="s">
        <v>311</v>
      </c>
      <c r="T76" s="22">
        <f t="shared" si="30"/>
        <v>0.54878736500255876</v>
      </c>
    </row>
    <row r="77" spans="1:20" x14ac:dyDescent="0.25">
      <c r="A77" s="14" t="s">
        <v>226</v>
      </c>
      <c r="B77" t="str">
        <f t="shared" si="21"/>
        <v>Enteric fermentation</v>
      </c>
      <c r="C77" t="str">
        <f t="shared" si="22"/>
        <v>CH4</v>
      </c>
      <c r="D77" s="21">
        <v>6.94</v>
      </c>
      <c r="E77" t="s">
        <v>144</v>
      </c>
      <c r="F77" s="21">
        <v>16906.27223859572</v>
      </c>
      <c r="G77" s="22">
        <f t="shared" si="28"/>
        <v>5.6362536639836215E-3</v>
      </c>
      <c r="H77" s="22">
        <f t="shared" ref="H77:H108" si="31">D77*G77</f>
        <v>3.9115600428046335E-2</v>
      </c>
      <c r="J77" t="str">
        <f t="shared" si="23"/>
        <v>Manure management</v>
      </c>
      <c r="K77" t="str">
        <f t="shared" si="24"/>
        <v>CH4</v>
      </c>
      <c r="L77" s="21">
        <v>2.0999999999999999E-3</v>
      </c>
      <c r="M77" t="s">
        <v>144</v>
      </c>
      <c r="N77" s="22">
        <f t="shared" si="29"/>
        <v>1.1836132694365605E-5</v>
      </c>
      <c r="P77" t="str">
        <f t="shared" si="25"/>
        <v>Manure management</v>
      </c>
      <c r="Q77" t="str">
        <f t="shared" si="26"/>
        <v>N2O</v>
      </c>
      <c r="R77" s="21">
        <v>23.188814999999998</v>
      </c>
      <c r="S77" t="s">
        <v>311</v>
      </c>
      <c r="T77" s="22">
        <f t="shared" si="30"/>
        <v>0.13069804350718836</v>
      </c>
    </row>
    <row r="78" spans="1:20" x14ac:dyDescent="0.25">
      <c r="A78" s="14" t="s">
        <v>227</v>
      </c>
      <c r="B78" t="str">
        <f t="shared" si="21"/>
        <v>Enteric fermentation</v>
      </c>
      <c r="C78" t="str">
        <f t="shared" si="22"/>
        <v>CH4</v>
      </c>
      <c r="D78" s="21">
        <v>7.4</v>
      </c>
      <c r="E78" t="s">
        <v>144</v>
      </c>
      <c r="F78" s="21">
        <v>261255.91572272734</v>
      </c>
      <c r="G78" s="22">
        <f t="shared" si="28"/>
        <v>8.7098124970920759E-2</v>
      </c>
      <c r="H78" s="22">
        <f t="shared" si="31"/>
        <v>0.64452612478481364</v>
      </c>
      <c r="J78" t="str">
        <f t="shared" si="23"/>
        <v>Manure management</v>
      </c>
      <c r="K78" t="str">
        <f t="shared" si="24"/>
        <v>CH4</v>
      </c>
      <c r="L78" s="21">
        <v>2.2000000000000001E-3</v>
      </c>
      <c r="M78" t="s">
        <v>144</v>
      </c>
      <c r="N78" s="22">
        <f t="shared" si="29"/>
        <v>1.9161587493602569E-4</v>
      </c>
      <c r="P78" t="str">
        <f t="shared" si="25"/>
        <v>Manure management</v>
      </c>
      <c r="Q78" t="str">
        <f t="shared" si="26"/>
        <v>N2O</v>
      </c>
      <c r="R78" s="21">
        <v>23.274225000000001</v>
      </c>
      <c r="S78" t="s">
        <v>311</v>
      </c>
      <c r="T78" s="22">
        <f t="shared" si="30"/>
        <v>2.0271413576513284</v>
      </c>
    </row>
    <row r="79" spans="1:20" x14ac:dyDescent="0.25">
      <c r="A79" s="14" t="s">
        <v>228</v>
      </c>
      <c r="B79" t="str">
        <f t="shared" si="21"/>
        <v>Enteric fermentation</v>
      </c>
      <c r="C79" t="str">
        <f t="shared" si="22"/>
        <v>CH4</v>
      </c>
      <c r="D79" s="21">
        <v>15</v>
      </c>
      <c r="E79" t="s">
        <v>144</v>
      </c>
      <c r="F79" s="21">
        <v>5805.6870160606077</v>
      </c>
      <c r="G79" s="22">
        <f t="shared" si="28"/>
        <v>1.9355138882426836E-3</v>
      </c>
      <c r="H79" s="22">
        <f t="shared" si="31"/>
        <v>2.9032708323640254E-2</v>
      </c>
      <c r="J79" t="str">
        <f t="shared" si="23"/>
        <v>Manure management</v>
      </c>
      <c r="K79" t="str">
        <f t="shared" si="24"/>
        <v>CH4</v>
      </c>
      <c r="L79" s="21">
        <v>5.0000000000000001E-3</v>
      </c>
      <c r="M79" t="s">
        <v>144</v>
      </c>
      <c r="N79" s="22">
        <f t="shared" si="29"/>
        <v>9.6775694412134183E-6</v>
      </c>
      <c r="P79" t="str">
        <f t="shared" si="25"/>
        <v>Manure management</v>
      </c>
      <c r="Q79" t="str">
        <f t="shared" si="26"/>
        <v>N2O</v>
      </c>
      <c r="R79" s="21">
        <v>46.97549999999999</v>
      </c>
      <c r="S79" t="s">
        <v>311</v>
      </c>
      <c r="T79" s="22">
        <f t="shared" si="30"/>
        <v>9.0921732657144164E-2</v>
      </c>
    </row>
    <row r="80" spans="1:20" x14ac:dyDescent="0.25">
      <c r="A80" s="14" t="s">
        <v>229</v>
      </c>
      <c r="B80" t="str">
        <f t="shared" si="21"/>
        <v>Enteric fermentation</v>
      </c>
      <c r="C80" t="str">
        <f t="shared" si="22"/>
        <v>CH4</v>
      </c>
      <c r="D80" s="21">
        <v>2.76</v>
      </c>
      <c r="E80" t="s">
        <v>144</v>
      </c>
      <c r="F80" s="21">
        <v>139336.48838545458</v>
      </c>
      <c r="G80" s="22">
        <f t="shared" si="28"/>
        <v>4.6452333317824404E-2</v>
      </c>
      <c r="H80" s="22">
        <f t="shared" si="31"/>
        <v>0.12820843995719536</v>
      </c>
      <c r="J80" t="str">
        <f t="shared" si="23"/>
        <v>Manure management</v>
      </c>
      <c r="K80" t="str">
        <f t="shared" si="24"/>
        <v>CH4</v>
      </c>
      <c r="L80" s="21">
        <v>6.9999999999999999E-4</v>
      </c>
      <c r="M80" t="s">
        <v>144</v>
      </c>
      <c r="N80" s="22">
        <f t="shared" si="29"/>
        <v>3.2516633322477081E-5</v>
      </c>
      <c r="P80" t="str">
        <f t="shared" si="25"/>
        <v>Manure management</v>
      </c>
      <c r="Q80" t="str">
        <f t="shared" si="26"/>
        <v>N2O</v>
      </c>
      <c r="R80" s="21">
        <v>7.6868999999999996</v>
      </c>
      <c r="S80" t="s">
        <v>311</v>
      </c>
      <c r="T80" s="22">
        <f t="shared" si="30"/>
        <v>0.35707444098078439</v>
      </c>
    </row>
    <row r="81" spans="1:20" x14ac:dyDescent="0.25">
      <c r="A81" s="14" t="s">
        <v>230</v>
      </c>
      <c r="B81" t="str">
        <f t="shared" si="21"/>
        <v>Enteric fermentation</v>
      </c>
      <c r="C81" t="str">
        <f t="shared" si="22"/>
        <v>CH4</v>
      </c>
      <c r="D81" s="21">
        <v>3.55</v>
      </c>
      <c r="E81" t="s">
        <v>144</v>
      </c>
      <c r="F81" s="21">
        <v>92890.992256969723</v>
      </c>
      <c r="G81" s="22">
        <f t="shared" si="28"/>
        <v>3.0968222211882938E-2</v>
      </c>
      <c r="H81" s="22">
        <f t="shared" si="31"/>
        <v>0.10993718885218443</v>
      </c>
      <c r="J81" t="str">
        <f t="shared" si="23"/>
        <v>Manure management</v>
      </c>
      <c r="K81" t="str">
        <f t="shared" si="24"/>
        <v>CH4</v>
      </c>
      <c r="L81" s="21">
        <v>1E-3</v>
      </c>
      <c r="M81" t="s">
        <v>144</v>
      </c>
      <c r="N81" s="22">
        <f t="shared" si="29"/>
        <v>3.096822221188294E-5</v>
      </c>
      <c r="P81" t="str">
        <f t="shared" si="25"/>
        <v>Manure management</v>
      </c>
      <c r="Q81" t="str">
        <f t="shared" si="26"/>
        <v>N2O</v>
      </c>
      <c r="R81" s="21">
        <v>10.67625</v>
      </c>
      <c r="S81" t="s">
        <v>311</v>
      </c>
      <c r="T81" s="22">
        <f t="shared" si="30"/>
        <v>0.33062448238961523</v>
      </c>
    </row>
    <row r="82" spans="1:20" x14ac:dyDescent="0.25">
      <c r="A82" s="14" t="s">
        <v>231</v>
      </c>
      <c r="B82" t="str">
        <f t="shared" si="21"/>
        <v>Enteric fermentation</v>
      </c>
      <c r="C82" t="str">
        <f t="shared" si="22"/>
        <v>CH4</v>
      </c>
      <c r="D82" s="21">
        <v>5.8</v>
      </c>
      <c r="E82" t="s">
        <v>144</v>
      </c>
      <c r="F82" s="21">
        <v>69668.244192727288</v>
      </c>
      <c r="G82" s="22">
        <f t="shared" si="28"/>
        <v>2.3226166658912202E-2</v>
      </c>
      <c r="H82" s="22">
        <f t="shared" si="31"/>
        <v>0.13471176662169076</v>
      </c>
      <c r="J82" t="str">
        <f t="shared" si="23"/>
        <v>Manure management</v>
      </c>
      <c r="K82" t="str">
        <f t="shared" si="24"/>
        <v>CH4</v>
      </c>
      <c r="L82" s="21">
        <v>2E-3</v>
      </c>
      <c r="M82" t="s">
        <v>144</v>
      </c>
      <c r="N82" s="22">
        <f t="shared" si="29"/>
        <v>4.6452333317824407E-5</v>
      </c>
      <c r="P82" t="str">
        <f t="shared" si="25"/>
        <v>Manure management</v>
      </c>
      <c r="Q82" t="str">
        <f t="shared" si="26"/>
        <v>N2O</v>
      </c>
      <c r="R82" s="21">
        <v>18.790199999999995</v>
      </c>
      <c r="S82" t="s">
        <v>311</v>
      </c>
      <c r="T82" s="22">
        <f t="shared" si="30"/>
        <v>0.43642431675429194</v>
      </c>
    </row>
    <row r="83" spans="1:20" x14ac:dyDescent="0.25">
      <c r="A83" s="14" t="s">
        <v>232</v>
      </c>
      <c r="B83" t="str">
        <f t="shared" si="21"/>
        <v>Enteric fermentation</v>
      </c>
      <c r="C83" t="str">
        <f t="shared" si="22"/>
        <v>CH4</v>
      </c>
      <c r="D83" s="21">
        <v>10.5</v>
      </c>
      <c r="E83" t="s">
        <v>144</v>
      </c>
      <c r="F83" s="21">
        <v>11611.374032121215</v>
      </c>
      <c r="G83" s="22">
        <f t="shared" si="28"/>
        <v>3.8710277764853673E-3</v>
      </c>
      <c r="H83" s="22">
        <f t="shared" si="31"/>
        <v>4.0645791653096355E-2</v>
      </c>
      <c r="J83" t="str">
        <f t="shared" si="23"/>
        <v>Manure management</v>
      </c>
      <c r="K83" t="str">
        <f t="shared" si="24"/>
        <v>CH4</v>
      </c>
      <c r="L83" s="21">
        <v>3.2000000000000002E-3</v>
      </c>
      <c r="M83" t="s">
        <v>144</v>
      </c>
      <c r="N83" s="22">
        <f t="shared" si="29"/>
        <v>1.2387288884753176E-5</v>
      </c>
      <c r="P83" t="str">
        <f t="shared" si="25"/>
        <v>Manure management</v>
      </c>
      <c r="Q83" t="str">
        <f t="shared" si="26"/>
        <v>N2O</v>
      </c>
      <c r="R83" s="21">
        <v>25.409474999999997</v>
      </c>
      <c r="S83" t="s">
        <v>311</v>
      </c>
      <c r="T83" s="22">
        <f t="shared" si="30"/>
        <v>9.8360783510910516E-2</v>
      </c>
    </row>
    <row r="84" spans="1:20" x14ac:dyDescent="0.25">
      <c r="A84" s="13" t="s">
        <v>153</v>
      </c>
      <c r="M84" s="13"/>
    </row>
    <row r="85" spans="1:20" x14ac:dyDescent="0.25">
      <c r="A85" s="14" t="s">
        <v>233</v>
      </c>
      <c r="B85" t="str">
        <f t="shared" ref="B85:B108" si="32">$B$5</f>
        <v>Enteric fermentation</v>
      </c>
      <c r="C85" t="str">
        <f t="shared" ref="C85:C108" si="33">$C$5</f>
        <v>CH4</v>
      </c>
      <c r="D85" s="21">
        <v>6.01</v>
      </c>
      <c r="E85" t="s">
        <v>144</v>
      </c>
      <c r="F85" s="21">
        <v>7463.5068944892591</v>
      </c>
      <c r="G85" s="22">
        <f>F85/SUM($F$85:$F$102)</f>
        <v>3.6371865957549993E-3</v>
      </c>
      <c r="H85" s="22">
        <f t="shared" si="31"/>
        <v>2.1859491440487544E-2</v>
      </c>
      <c r="J85" t="str">
        <f t="shared" ref="J85:J108" si="34">$J$5</f>
        <v>Manure management</v>
      </c>
      <c r="K85" t="str">
        <f t="shared" ref="K85:K108" si="35">$K$5</f>
        <v>CH4</v>
      </c>
      <c r="L85" s="21">
        <v>6.1999999999999998E-3</v>
      </c>
      <c r="M85" t="s">
        <v>144</v>
      </c>
      <c r="N85" s="22">
        <f t="shared" si="29"/>
        <v>2.2550556893680993E-5</v>
      </c>
      <c r="P85" t="str">
        <f t="shared" ref="P85:P108" si="36">$P$5</f>
        <v>Manure management</v>
      </c>
      <c r="Q85" t="str">
        <f t="shared" ref="Q85:Q108" si="37">$Q$5</f>
        <v>N2O</v>
      </c>
      <c r="R85" s="21">
        <v>20.752075000000005</v>
      </c>
      <c r="S85" t="s">
        <v>311</v>
      </c>
      <c r="T85" s="22">
        <f t="shared" ref="T85:T108" si="38">R85*G85</f>
        <v>7.5479169024102441E-2</v>
      </c>
    </row>
    <row r="86" spans="1:20" x14ac:dyDescent="0.25">
      <c r="A86" s="14" t="s">
        <v>234</v>
      </c>
      <c r="B86" t="str">
        <f t="shared" si="32"/>
        <v>Enteric fermentation</v>
      </c>
      <c r="C86" t="str">
        <f t="shared" si="33"/>
        <v>CH4</v>
      </c>
      <c r="D86" s="21">
        <v>4.76</v>
      </c>
      <c r="E86" t="s">
        <v>144</v>
      </c>
      <c r="F86" s="21">
        <v>339589.56369926129</v>
      </c>
      <c r="G86" s="22">
        <f t="shared" ref="G86:G102" si="39">F86/SUM($F$85:$F$102)</f>
        <v>0.16549199010685245</v>
      </c>
      <c r="H86" s="22">
        <f t="shared" si="31"/>
        <v>0.78774187290861764</v>
      </c>
      <c r="J86" t="str">
        <f t="shared" si="34"/>
        <v>Manure management</v>
      </c>
      <c r="K86" t="str">
        <f t="shared" si="35"/>
        <v>CH4</v>
      </c>
      <c r="L86" s="21">
        <v>5.0000000000000001E-3</v>
      </c>
      <c r="M86" t="s">
        <v>144</v>
      </c>
      <c r="N86" s="22">
        <f t="shared" si="29"/>
        <v>8.2745995053426231E-4</v>
      </c>
      <c r="P86" t="str">
        <f t="shared" si="36"/>
        <v>Manure management</v>
      </c>
      <c r="Q86" t="str">
        <f t="shared" si="37"/>
        <v>N2O</v>
      </c>
      <c r="R86" s="21">
        <v>15.001500000000002</v>
      </c>
      <c r="S86" t="s">
        <v>311</v>
      </c>
      <c r="T86" s="22">
        <f t="shared" si="38"/>
        <v>2.4826280895879473</v>
      </c>
    </row>
    <row r="87" spans="1:20" x14ac:dyDescent="0.25">
      <c r="A87" s="14" t="s">
        <v>235</v>
      </c>
      <c r="B87" t="str">
        <f t="shared" si="32"/>
        <v>Enteric fermentation</v>
      </c>
      <c r="C87" t="str">
        <f t="shared" si="33"/>
        <v>CH4</v>
      </c>
      <c r="D87" s="21">
        <v>2.63</v>
      </c>
      <c r="E87" t="s">
        <v>144</v>
      </c>
      <c r="F87" s="21">
        <v>173153.35995215081</v>
      </c>
      <c r="G87" s="22">
        <f t="shared" si="39"/>
        <v>8.4382729021515987E-2</v>
      </c>
      <c r="H87" s="22">
        <f t="shared" si="31"/>
        <v>0.22192657732658705</v>
      </c>
      <c r="J87" t="str">
        <f t="shared" si="34"/>
        <v>Manure management</v>
      </c>
      <c r="K87" t="str">
        <f t="shared" si="35"/>
        <v>CH4</v>
      </c>
      <c r="L87" s="21">
        <v>2E-3</v>
      </c>
      <c r="M87" t="s">
        <v>144</v>
      </c>
      <c r="N87" s="22">
        <f t="shared" si="29"/>
        <v>1.6876545804303197E-4</v>
      </c>
      <c r="P87" t="str">
        <f t="shared" si="36"/>
        <v>Manure management</v>
      </c>
      <c r="Q87" t="str">
        <f t="shared" si="37"/>
        <v>N2O</v>
      </c>
      <c r="R87" s="21">
        <v>7.2507250000000019</v>
      </c>
      <c r="S87" t="s">
        <v>311</v>
      </c>
      <c r="T87" s="22">
        <f t="shared" si="38"/>
        <v>0.61183596288453168</v>
      </c>
    </row>
    <row r="88" spans="1:20" x14ac:dyDescent="0.25">
      <c r="A88" s="14" t="s">
        <v>236</v>
      </c>
      <c r="B88" t="str">
        <f t="shared" si="32"/>
        <v>Enteric fermentation</v>
      </c>
      <c r="C88" t="str">
        <f t="shared" si="33"/>
        <v>CH4</v>
      </c>
      <c r="D88" s="21">
        <v>3.39</v>
      </c>
      <c r="E88" t="s">
        <v>144</v>
      </c>
      <c r="F88" s="21">
        <v>120908.811690726</v>
      </c>
      <c r="G88" s="22">
        <f t="shared" si="39"/>
        <v>5.8922422851230984E-2</v>
      </c>
      <c r="H88" s="22">
        <f t="shared" si="31"/>
        <v>0.19974701346567303</v>
      </c>
      <c r="J88" t="str">
        <f t="shared" si="34"/>
        <v>Manure management</v>
      </c>
      <c r="K88" t="str">
        <f t="shared" si="35"/>
        <v>CH4</v>
      </c>
      <c r="L88" s="21">
        <v>3.0000000000000001E-3</v>
      </c>
      <c r="M88" t="s">
        <v>144</v>
      </c>
      <c r="N88" s="22">
        <f t="shared" si="29"/>
        <v>1.7676726855369297E-4</v>
      </c>
      <c r="P88" t="str">
        <f t="shared" si="36"/>
        <v>Manure management</v>
      </c>
      <c r="Q88" t="str">
        <f t="shared" si="37"/>
        <v>N2O</v>
      </c>
      <c r="R88" s="21">
        <v>10.251025</v>
      </c>
      <c r="S88" t="s">
        <v>311</v>
      </c>
      <c r="T88" s="22">
        <f t="shared" si="38"/>
        <v>0.60401522970854016</v>
      </c>
    </row>
    <row r="89" spans="1:20" x14ac:dyDescent="0.25">
      <c r="A89" s="14" t="s">
        <v>237</v>
      </c>
      <c r="B89" t="str">
        <f t="shared" si="32"/>
        <v>Enteric fermentation</v>
      </c>
      <c r="C89" t="str">
        <f t="shared" si="33"/>
        <v>CH4</v>
      </c>
      <c r="D89" s="21">
        <v>4.51</v>
      </c>
      <c r="E89" t="s">
        <v>144</v>
      </c>
      <c r="F89" s="21">
        <v>14927.013788978518</v>
      </c>
      <c r="G89" s="22">
        <f t="shared" si="39"/>
        <v>7.2743731915099986E-3</v>
      </c>
      <c r="H89" s="22">
        <f t="shared" si="31"/>
        <v>3.2807423093710091E-2</v>
      </c>
      <c r="J89" t="str">
        <f t="shared" si="34"/>
        <v>Manure management</v>
      </c>
      <c r="K89" t="str">
        <f t="shared" si="35"/>
        <v>CH4</v>
      </c>
      <c r="L89" s="21">
        <v>4.0000000000000001E-3</v>
      </c>
      <c r="M89" t="s">
        <v>144</v>
      </c>
      <c r="N89" s="22">
        <f t="shared" si="29"/>
        <v>2.9097492766039994E-5</v>
      </c>
      <c r="P89" t="str">
        <f t="shared" si="36"/>
        <v>Manure management</v>
      </c>
      <c r="Q89" t="str">
        <f t="shared" si="37"/>
        <v>N2O</v>
      </c>
      <c r="R89" s="21">
        <v>14.751474999999999</v>
      </c>
      <c r="S89" t="s">
        <v>311</v>
      </c>
      <c r="T89" s="22">
        <f t="shared" si="38"/>
        <v>0.10730773427522995</v>
      </c>
    </row>
    <row r="90" spans="1:20" x14ac:dyDescent="0.25">
      <c r="A90" s="14" t="s">
        <v>238</v>
      </c>
      <c r="B90" t="str">
        <f t="shared" si="32"/>
        <v>Enteric fermentation</v>
      </c>
      <c r="C90" t="str">
        <f t="shared" si="33"/>
        <v>CH4</v>
      </c>
      <c r="D90" s="21">
        <v>3.64</v>
      </c>
      <c r="E90" t="s">
        <v>144</v>
      </c>
      <c r="F90" s="21">
        <v>90308.433423320035</v>
      </c>
      <c r="G90" s="22">
        <f t="shared" si="39"/>
        <v>4.4009957808635487E-2</v>
      </c>
      <c r="H90" s="22">
        <f t="shared" si="31"/>
        <v>0.16019624642343319</v>
      </c>
      <c r="J90" t="str">
        <f t="shared" si="34"/>
        <v>Manure management</v>
      </c>
      <c r="K90" t="str">
        <f t="shared" si="35"/>
        <v>CH4</v>
      </c>
      <c r="L90" s="21">
        <v>3.0000000000000001E-3</v>
      </c>
      <c r="M90" t="s">
        <v>144</v>
      </c>
      <c r="N90" s="22">
        <f t="shared" si="29"/>
        <v>1.3202987342590648E-4</v>
      </c>
      <c r="P90" t="str">
        <f t="shared" si="36"/>
        <v>Manure management</v>
      </c>
      <c r="Q90" t="str">
        <f t="shared" si="37"/>
        <v>N2O</v>
      </c>
      <c r="R90" s="21">
        <v>11.251125</v>
      </c>
      <c r="S90" t="s">
        <v>311</v>
      </c>
      <c r="T90" s="22">
        <f t="shared" si="38"/>
        <v>0.49516153654968392</v>
      </c>
    </row>
    <row r="91" spans="1:20" x14ac:dyDescent="0.25">
      <c r="A91" s="14" t="s">
        <v>239</v>
      </c>
      <c r="B91" t="str">
        <f t="shared" si="32"/>
        <v>Enteric fermentation</v>
      </c>
      <c r="C91" t="str">
        <f t="shared" si="33"/>
        <v>CH4</v>
      </c>
      <c r="D91" s="21">
        <v>18.3</v>
      </c>
      <c r="E91" t="s">
        <v>144</v>
      </c>
      <c r="F91" s="21">
        <v>110948.49938645436</v>
      </c>
      <c r="G91" s="22">
        <f t="shared" si="39"/>
        <v>5.4068469486576197E-2</v>
      </c>
      <c r="H91" s="22">
        <f t="shared" si="31"/>
        <v>0.98945299160434441</v>
      </c>
      <c r="J91" t="str">
        <f t="shared" si="34"/>
        <v>Manure management</v>
      </c>
      <c r="K91" t="str">
        <f t="shared" si="35"/>
        <v>CH4</v>
      </c>
      <c r="L91" s="21">
        <v>0.02</v>
      </c>
      <c r="M91" t="s">
        <v>144</v>
      </c>
      <c r="N91" s="22">
        <f t="shared" si="29"/>
        <v>1.081369389731524E-3</v>
      </c>
      <c r="P91" t="str">
        <f t="shared" si="36"/>
        <v>Manure management</v>
      </c>
      <c r="Q91" t="str">
        <f t="shared" si="37"/>
        <v>N2O</v>
      </c>
      <c r="R91" s="21">
        <v>59.005899999999997</v>
      </c>
      <c r="S91" t="s">
        <v>311</v>
      </c>
      <c r="T91" s="22">
        <f t="shared" si="38"/>
        <v>3.1903587036779664</v>
      </c>
    </row>
    <row r="92" spans="1:20" x14ac:dyDescent="0.25">
      <c r="A92" s="14" t="s">
        <v>240</v>
      </c>
      <c r="B92" t="str">
        <f t="shared" si="32"/>
        <v>Enteric fermentation</v>
      </c>
      <c r="C92" t="str">
        <f t="shared" si="33"/>
        <v>CH4</v>
      </c>
      <c r="D92" s="21">
        <v>12.1</v>
      </c>
      <c r="E92" t="s">
        <v>144</v>
      </c>
      <c r="F92" s="21">
        <v>457985.08467664308</v>
      </c>
      <c r="G92" s="22">
        <f t="shared" si="39"/>
        <v>0.22318961241551805</v>
      </c>
      <c r="H92" s="22">
        <f t="shared" si="31"/>
        <v>2.7005943102277681</v>
      </c>
      <c r="J92" t="str">
        <f t="shared" si="34"/>
        <v>Manure management</v>
      </c>
      <c r="K92" t="str">
        <f t="shared" si="35"/>
        <v>CH4</v>
      </c>
      <c r="L92" s="21">
        <v>1.2999999999999999E-2</v>
      </c>
      <c r="M92" t="s">
        <v>144</v>
      </c>
      <c r="N92" s="22">
        <f t="shared" si="29"/>
        <v>2.9014649614017346E-3</v>
      </c>
      <c r="P92" t="str">
        <f t="shared" si="36"/>
        <v>Manure management</v>
      </c>
      <c r="Q92" t="str">
        <f t="shared" si="37"/>
        <v>N2O</v>
      </c>
      <c r="R92" s="21">
        <v>39.003900000000002</v>
      </c>
      <c r="S92" t="s">
        <v>311</v>
      </c>
      <c r="T92" s="22">
        <f t="shared" si="38"/>
        <v>8.7052653236936255</v>
      </c>
    </row>
    <row r="93" spans="1:20" x14ac:dyDescent="0.25">
      <c r="A93" s="14" t="s">
        <v>241</v>
      </c>
      <c r="B93" t="str">
        <f t="shared" si="32"/>
        <v>Enteric fermentation</v>
      </c>
      <c r="C93" t="str">
        <f t="shared" si="33"/>
        <v>CH4</v>
      </c>
      <c r="D93" s="21">
        <v>3.62</v>
      </c>
      <c r="E93" t="s">
        <v>144</v>
      </c>
      <c r="F93" s="21">
        <v>202545.51632178301</v>
      </c>
      <c r="G93" s="22">
        <f t="shared" si="39"/>
        <v>9.8706391969679813E-2</v>
      </c>
      <c r="H93" s="22">
        <f t="shared" si="31"/>
        <v>0.35731713893024092</v>
      </c>
      <c r="J93" t="str">
        <f t="shared" si="34"/>
        <v>Manure management</v>
      </c>
      <c r="K93" t="str">
        <f t="shared" si="35"/>
        <v>CH4</v>
      </c>
      <c r="L93" s="21">
        <v>3.3999999999999998E-3</v>
      </c>
      <c r="M93" t="s">
        <v>144</v>
      </c>
      <c r="N93" s="22">
        <f t="shared" si="29"/>
        <v>3.3560173269691132E-4</v>
      </c>
      <c r="P93" t="str">
        <f t="shared" si="36"/>
        <v>Manure management</v>
      </c>
      <c r="Q93" t="str">
        <f t="shared" si="37"/>
        <v>N2O</v>
      </c>
      <c r="R93" s="21">
        <v>11.251125</v>
      </c>
      <c r="S93" t="s">
        <v>311</v>
      </c>
      <c r="T93" s="22">
        <f t="shared" si="38"/>
        <v>1.1105579543498638</v>
      </c>
    </row>
    <row r="94" spans="1:20" x14ac:dyDescent="0.25">
      <c r="A94" s="14" t="s">
        <v>242</v>
      </c>
      <c r="B94" t="str">
        <f t="shared" si="32"/>
        <v>Enteric fermentation</v>
      </c>
      <c r="C94" t="str">
        <f t="shared" si="33"/>
        <v>CH4</v>
      </c>
      <c r="D94" s="21">
        <v>5.54</v>
      </c>
      <c r="E94" t="s">
        <v>144</v>
      </c>
      <c r="F94" s="21">
        <v>336715.79464958829</v>
      </c>
      <c r="G94" s="22">
        <f t="shared" si="39"/>
        <v>0.16409151786042311</v>
      </c>
      <c r="H94" s="22">
        <f t="shared" si="31"/>
        <v>0.90906700894674408</v>
      </c>
      <c r="J94" t="str">
        <f t="shared" si="34"/>
        <v>Manure management</v>
      </c>
      <c r="K94" t="str">
        <f t="shared" si="35"/>
        <v>CH4</v>
      </c>
      <c r="L94" s="21">
        <v>6.0000000000000001E-3</v>
      </c>
      <c r="M94" t="s">
        <v>144</v>
      </c>
      <c r="N94" s="22">
        <f t="shared" si="29"/>
        <v>9.8454910716253875E-4</v>
      </c>
      <c r="P94" t="str">
        <f t="shared" si="36"/>
        <v>Manure management</v>
      </c>
      <c r="Q94" t="str">
        <f t="shared" si="37"/>
        <v>N2O</v>
      </c>
      <c r="R94" s="21">
        <v>16.751675000000002</v>
      </c>
      <c r="S94" t="s">
        <v>311</v>
      </c>
      <c r="T94" s="22">
        <f t="shared" si="38"/>
        <v>2.7488077774545037</v>
      </c>
    </row>
    <row r="95" spans="1:20" x14ac:dyDescent="0.25">
      <c r="A95" s="14" t="s">
        <v>243</v>
      </c>
      <c r="B95" t="str">
        <f t="shared" si="32"/>
        <v>Enteric fermentation</v>
      </c>
      <c r="C95" t="str">
        <f t="shared" si="33"/>
        <v>CH4</v>
      </c>
      <c r="D95" s="21">
        <v>13.1</v>
      </c>
      <c r="E95" t="s">
        <v>144</v>
      </c>
      <c r="F95" s="21">
        <v>69665.336824052749</v>
      </c>
      <c r="G95" s="22">
        <f t="shared" si="39"/>
        <v>3.3949969212501332E-2</v>
      </c>
      <c r="H95" s="22">
        <f t="shared" si="31"/>
        <v>0.44474459668376742</v>
      </c>
      <c r="J95" t="str">
        <f t="shared" si="34"/>
        <v>Manure management</v>
      </c>
      <c r="K95" t="str">
        <f t="shared" si="35"/>
        <v>CH4</v>
      </c>
      <c r="L95" s="21">
        <v>1.4E-2</v>
      </c>
      <c r="M95" t="s">
        <v>144</v>
      </c>
      <c r="N95" s="22">
        <f t="shared" si="29"/>
        <v>4.7529956897501867E-4</v>
      </c>
      <c r="P95" t="str">
        <f t="shared" si="36"/>
        <v>Manure management</v>
      </c>
      <c r="Q95" t="str">
        <f t="shared" si="37"/>
        <v>N2O</v>
      </c>
      <c r="R95" s="21">
        <v>26.502650000000003</v>
      </c>
      <c r="S95" t="s">
        <v>311</v>
      </c>
      <c r="T95" s="22">
        <f t="shared" si="38"/>
        <v>0.89976415154969858</v>
      </c>
    </row>
    <row r="96" spans="1:20" x14ac:dyDescent="0.25">
      <c r="A96" s="14" t="s">
        <v>244</v>
      </c>
      <c r="B96" t="str">
        <f t="shared" si="32"/>
        <v>Enteric fermentation</v>
      </c>
      <c r="C96" t="str">
        <f t="shared" si="33"/>
        <v>CH4</v>
      </c>
      <c r="D96" s="21">
        <v>8.01</v>
      </c>
      <c r="E96" t="s">
        <v>144</v>
      </c>
      <c r="F96" s="21">
        <v>112238.59821652943</v>
      </c>
      <c r="G96" s="22">
        <f t="shared" si="39"/>
        <v>5.4697172620141038E-2</v>
      </c>
      <c r="H96" s="22">
        <f t="shared" si="31"/>
        <v>0.43812435268732969</v>
      </c>
      <c r="J96" t="str">
        <f t="shared" si="34"/>
        <v>Manure management</v>
      </c>
      <c r="K96" t="str">
        <f t="shared" si="35"/>
        <v>CH4</v>
      </c>
      <c r="L96" s="21">
        <v>8.3999999999999995E-3</v>
      </c>
      <c r="M96" t="s">
        <v>144</v>
      </c>
      <c r="N96" s="22">
        <f t="shared" si="29"/>
        <v>4.594562500091847E-4</v>
      </c>
      <c r="P96" t="str">
        <f t="shared" si="36"/>
        <v>Manure management</v>
      </c>
      <c r="Q96" t="str">
        <f t="shared" si="37"/>
        <v>N2O</v>
      </c>
      <c r="R96" s="21">
        <v>20.252025000000003</v>
      </c>
      <c r="S96" t="s">
        <v>311</v>
      </c>
      <c r="T96" s="22">
        <f t="shared" si="38"/>
        <v>1.1077285073324119</v>
      </c>
    </row>
    <row r="97" spans="1:20" x14ac:dyDescent="0.25">
      <c r="A97" s="14" t="s">
        <v>245</v>
      </c>
      <c r="B97" t="str">
        <f t="shared" si="32"/>
        <v>Enteric fermentation</v>
      </c>
      <c r="C97" t="str">
        <f t="shared" si="33"/>
        <v>CH4</v>
      </c>
      <c r="D97" s="21">
        <v>10.5</v>
      </c>
      <c r="E97" t="s">
        <v>144</v>
      </c>
      <c r="F97" s="21">
        <v>155.50480476023225</v>
      </c>
      <c r="G97" s="22">
        <f t="shared" si="39"/>
        <v>7.5782068596604404E-5</v>
      </c>
      <c r="H97" s="22">
        <f t="shared" si="31"/>
        <v>7.9571172026434627E-4</v>
      </c>
      <c r="J97" t="str">
        <f t="shared" si="34"/>
        <v>Manure management</v>
      </c>
      <c r="K97" t="str">
        <f t="shared" si="35"/>
        <v>CH4</v>
      </c>
      <c r="L97" s="21">
        <v>8.9999999999999993E-3</v>
      </c>
      <c r="M97" t="s">
        <v>144</v>
      </c>
      <c r="N97" s="22">
        <f t="shared" si="29"/>
        <v>6.8203861736943956E-7</v>
      </c>
      <c r="P97" t="str">
        <f t="shared" si="36"/>
        <v>Manure management</v>
      </c>
      <c r="Q97" t="str">
        <f t="shared" si="37"/>
        <v>N2O</v>
      </c>
      <c r="R97" s="21">
        <v>36.253625</v>
      </c>
      <c r="S97" t="s">
        <v>311</v>
      </c>
      <c r="T97" s="22">
        <f t="shared" si="38"/>
        <v>2.7473746966255722E-3</v>
      </c>
    </row>
    <row r="98" spans="1:20" x14ac:dyDescent="0.25">
      <c r="A98" s="14" t="s">
        <v>246</v>
      </c>
      <c r="B98" t="str">
        <f t="shared" si="32"/>
        <v>Enteric fermentation</v>
      </c>
      <c r="C98" t="str">
        <f t="shared" si="33"/>
        <v>CH4</v>
      </c>
      <c r="D98" s="21">
        <v>8.48</v>
      </c>
      <c r="E98" t="s">
        <v>144</v>
      </c>
      <c r="F98" s="21">
        <v>7075.4686165905678</v>
      </c>
      <c r="G98" s="22">
        <f t="shared" si="39"/>
        <v>3.4480841211455004E-3</v>
      </c>
      <c r="H98" s="22">
        <f t="shared" si="31"/>
        <v>2.9239753347313845E-2</v>
      </c>
      <c r="J98" t="str">
        <f t="shared" si="34"/>
        <v>Manure management</v>
      </c>
      <c r="K98" t="str">
        <f t="shared" si="35"/>
        <v>CH4</v>
      </c>
      <c r="L98" s="21">
        <v>7.0000000000000001E-3</v>
      </c>
      <c r="M98" t="s">
        <v>144</v>
      </c>
      <c r="N98" s="22">
        <f t="shared" si="29"/>
        <v>2.4136588848018503E-5</v>
      </c>
      <c r="P98" t="str">
        <f t="shared" si="36"/>
        <v>Manure management</v>
      </c>
      <c r="Q98" t="str">
        <f t="shared" si="37"/>
        <v>N2O</v>
      </c>
      <c r="R98" s="21">
        <v>24.002400000000005</v>
      </c>
      <c r="S98" t="s">
        <v>311</v>
      </c>
      <c r="T98" s="22">
        <f t="shared" si="38"/>
        <v>8.2762294309382783E-2</v>
      </c>
    </row>
    <row r="99" spans="1:20" x14ac:dyDescent="0.25">
      <c r="A99" s="14" t="s">
        <v>247</v>
      </c>
      <c r="B99" t="str">
        <f t="shared" si="32"/>
        <v>Enteric fermentation</v>
      </c>
      <c r="C99" t="str">
        <f t="shared" si="33"/>
        <v>CH4</v>
      </c>
      <c r="D99" s="21">
        <v>3.62</v>
      </c>
      <c r="E99" t="s">
        <v>144</v>
      </c>
      <c r="F99" s="21">
        <v>3607.7114704373885</v>
      </c>
      <c r="G99" s="22">
        <f t="shared" si="39"/>
        <v>1.7581439914412223E-3</v>
      </c>
      <c r="H99" s="22">
        <f t="shared" si="31"/>
        <v>6.3644812490172252E-3</v>
      </c>
      <c r="J99" t="str">
        <f t="shared" si="34"/>
        <v>Manure management</v>
      </c>
      <c r="K99" t="str">
        <f t="shared" si="35"/>
        <v>CH4</v>
      </c>
      <c r="L99" s="21">
        <v>3.0000000000000001E-3</v>
      </c>
      <c r="M99" t="s">
        <v>144</v>
      </c>
      <c r="N99" s="22">
        <f t="shared" si="29"/>
        <v>5.2744319743236674E-6</v>
      </c>
      <c r="P99" t="str">
        <f t="shared" si="36"/>
        <v>Manure management</v>
      </c>
      <c r="Q99" t="str">
        <f t="shared" si="37"/>
        <v>N2O</v>
      </c>
      <c r="R99" s="21">
        <v>11.251125</v>
      </c>
      <c r="S99" t="s">
        <v>311</v>
      </c>
      <c r="T99" s="22">
        <f t="shared" si="38"/>
        <v>1.9781097815704123E-2</v>
      </c>
    </row>
    <row r="100" spans="1:20" x14ac:dyDescent="0.25">
      <c r="A100" s="14" t="s">
        <v>248</v>
      </c>
      <c r="B100" t="str">
        <f t="shared" si="32"/>
        <v>Enteric fermentation</v>
      </c>
      <c r="C100" t="str">
        <f t="shared" si="33"/>
        <v>CH4</v>
      </c>
      <c r="D100" s="21">
        <v>5.0199999999999996</v>
      </c>
      <c r="E100" t="s">
        <v>144</v>
      </c>
      <c r="F100" s="21">
        <v>2519.1778371157625</v>
      </c>
      <c r="G100" s="22">
        <f t="shared" si="39"/>
        <v>1.2276695112649913E-3</v>
      </c>
      <c r="H100" s="22">
        <f t="shared" si="31"/>
        <v>6.1629009465502555E-3</v>
      </c>
      <c r="J100" t="str">
        <f t="shared" si="34"/>
        <v>Manure management</v>
      </c>
      <c r="K100" t="str">
        <f t="shared" si="35"/>
        <v>CH4</v>
      </c>
      <c r="L100" s="21">
        <v>4.0000000000000001E-3</v>
      </c>
      <c r="M100" t="s">
        <v>144</v>
      </c>
      <c r="N100" s="22">
        <f t="shared" si="29"/>
        <v>4.910678045059965E-6</v>
      </c>
      <c r="P100" t="str">
        <f t="shared" si="36"/>
        <v>Manure management</v>
      </c>
      <c r="Q100" t="str">
        <f t="shared" si="37"/>
        <v>N2O</v>
      </c>
      <c r="R100" s="21">
        <v>16.751675000000002</v>
      </c>
      <c r="S100" t="s">
        <v>311</v>
      </c>
      <c r="T100" s="22">
        <f t="shared" si="38"/>
        <v>2.0565520660119976E-2</v>
      </c>
    </row>
    <row r="101" spans="1:20" x14ac:dyDescent="0.25">
      <c r="A101" s="14" t="s">
        <v>249</v>
      </c>
      <c r="B101" t="str">
        <f t="shared" si="32"/>
        <v>Enteric fermentation</v>
      </c>
      <c r="C101" t="str">
        <f t="shared" si="33"/>
        <v>CH4</v>
      </c>
      <c r="D101" s="21">
        <v>7.65</v>
      </c>
      <c r="E101" t="s">
        <v>144</v>
      </c>
      <c r="F101" s="21">
        <v>311.00960952046449</v>
      </c>
      <c r="G101" s="22">
        <f t="shared" si="39"/>
        <v>1.5156413719320881E-4</v>
      </c>
      <c r="H101" s="22">
        <f t="shared" si="31"/>
        <v>1.1594656495280474E-3</v>
      </c>
      <c r="J101" t="str">
        <f t="shared" si="34"/>
        <v>Manure management</v>
      </c>
      <c r="K101" t="str">
        <f t="shared" si="35"/>
        <v>CH4</v>
      </c>
      <c r="L101" s="21">
        <v>6.0000000000000001E-3</v>
      </c>
      <c r="M101" t="s">
        <v>144</v>
      </c>
      <c r="N101" s="22">
        <f t="shared" si="29"/>
        <v>9.0938482315925281E-7</v>
      </c>
      <c r="P101" t="str">
        <f t="shared" si="36"/>
        <v>Manure management</v>
      </c>
      <c r="Q101" t="str">
        <f t="shared" si="37"/>
        <v>N2O</v>
      </c>
      <c r="R101" s="21">
        <v>26.502650000000003</v>
      </c>
      <c r="S101" t="s">
        <v>311</v>
      </c>
      <c r="T101" s="22">
        <f t="shared" si="38"/>
        <v>4.0168512805835955E-3</v>
      </c>
    </row>
    <row r="102" spans="1:20" x14ac:dyDescent="0.25">
      <c r="A102" s="14" t="s">
        <v>250</v>
      </c>
      <c r="B102" t="str">
        <f t="shared" si="32"/>
        <v>Enteric fermentation</v>
      </c>
      <c r="C102" t="str">
        <f t="shared" si="33"/>
        <v>CH4</v>
      </c>
      <c r="D102" s="21">
        <v>5.94</v>
      </c>
      <c r="E102" t="s">
        <v>144</v>
      </c>
      <c r="F102" s="21">
        <v>1881.6081375988101</v>
      </c>
      <c r="G102" s="22">
        <f t="shared" si="39"/>
        <v>9.1696303001891316E-4</v>
      </c>
      <c r="H102" s="22">
        <f t="shared" si="31"/>
        <v>5.4467603983123442E-3</v>
      </c>
      <c r="J102" t="str">
        <f t="shared" si="34"/>
        <v>Manure management</v>
      </c>
      <c r="K102" t="str">
        <f t="shared" si="35"/>
        <v>CH4</v>
      </c>
      <c r="L102" s="21">
        <v>5.0000000000000001E-3</v>
      </c>
      <c r="M102" t="s">
        <v>144</v>
      </c>
      <c r="N102" s="22">
        <f t="shared" si="29"/>
        <v>4.584815150094566E-6</v>
      </c>
      <c r="P102" t="str">
        <f t="shared" si="36"/>
        <v>Manure management</v>
      </c>
      <c r="Q102" t="str">
        <f t="shared" si="37"/>
        <v>N2O</v>
      </c>
      <c r="R102" s="21">
        <v>20.252025000000003</v>
      </c>
      <c r="S102" t="s">
        <v>311</v>
      </c>
      <c r="T102" s="22">
        <f t="shared" si="38"/>
        <v>1.8570358208018781E-2</v>
      </c>
    </row>
    <row r="103" spans="1:20" x14ac:dyDescent="0.25">
      <c r="A103" s="14" t="s">
        <v>251</v>
      </c>
      <c r="B103" t="str">
        <f t="shared" si="32"/>
        <v>Enteric fermentation</v>
      </c>
      <c r="C103" t="str">
        <f t="shared" si="33"/>
        <v>CH4</v>
      </c>
      <c r="D103" s="21">
        <v>11.1</v>
      </c>
      <c r="E103" t="s">
        <v>144</v>
      </c>
      <c r="F103" s="21">
        <v>44584.86627064857</v>
      </c>
      <c r="G103" s="22">
        <f>F103/SUM($F$103:$F$108)</f>
        <v>1.0999999999999998E-2</v>
      </c>
      <c r="H103" s="22">
        <f t="shared" si="31"/>
        <v>0.12209999999999997</v>
      </c>
      <c r="J103" t="str">
        <f t="shared" si="34"/>
        <v>Manure management</v>
      </c>
      <c r="K103" t="str">
        <f t="shared" si="35"/>
        <v>CH4</v>
      </c>
      <c r="L103" s="21">
        <v>1.2999999999999999E-2</v>
      </c>
      <c r="M103" t="s">
        <v>144</v>
      </c>
      <c r="N103" s="22">
        <f t="shared" si="29"/>
        <v>1.4299999999999995E-4</v>
      </c>
      <c r="P103" t="str">
        <f t="shared" si="36"/>
        <v>Manure management</v>
      </c>
      <c r="Q103" t="str">
        <f t="shared" si="37"/>
        <v>N2O</v>
      </c>
      <c r="R103" s="21">
        <v>41.004100000000001</v>
      </c>
      <c r="S103" t="s">
        <v>311</v>
      </c>
      <c r="T103" s="22">
        <f t="shared" si="38"/>
        <v>0.45104509999999992</v>
      </c>
    </row>
    <row r="104" spans="1:20" x14ac:dyDescent="0.25">
      <c r="A104" s="14" t="s">
        <v>252</v>
      </c>
      <c r="B104" t="str">
        <f t="shared" si="32"/>
        <v>Enteric fermentation</v>
      </c>
      <c r="C104" t="str">
        <f t="shared" si="33"/>
        <v>CH4</v>
      </c>
      <c r="D104" s="21">
        <v>7.4</v>
      </c>
      <c r="E104" t="s">
        <v>144</v>
      </c>
      <c r="F104" s="21">
        <v>1921202.4192988568</v>
      </c>
      <c r="G104" s="22">
        <f t="shared" ref="G104:G108" si="40">F104/SUM($F$103:$F$108)</f>
        <v>0.47399999999999992</v>
      </c>
      <c r="H104" s="22">
        <f t="shared" si="31"/>
        <v>3.5075999999999996</v>
      </c>
      <c r="J104" t="str">
        <f t="shared" si="34"/>
        <v>Manure management</v>
      </c>
      <c r="K104" t="str">
        <f t="shared" si="35"/>
        <v>CH4</v>
      </c>
      <c r="L104" s="21">
        <v>8.9999999999999993E-3</v>
      </c>
      <c r="M104" t="s">
        <v>144</v>
      </c>
      <c r="N104" s="22">
        <f t="shared" si="29"/>
        <v>4.265999999999999E-3</v>
      </c>
      <c r="P104" t="str">
        <f t="shared" si="36"/>
        <v>Manure management</v>
      </c>
      <c r="Q104" t="str">
        <f t="shared" si="37"/>
        <v>N2O</v>
      </c>
      <c r="R104" s="21">
        <v>27.202719999999999</v>
      </c>
      <c r="S104" t="s">
        <v>311</v>
      </c>
      <c r="T104" s="22">
        <f t="shared" si="38"/>
        <v>12.894089279999998</v>
      </c>
    </row>
    <row r="105" spans="1:20" x14ac:dyDescent="0.25">
      <c r="A105" s="14" t="s">
        <v>253</v>
      </c>
      <c r="B105" t="str">
        <f t="shared" si="32"/>
        <v>Enteric fermentation</v>
      </c>
      <c r="C105" t="str">
        <f t="shared" si="33"/>
        <v>CH4</v>
      </c>
      <c r="D105" s="21">
        <v>2.54</v>
      </c>
      <c r="E105" t="s">
        <v>144</v>
      </c>
      <c r="F105" s="21">
        <v>806580.76253264246</v>
      </c>
      <c r="G105" s="22">
        <f t="shared" si="40"/>
        <v>0.19899999999999998</v>
      </c>
      <c r="H105" s="22">
        <f t="shared" si="31"/>
        <v>0.50545999999999991</v>
      </c>
      <c r="J105" t="str">
        <f t="shared" si="34"/>
        <v>Manure management</v>
      </c>
      <c r="K105" t="str">
        <f t="shared" si="35"/>
        <v>CH4</v>
      </c>
      <c r="L105" s="21">
        <v>3.0000000000000001E-3</v>
      </c>
      <c r="M105" t="s">
        <v>144</v>
      </c>
      <c r="N105" s="22">
        <f t="shared" si="29"/>
        <v>5.9699999999999998E-4</v>
      </c>
      <c r="P105" t="str">
        <f t="shared" si="36"/>
        <v>Manure management</v>
      </c>
      <c r="Q105" t="str">
        <f t="shared" si="37"/>
        <v>N2O</v>
      </c>
      <c r="R105" s="21">
        <v>8.0007999999999999</v>
      </c>
      <c r="S105" t="s">
        <v>311</v>
      </c>
      <c r="T105" s="22">
        <f t="shared" si="38"/>
        <v>1.5921591999999998</v>
      </c>
    </row>
    <row r="106" spans="1:20" x14ac:dyDescent="0.25">
      <c r="A106" s="14" t="s">
        <v>254</v>
      </c>
      <c r="B106" t="str">
        <f t="shared" si="32"/>
        <v>Enteric fermentation</v>
      </c>
      <c r="C106" t="str">
        <f t="shared" si="33"/>
        <v>CH4</v>
      </c>
      <c r="D106" s="21">
        <v>3.66</v>
      </c>
      <c r="E106" t="s">
        <v>144</v>
      </c>
      <c r="F106" s="21">
        <v>684985.67270360084</v>
      </c>
      <c r="G106" s="22">
        <f t="shared" si="40"/>
        <v>0.16899999999999998</v>
      </c>
      <c r="H106" s="22">
        <f t="shared" si="31"/>
        <v>0.61853999999999998</v>
      </c>
      <c r="J106" t="str">
        <f t="shared" si="34"/>
        <v>Manure management</v>
      </c>
      <c r="K106" t="str">
        <f t="shared" si="35"/>
        <v>CH4</v>
      </c>
      <c r="L106" s="21">
        <v>4.0000000000000001E-3</v>
      </c>
      <c r="M106" t="s">
        <v>144</v>
      </c>
      <c r="N106" s="22">
        <f t="shared" si="29"/>
        <v>6.7599999999999995E-4</v>
      </c>
      <c r="P106" t="str">
        <f t="shared" si="36"/>
        <v>Manure management</v>
      </c>
      <c r="Q106" t="str">
        <f t="shared" si="37"/>
        <v>N2O</v>
      </c>
      <c r="R106" s="21">
        <v>13.001299999999999</v>
      </c>
      <c r="S106" t="s">
        <v>311</v>
      </c>
      <c r="T106" s="22">
        <f t="shared" si="38"/>
        <v>2.1972196999999998</v>
      </c>
    </row>
    <row r="107" spans="1:20" x14ac:dyDescent="0.25">
      <c r="A107" s="14" t="s">
        <v>255</v>
      </c>
      <c r="B107" t="str">
        <f t="shared" si="32"/>
        <v>Enteric fermentation</v>
      </c>
      <c r="C107" t="str">
        <f t="shared" si="33"/>
        <v>CH4</v>
      </c>
      <c r="D107" s="21">
        <v>8.11</v>
      </c>
      <c r="E107" t="s">
        <v>144</v>
      </c>
      <c r="F107" s="21">
        <v>81063.393219361053</v>
      </c>
      <c r="G107" s="22">
        <f t="shared" si="40"/>
        <v>0.02</v>
      </c>
      <c r="H107" s="22">
        <f t="shared" si="31"/>
        <v>0.16219999999999998</v>
      </c>
      <c r="J107" t="str">
        <f t="shared" si="34"/>
        <v>Manure management</v>
      </c>
      <c r="K107" t="str">
        <f t="shared" si="35"/>
        <v>CH4</v>
      </c>
      <c r="L107" s="21">
        <v>8.9999999999999993E-3</v>
      </c>
      <c r="M107" t="s">
        <v>144</v>
      </c>
      <c r="N107" s="22">
        <f t="shared" si="29"/>
        <v>1.7999999999999998E-4</v>
      </c>
      <c r="P107" t="str">
        <f t="shared" si="36"/>
        <v>Manure management</v>
      </c>
      <c r="Q107" t="str">
        <f t="shared" si="37"/>
        <v>N2O</v>
      </c>
      <c r="R107" s="21">
        <v>30.803080000000005</v>
      </c>
      <c r="S107" t="s">
        <v>311</v>
      </c>
      <c r="T107" s="22">
        <f t="shared" si="38"/>
        <v>0.6160616000000001</v>
      </c>
    </row>
    <row r="108" spans="1:20" x14ac:dyDescent="0.25">
      <c r="A108" s="14" t="s">
        <v>256</v>
      </c>
      <c r="B108" t="str">
        <f t="shared" si="32"/>
        <v>Enteric fermentation</v>
      </c>
      <c r="C108" t="str">
        <f t="shared" si="33"/>
        <v>CH4</v>
      </c>
      <c r="D108" s="21">
        <v>5.19</v>
      </c>
      <c r="E108" t="s">
        <v>144</v>
      </c>
      <c r="F108" s="21">
        <v>514752.54694294266</v>
      </c>
      <c r="G108" s="22">
        <f t="shared" si="40"/>
        <v>0.127</v>
      </c>
      <c r="H108" s="22">
        <f t="shared" si="31"/>
        <v>0.6591300000000001</v>
      </c>
      <c r="J108" t="str">
        <f t="shared" si="34"/>
        <v>Manure management</v>
      </c>
      <c r="K108" t="str">
        <f t="shared" si="35"/>
        <v>CH4</v>
      </c>
      <c r="L108" s="21">
        <v>6.0000000000000001E-3</v>
      </c>
      <c r="M108" t="s">
        <v>144</v>
      </c>
      <c r="N108" s="22">
        <f t="shared" si="29"/>
        <v>7.6199999999999998E-4</v>
      </c>
      <c r="P108" t="str">
        <f t="shared" si="36"/>
        <v>Manure management</v>
      </c>
      <c r="Q108" t="str">
        <f t="shared" si="37"/>
        <v>N2O</v>
      </c>
      <c r="R108" s="21">
        <v>19.501950000000001</v>
      </c>
      <c r="S108" t="s">
        <v>311</v>
      </c>
      <c r="T108" s="22">
        <f t="shared" si="38"/>
        <v>2.4767476500000001</v>
      </c>
    </row>
    <row r="109" spans="1:20" x14ac:dyDescent="0.25">
      <c r="A109" s="13" t="s">
        <v>3</v>
      </c>
      <c r="M109" s="13"/>
    </row>
    <row r="110" spans="1:20" x14ac:dyDescent="0.25">
      <c r="A110" s="14" t="s">
        <v>3</v>
      </c>
      <c r="B110" t="str">
        <f>$B$5</f>
        <v>Enteric fermentation</v>
      </c>
      <c r="C110" t="str">
        <f>$C$5</f>
        <v>CH4</v>
      </c>
      <c r="D110" s="21">
        <v>18</v>
      </c>
      <c r="E110" t="s">
        <v>144</v>
      </c>
      <c r="H110" s="22">
        <f>D110</f>
        <v>18</v>
      </c>
      <c r="J110" t="str">
        <f>$J$5</f>
        <v>Manure management</v>
      </c>
      <c r="K110" t="str">
        <f>$K$5</f>
        <v>CH4</v>
      </c>
      <c r="L110" s="21">
        <v>1.34E-2</v>
      </c>
      <c r="M110" t="s">
        <v>144</v>
      </c>
      <c r="N110" s="22">
        <f>L110</f>
        <v>1.34E-2</v>
      </c>
      <c r="P110" t="str">
        <f>$P$5</f>
        <v>Manure management</v>
      </c>
      <c r="Q110" t="str">
        <f>$Q$5</f>
        <v>N2O</v>
      </c>
      <c r="R110" s="21">
        <v>39.5</v>
      </c>
      <c r="S110" t="s">
        <v>311</v>
      </c>
      <c r="T110" s="22">
        <f>R110</f>
        <v>39.5</v>
      </c>
    </row>
    <row r="111" spans="1:20" x14ac:dyDescent="0.25">
      <c r="A111" s="13" t="s">
        <v>154</v>
      </c>
      <c r="M111" s="13"/>
    </row>
    <row r="112" spans="1:20" x14ac:dyDescent="0.25">
      <c r="A112" s="14" t="s">
        <v>154</v>
      </c>
      <c r="B112" t="str">
        <f>$B$5</f>
        <v>Enteric fermentation</v>
      </c>
      <c r="C112" t="str">
        <f>$C$5</f>
        <v>CH4</v>
      </c>
      <c r="D112" s="21">
        <v>10</v>
      </c>
      <c r="E112" t="s">
        <v>144</v>
      </c>
      <c r="H112" s="22">
        <f>D112</f>
        <v>10</v>
      </c>
      <c r="J112" t="str">
        <f>$J$5</f>
        <v>Manure management</v>
      </c>
      <c r="K112" t="str">
        <f>$K$5</f>
        <v>CH4</v>
      </c>
      <c r="L112" s="21">
        <v>4.4999999999999997E-3</v>
      </c>
      <c r="M112" t="s">
        <v>144</v>
      </c>
      <c r="N112" s="22">
        <f>L112</f>
        <v>4.4999999999999997E-3</v>
      </c>
      <c r="P112" t="str">
        <f>$P$5</f>
        <v>Manure management</v>
      </c>
      <c r="Q112" t="str">
        <f>$Q$5</f>
        <v>N2O</v>
      </c>
      <c r="R112" s="21">
        <v>13.2</v>
      </c>
      <c r="S112" t="s">
        <v>311</v>
      </c>
      <c r="T112" s="22">
        <f>R112</f>
        <v>13.2</v>
      </c>
    </row>
    <row r="113" spans="1:20" x14ac:dyDescent="0.25">
      <c r="A113" s="13" t="s">
        <v>155</v>
      </c>
      <c r="M113" s="13"/>
    </row>
    <row r="114" spans="1:20" x14ac:dyDescent="0.25">
      <c r="A114" s="14" t="s">
        <v>257</v>
      </c>
      <c r="B114" t="str">
        <f t="shared" ref="B114:B133" si="41">$B$5</f>
        <v>Enteric fermentation</v>
      </c>
      <c r="C114" t="str">
        <f t="shared" ref="C114:C133" si="42">$C$5</f>
        <v>CH4</v>
      </c>
      <c r="D114" s="21">
        <v>0.99</v>
      </c>
      <c r="E114" t="s">
        <v>144</v>
      </c>
      <c r="F114" s="21">
        <v>78106</v>
      </c>
      <c r="G114">
        <f>F114/SUM($F$114:$F$123)</f>
        <v>4.9000000000000002E-2</v>
      </c>
      <c r="H114" s="22">
        <f t="shared" ref="H114:H133" si="43">D114*G114</f>
        <v>4.8510000000000005E-2</v>
      </c>
      <c r="J114" t="str">
        <f t="shared" ref="J114:J133" si="44">$J$5</f>
        <v>Manure management</v>
      </c>
      <c r="K114" t="str">
        <f t="shared" ref="K114:K133" si="45">$K$5</f>
        <v>CH4</v>
      </c>
      <c r="L114" s="21">
        <v>20.96</v>
      </c>
      <c r="M114" t="s">
        <v>144</v>
      </c>
      <c r="N114" s="22">
        <f t="shared" ref="N114:N133" si="46">L114*G114</f>
        <v>1.0270400000000002</v>
      </c>
      <c r="P114" t="str">
        <f t="shared" ref="P114:P133" si="47">$P$5</f>
        <v>Manure management</v>
      </c>
      <c r="Q114" t="str">
        <f t="shared" ref="Q114:Q133" si="48">$Q$5</f>
        <v>N2O</v>
      </c>
      <c r="R114" s="21">
        <v>11.04</v>
      </c>
      <c r="S114" t="s">
        <v>311</v>
      </c>
      <c r="T114" s="22">
        <f t="shared" ref="T114:T133" si="49">R114*G114</f>
        <v>0.54096</v>
      </c>
    </row>
    <row r="115" spans="1:20" x14ac:dyDescent="0.25">
      <c r="A115" s="14" t="s">
        <v>258</v>
      </c>
      <c r="B115" t="str">
        <f t="shared" si="41"/>
        <v>Enteric fermentation</v>
      </c>
      <c r="C115" t="str">
        <f t="shared" si="42"/>
        <v>CH4</v>
      </c>
      <c r="D115" s="21">
        <v>1.89</v>
      </c>
      <c r="E115" t="s">
        <v>144</v>
      </c>
      <c r="F115" s="21">
        <v>9564</v>
      </c>
      <c r="G115">
        <f t="shared" ref="G115:G123" si="50">F115/SUM($F$114:$F$123)</f>
        <v>6.0000000000000001E-3</v>
      </c>
      <c r="H115" s="22">
        <f t="shared" si="43"/>
        <v>1.1339999999999999E-2</v>
      </c>
      <c r="J115" t="str">
        <f t="shared" si="44"/>
        <v>Manure management</v>
      </c>
      <c r="K115" t="str">
        <f t="shared" si="45"/>
        <v>CH4</v>
      </c>
      <c r="L115" s="21">
        <v>16.47</v>
      </c>
      <c r="M115" t="s">
        <v>144</v>
      </c>
      <c r="N115" s="22">
        <f t="shared" si="46"/>
        <v>9.8819999999999991E-2</v>
      </c>
      <c r="P115" t="str">
        <f t="shared" si="47"/>
        <v>Manure management</v>
      </c>
      <c r="Q115" t="str">
        <f t="shared" si="48"/>
        <v>N2O</v>
      </c>
      <c r="R115" s="21">
        <v>14.59</v>
      </c>
      <c r="S115" t="s">
        <v>311</v>
      </c>
      <c r="T115" s="22">
        <f t="shared" si="49"/>
        <v>8.7540000000000007E-2</v>
      </c>
    </row>
    <row r="116" spans="1:20" x14ac:dyDescent="0.25">
      <c r="A116" s="14" t="s">
        <v>259</v>
      </c>
      <c r="B116" t="str">
        <f t="shared" si="41"/>
        <v>Enteric fermentation</v>
      </c>
      <c r="C116" t="str">
        <f t="shared" si="42"/>
        <v>CH4</v>
      </c>
      <c r="D116" s="21">
        <v>1.89</v>
      </c>
      <c r="E116" t="s">
        <v>144</v>
      </c>
      <c r="F116" s="21">
        <v>9564</v>
      </c>
      <c r="G116">
        <f t="shared" si="50"/>
        <v>6.0000000000000001E-3</v>
      </c>
      <c r="H116" s="22">
        <f t="shared" si="43"/>
        <v>1.1339999999999999E-2</v>
      </c>
      <c r="J116" t="str">
        <f t="shared" si="44"/>
        <v>Manure management</v>
      </c>
      <c r="K116" t="str">
        <f t="shared" si="45"/>
        <v>CH4</v>
      </c>
      <c r="L116" s="21">
        <v>16.47</v>
      </c>
      <c r="M116" t="s">
        <v>144</v>
      </c>
      <c r="N116" s="22">
        <f t="shared" si="46"/>
        <v>9.8819999999999991E-2</v>
      </c>
      <c r="P116" t="str">
        <f t="shared" si="47"/>
        <v>Manure management</v>
      </c>
      <c r="Q116" t="str">
        <f t="shared" si="48"/>
        <v>N2O</v>
      </c>
      <c r="R116" s="21">
        <v>14.59</v>
      </c>
      <c r="S116" t="s">
        <v>311</v>
      </c>
      <c r="T116" s="22">
        <f t="shared" si="49"/>
        <v>8.7540000000000007E-2</v>
      </c>
    </row>
    <row r="117" spans="1:20" x14ac:dyDescent="0.25">
      <c r="A117" s="14" t="s">
        <v>260</v>
      </c>
      <c r="B117" t="str">
        <f t="shared" si="41"/>
        <v>Enteric fermentation</v>
      </c>
      <c r="C117" t="str">
        <f t="shared" si="42"/>
        <v>CH4</v>
      </c>
      <c r="D117" s="21">
        <v>1.55</v>
      </c>
      <c r="E117" t="s">
        <v>144</v>
      </c>
      <c r="F117" s="21">
        <v>82888</v>
      </c>
      <c r="G117">
        <f t="shared" si="50"/>
        <v>5.1999999999999998E-2</v>
      </c>
      <c r="H117" s="22">
        <f t="shared" si="43"/>
        <v>8.0600000000000005E-2</v>
      </c>
      <c r="J117" t="str">
        <f t="shared" si="44"/>
        <v>Manure management</v>
      </c>
      <c r="K117" t="str">
        <f t="shared" si="45"/>
        <v>CH4</v>
      </c>
      <c r="L117" s="21">
        <v>13.47</v>
      </c>
      <c r="M117" t="s">
        <v>144</v>
      </c>
      <c r="N117" s="22">
        <f t="shared" si="46"/>
        <v>0.70043999999999995</v>
      </c>
      <c r="P117" t="str">
        <f t="shared" si="47"/>
        <v>Manure management</v>
      </c>
      <c r="Q117" t="str">
        <f t="shared" si="48"/>
        <v>N2O</v>
      </c>
      <c r="R117" s="21">
        <v>20.7</v>
      </c>
      <c r="S117" t="s">
        <v>311</v>
      </c>
      <c r="T117" s="22">
        <f t="shared" si="49"/>
        <v>1.0764</v>
      </c>
    </row>
    <row r="118" spans="1:20" x14ac:dyDescent="0.25">
      <c r="A118" s="14" t="s">
        <v>261</v>
      </c>
      <c r="B118" t="str">
        <f t="shared" si="41"/>
        <v>Enteric fermentation</v>
      </c>
      <c r="C118" t="str">
        <f t="shared" si="42"/>
        <v>CH4</v>
      </c>
      <c r="D118" s="21">
        <v>2.15</v>
      </c>
      <c r="E118" t="s">
        <v>144</v>
      </c>
      <c r="F118" s="21">
        <v>296484</v>
      </c>
      <c r="G118">
        <f t="shared" si="50"/>
        <v>0.186</v>
      </c>
      <c r="H118" s="22">
        <f t="shared" si="43"/>
        <v>0.39989999999999998</v>
      </c>
      <c r="J118" t="str">
        <f t="shared" si="44"/>
        <v>Manure management</v>
      </c>
      <c r="K118" t="str">
        <f t="shared" si="45"/>
        <v>CH4</v>
      </c>
      <c r="L118" s="21">
        <v>18.71</v>
      </c>
      <c r="M118" t="s">
        <v>144</v>
      </c>
      <c r="N118" s="22">
        <f t="shared" si="46"/>
        <v>3.4800599999999999</v>
      </c>
      <c r="P118" t="str">
        <f t="shared" si="47"/>
        <v>Manure management</v>
      </c>
      <c r="Q118" t="str">
        <f t="shared" si="48"/>
        <v>N2O</v>
      </c>
      <c r="R118" s="21">
        <v>20.7</v>
      </c>
      <c r="S118" t="s">
        <v>311</v>
      </c>
      <c r="T118" s="22">
        <f t="shared" si="49"/>
        <v>3.8501999999999996</v>
      </c>
    </row>
    <row r="119" spans="1:20" x14ac:dyDescent="0.25">
      <c r="A119" s="14" t="s">
        <v>262</v>
      </c>
      <c r="B119" t="str">
        <f t="shared" si="41"/>
        <v>Enteric fermentation</v>
      </c>
      <c r="C119" t="str">
        <f t="shared" si="42"/>
        <v>CH4</v>
      </c>
      <c r="D119" s="21">
        <v>4.09</v>
      </c>
      <c r="E119" t="s">
        <v>144</v>
      </c>
      <c r="F119" s="21">
        <v>52602</v>
      </c>
      <c r="G119">
        <f t="shared" si="50"/>
        <v>3.3000000000000002E-2</v>
      </c>
      <c r="H119" s="22">
        <f t="shared" si="43"/>
        <v>0.13497000000000001</v>
      </c>
      <c r="J119" t="str">
        <f t="shared" si="44"/>
        <v>Manure management</v>
      </c>
      <c r="K119" t="str">
        <f t="shared" si="45"/>
        <v>CH4</v>
      </c>
      <c r="L119" s="21">
        <v>35.549999999999997</v>
      </c>
      <c r="M119" t="s">
        <v>144</v>
      </c>
      <c r="N119" s="22">
        <f t="shared" si="46"/>
        <v>1.1731499999999999</v>
      </c>
      <c r="P119" t="str">
        <f t="shared" si="47"/>
        <v>Manure management</v>
      </c>
      <c r="Q119" t="str">
        <f t="shared" si="48"/>
        <v>N2O</v>
      </c>
      <c r="R119" s="21">
        <v>20.7</v>
      </c>
      <c r="S119" t="s">
        <v>311</v>
      </c>
      <c r="T119" s="22">
        <f t="shared" si="49"/>
        <v>0.68310000000000004</v>
      </c>
    </row>
    <row r="120" spans="1:20" x14ac:dyDescent="0.25">
      <c r="A120" s="14" t="s">
        <v>263</v>
      </c>
      <c r="B120" t="str">
        <f t="shared" si="41"/>
        <v>Enteric fermentation</v>
      </c>
      <c r="C120" t="str">
        <f t="shared" si="42"/>
        <v>CH4</v>
      </c>
      <c r="D120" s="21">
        <v>0.51</v>
      </c>
      <c r="E120" t="s">
        <v>144</v>
      </c>
      <c r="F120" s="21">
        <v>446320.00000000006</v>
      </c>
      <c r="G120">
        <f t="shared" si="50"/>
        <v>0.28000000000000003</v>
      </c>
      <c r="H120" s="22">
        <f t="shared" si="43"/>
        <v>0.14280000000000001</v>
      </c>
      <c r="J120" t="str">
        <f t="shared" si="44"/>
        <v>Manure management</v>
      </c>
      <c r="K120" t="str">
        <f t="shared" si="45"/>
        <v>CH4</v>
      </c>
      <c r="L120" s="21">
        <v>17.96</v>
      </c>
      <c r="M120" t="s">
        <v>144</v>
      </c>
      <c r="N120" s="22">
        <f t="shared" si="46"/>
        <v>5.0288000000000004</v>
      </c>
      <c r="P120" t="str">
        <f t="shared" si="47"/>
        <v>Manure management</v>
      </c>
      <c r="Q120" t="str">
        <f t="shared" si="48"/>
        <v>N2O</v>
      </c>
      <c r="R120" s="21">
        <v>11.04</v>
      </c>
      <c r="S120" t="s">
        <v>311</v>
      </c>
      <c r="T120" s="22">
        <f t="shared" si="49"/>
        <v>3.0912000000000002</v>
      </c>
    </row>
    <row r="121" spans="1:20" x14ac:dyDescent="0.25">
      <c r="A121" s="14" t="s">
        <v>264</v>
      </c>
      <c r="B121" t="str">
        <f t="shared" si="41"/>
        <v>Enteric fermentation</v>
      </c>
      <c r="C121" t="str">
        <f t="shared" si="42"/>
        <v>CH4</v>
      </c>
      <c r="D121" s="21">
        <v>0.43</v>
      </c>
      <c r="E121" t="s">
        <v>144</v>
      </c>
      <c r="F121" s="21">
        <v>526020</v>
      </c>
      <c r="G121">
        <f t="shared" si="50"/>
        <v>0.33</v>
      </c>
      <c r="H121" s="22">
        <f t="shared" si="43"/>
        <v>0.1419</v>
      </c>
      <c r="J121" t="str">
        <f t="shared" si="44"/>
        <v>Manure management</v>
      </c>
      <c r="K121" t="str">
        <f t="shared" si="45"/>
        <v>CH4</v>
      </c>
      <c r="L121" s="21">
        <v>3.74</v>
      </c>
      <c r="M121" t="s">
        <v>144</v>
      </c>
      <c r="N121" s="22">
        <f t="shared" si="46"/>
        <v>1.2342000000000002</v>
      </c>
      <c r="P121" t="str">
        <f t="shared" si="47"/>
        <v>Manure management</v>
      </c>
      <c r="Q121" t="str">
        <f t="shared" si="48"/>
        <v>N2O</v>
      </c>
      <c r="R121" s="21">
        <v>11.04</v>
      </c>
      <c r="S121" t="s">
        <v>311</v>
      </c>
      <c r="T121" s="22">
        <f t="shared" si="49"/>
        <v>3.6431999999999998</v>
      </c>
    </row>
    <row r="122" spans="1:20" x14ac:dyDescent="0.25">
      <c r="A122" s="14" t="s">
        <v>265</v>
      </c>
      <c r="B122" t="str">
        <f t="shared" si="41"/>
        <v>Enteric fermentation</v>
      </c>
      <c r="C122" t="str">
        <f t="shared" si="42"/>
        <v>CH4</v>
      </c>
      <c r="D122" s="21">
        <v>2.41</v>
      </c>
      <c r="E122" t="s">
        <v>144</v>
      </c>
      <c r="F122" s="21">
        <v>9564</v>
      </c>
      <c r="G122">
        <f t="shared" si="50"/>
        <v>6.0000000000000001E-3</v>
      </c>
      <c r="H122" s="22">
        <f t="shared" si="43"/>
        <v>1.4460000000000001E-2</v>
      </c>
      <c r="J122" t="str">
        <f t="shared" si="44"/>
        <v>Manure management</v>
      </c>
      <c r="K122" t="str">
        <f t="shared" si="45"/>
        <v>CH4</v>
      </c>
      <c r="L122" s="21">
        <v>20.96</v>
      </c>
      <c r="M122" t="s">
        <v>144</v>
      </c>
      <c r="N122" s="22">
        <f t="shared" si="46"/>
        <v>0.12576000000000001</v>
      </c>
      <c r="P122" t="str">
        <f t="shared" si="47"/>
        <v>Manure management</v>
      </c>
      <c r="Q122" t="str">
        <f t="shared" si="48"/>
        <v>N2O</v>
      </c>
      <c r="R122" s="21">
        <v>12.25</v>
      </c>
      <c r="S122" t="s">
        <v>311</v>
      </c>
      <c r="T122" s="22">
        <f t="shared" si="49"/>
        <v>7.3499999999999996E-2</v>
      </c>
    </row>
    <row r="123" spans="1:20" x14ac:dyDescent="0.25">
      <c r="A123" s="14" t="s">
        <v>266</v>
      </c>
      <c r="B123" t="str">
        <f t="shared" si="41"/>
        <v>Enteric fermentation</v>
      </c>
      <c r="C123" t="str">
        <f t="shared" si="42"/>
        <v>CH4</v>
      </c>
      <c r="D123" s="21">
        <v>2.41</v>
      </c>
      <c r="E123" t="s">
        <v>144</v>
      </c>
      <c r="F123" s="21">
        <v>82888</v>
      </c>
      <c r="G123">
        <f t="shared" si="50"/>
        <v>5.1999999999999998E-2</v>
      </c>
      <c r="H123" s="22">
        <f t="shared" si="43"/>
        <v>0.12532000000000001</v>
      </c>
      <c r="J123" t="str">
        <f t="shared" si="44"/>
        <v>Manure management</v>
      </c>
      <c r="K123" t="str">
        <f t="shared" si="45"/>
        <v>CH4</v>
      </c>
      <c r="L123" s="21">
        <v>20.96</v>
      </c>
      <c r="M123" t="s">
        <v>144</v>
      </c>
      <c r="N123" s="22">
        <f t="shared" si="46"/>
        <v>1.08992</v>
      </c>
      <c r="P123" t="str">
        <f t="shared" si="47"/>
        <v>Manure management</v>
      </c>
      <c r="Q123" t="str">
        <f t="shared" si="48"/>
        <v>N2O</v>
      </c>
      <c r="R123" s="21">
        <v>12.23</v>
      </c>
      <c r="S123" t="s">
        <v>311</v>
      </c>
      <c r="T123" s="22">
        <f t="shared" si="49"/>
        <v>0.63595999999999997</v>
      </c>
    </row>
    <row r="124" spans="1:20" x14ac:dyDescent="0.25">
      <c r="A124" s="14" t="s">
        <v>267</v>
      </c>
      <c r="B124" t="str">
        <f t="shared" si="41"/>
        <v>Enteric fermentation</v>
      </c>
      <c r="C124" t="str">
        <f t="shared" si="42"/>
        <v>CH4</v>
      </c>
      <c r="D124" s="21">
        <v>0.79</v>
      </c>
      <c r="E124" t="s">
        <v>144</v>
      </c>
      <c r="F124" s="21">
        <v>7701.5822103987002</v>
      </c>
      <c r="G124">
        <f>F124/SUM($F$124:$F$133)</f>
        <v>3.6999999999999998E-2</v>
      </c>
      <c r="H124" s="22">
        <f t="shared" si="43"/>
        <v>2.9229999999999999E-2</v>
      </c>
      <c r="J124" t="str">
        <f t="shared" si="44"/>
        <v>Manure management</v>
      </c>
      <c r="K124" t="str">
        <f t="shared" si="45"/>
        <v>CH4</v>
      </c>
      <c r="L124" s="21">
        <v>0.46</v>
      </c>
      <c r="M124" t="s">
        <v>144</v>
      </c>
      <c r="N124" s="22">
        <f t="shared" si="46"/>
        <v>1.702E-2</v>
      </c>
      <c r="P124" t="str">
        <f t="shared" si="47"/>
        <v>Manure management</v>
      </c>
      <c r="Q124" t="str">
        <f t="shared" si="48"/>
        <v>N2O</v>
      </c>
      <c r="R124" s="21">
        <v>11.04</v>
      </c>
      <c r="S124" t="s">
        <v>311</v>
      </c>
      <c r="T124" s="22">
        <f t="shared" si="49"/>
        <v>0.40847999999999995</v>
      </c>
    </row>
    <row r="125" spans="1:20" x14ac:dyDescent="0.25">
      <c r="A125" s="14" t="s">
        <v>268</v>
      </c>
      <c r="B125" t="str">
        <f t="shared" si="41"/>
        <v>Enteric fermentation</v>
      </c>
      <c r="C125" t="str">
        <f t="shared" si="42"/>
        <v>CH4</v>
      </c>
      <c r="D125" s="21">
        <v>1.55</v>
      </c>
      <c r="E125" t="s">
        <v>144</v>
      </c>
      <c r="F125" s="21">
        <v>3746.7156699236921</v>
      </c>
      <c r="G125">
        <f t="shared" ref="G125:G133" si="51">F125/SUM($F$124:$F$133)</f>
        <v>1.7999999999999999E-2</v>
      </c>
      <c r="H125" s="22">
        <f t="shared" si="43"/>
        <v>2.7899999999999998E-2</v>
      </c>
      <c r="J125" t="str">
        <f t="shared" si="44"/>
        <v>Manure management</v>
      </c>
      <c r="K125" t="str">
        <f t="shared" si="45"/>
        <v>CH4</v>
      </c>
      <c r="L125" s="21">
        <v>0.37</v>
      </c>
      <c r="M125" t="s">
        <v>144</v>
      </c>
      <c r="N125" s="22">
        <f t="shared" si="46"/>
        <v>6.6599999999999993E-3</v>
      </c>
      <c r="P125" t="str">
        <f t="shared" si="47"/>
        <v>Manure management</v>
      </c>
      <c r="Q125" t="str">
        <f t="shared" si="48"/>
        <v>N2O</v>
      </c>
      <c r="R125" s="21">
        <v>14.59</v>
      </c>
      <c r="S125" t="s">
        <v>311</v>
      </c>
      <c r="T125" s="22">
        <f t="shared" si="49"/>
        <v>0.26261999999999996</v>
      </c>
    </row>
    <row r="126" spans="1:20" x14ac:dyDescent="0.25">
      <c r="A126" s="14" t="s">
        <v>269</v>
      </c>
      <c r="B126" t="str">
        <f t="shared" si="41"/>
        <v>Enteric fermentation</v>
      </c>
      <c r="C126" t="str">
        <f t="shared" si="42"/>
        <v>CH4</v>
      </c>
      <c r="D126" s="21">
        <v>1.55</v>
      </c>
      <c r="E126" t="s">
        <v>144</v>
      </c>
      <c r="F126" s="21">
        <v>1873.357834961846</v>
      </c>
      <c r="G126">
        <f t="shared" si="51"/>
        <v>8.9999999999999993E-3</v>
      </c>
      <c r="H126" s="22">
        <f t="shared" si="43"/>
        <v>1.3949999999999999E-2</v>
      </c>
      <c r="J126" t="str">
        <f t="shared" si="44"/>
        <v>Manure management</v>
      </c>
      <c r="K126" t="str">
        <f t="shared" si="45"/>
        <v>CH4</v>
      </c>
      <c r="L126" s="21">
        <v>0.37</v>
      </c>
      <c r="M126" t="s">
        <v>144</v>
      </c>
      <c r="N126" s="22">
        <f t="shared" si="46"/>
        <v>3.3299999999999996E-3</v>
      </c>
      <c r="P126" t="str">
        <f t="shared" si="47"/>
        <v>Manure management</v>
      </c>
      <c r="Q126" t="str">
        <f t="shared" si="48"/>
        <v>N2O</v>
      </c>
      <c r="R126" s="21">
        <v>14.59</v>
      </c>
      <c r="S126" t="s">
        <v>311</v>
      </c>
      <c r="T126" s="22">
        <f t="shared" si="49"/>
        <v>0.13130999999999998</v>
      </c>
    </row>
    <row r="127" spans="1:20" x14ac:dyDescent="0.25">
      <c r="A127" s="14" t="s">
        <v>270</v>
      </c>
      <c r="B127" t="str">
        <f t="shared" si="41"/>
        <v>Enteric fermentation</v>
      </c>
      <c r="C127" t="str">
        <f t="shared" si="42"/>
        <v>CH4</v>
      </c>
      <c r="D127" s="21">
        <v>1.24</v>
      </c>
      <c r="E127" t="s">
        <v>144</v>
      </c>
      <c r="F127" s="21">
        <v>15819.466161900034</v>
      </c>
      <c r="G127">
        <f t="shared" si="51"/>
        <v>7.5999999999999998E-2</v>
      </c>
      <c r="H127" s="22">
        <f t="shared" si="43"/>
        <v>9.423999999999999E-2</v>
      </c>
      <c r="J127" t="str">
        <f t="shared" si="44"/>
        <v>Manure management</v>
      </c>
      <c r="K127" t="str">
        <f t="shared" si="45"/>
        <v>CH4</v>
      </c>
      <c r="L127" s="21">
        <v>0.3</v>
      </c>
      <c r="M127" t="s">
        <v>144</v>
      </c>
      <c r="N127" s="22">
        <f t="shared" si="46"/>
        <v>2.2799999999999997E-2</v>
      </c>
      <c r="P127" t="str">
        <f t="shared" si="47"/>
        <v>Manure management</v>
      </c>
      <c r="Q127" t="str">
        <f t="shared" si="48"/>
        <v>N2O</v>
      </c>
      <c r="R127" s="21">
        <v>20.7</v>
      </c>
      <c r="S127" t="s">
        <v>311</v>
      </c>
      <c r="T127" s="22">
        <f t="shared" si="49"/>
        <v>1.5731999999999999</v>
      </c>
    </row>
    <row r="128" spans="1:20" x14ac:dyDescent="0.25">
      <c r="A128" s="14" t="s">
        <v>271</v>
      </c>
      <c r="B128" t="str">
        <f t="shared" si="41"/>
        <v>Enteric fermentation</v>
      </c>
      <c r="C128" t="str">
        <f t="shared" si="42"/>
        <v>CH4</v>
      </c>
      <c r="D128" s="21">
        <v>1.72</v>
      </c>
      <c r="E128" t="s">
        <v>144</v>
      </c>
      <c r="F128" s="21">
        <v>57033.338531060654</v>
      </c>
      <c r="G128">
        <f t="shared" si="51"/>
        <v>0.27400000000000002</v>
      </c>
      <c r="H128" s="22">
        <f t="shared" si="43"/>
        <v>0.47128000000000003</v>
      </c>
      <c r="J128" t="str">
        <f t="shared" si="44"/>
        <v>Manure management</v>
      </c>
      <c r="K128" t="str">
        <f t="shared" si="45"/>
        <v>CH4</v>
      </c>
      <c r="L128" s="21">
        <v>0.42</v>
      </c>
      <c r="M128" t="s">
        <v>144</v>
      </c>
      <c r="N128" s="22">
        <f t="shared" si="46"/>
        <v>0.11508</v>
      </c>
      <c r="P128" t="str">
        <f t="shared" si="47"/>
        <v>Manure management</v>
      </c>
      <c r="Q128" t="str">
        <f t="shared" si="48"/>
        <v>N2O</v>
      </c>
      <c r="R128" s="21">
        <v>20.7</v>
      </c>
      <c r="S128" t="s">
        <v>311</v>
      </c>
      <c r="T128" s="22">
        <f t="shared" si="49"/>
        <v>5.6718000000000002</v>
      </c>
    </row>
    <row r="129" spans="1:20" x14ac:dyDescent="0.25">
      <c r="A129" s="14" t="s">
        <v>272</v>
      </c>
      <c r="B129" t="str">
        <f t="shared" si="41"/>
        <v>Enteric fermentation</v>
      </c>
      <c r="C129" t="str">
        <f t="shared" si="42"/>
        <v>CH4</v>
      </c>
      <c r="D129" s="21">
        <v>3.27</v>
      </c>
      <c r="E129" t="s">
        <v>144</v>
      </c>
      <c r="F129" s="21">
        <v>10199.392657014496</v>
      </c>
      <c r="G129">
        <f t="shared" si="51"/>
        <v>4.9000000000000002E-2</v>
      </c>
      <c r="H129" s="22">
        <f t="shared" si="43"/>
        <v>0.16023000000000001</v>
      </c>
      <c r="J129" t="str">
        <f t="shared" si="44"/>
        <v>Manure management</v>
      </c>
      <c r="K129" t="str">
        <f t="shared" si="45"/>
        <v>CH4</v>
      </c>
      <c r="L129" s="21">
        <v>0.79</v>
      </c>
      <c r="M129" t="s">
        <v>144</v>
      </c>
      <c r="N129" s="22">
        <f t="shared" si="46"/>
        <v>3.8710000000000001E-2</v>
      </c>
      <c r="P129" t="str">
        <f t="shared" si="47"/>
        <v>Manure management</v>
      </c>
      <c r="Q129" t="str">
        <f t="shared" si="48"/>
        <v>N2O</v>
      </c>
      <c r="R129" s="21">
        <v>20.7</v>
      </c>
      <c r="S129" t="s">
        <v>311</v>
      </c>
      <c r="T129" s="22">
        <f t="shared" si="49"/>
        <v>1.0143</v>
      </c>
    </row>
    <row r="130" spans="1:20" x14ac:dyDescent="0.25">
      <c r="A130" s="14" t="s">
        <v>273</v>
      </c>
      <c r="B130" t="str">
        <f t="shared" si="41"/>
        <v>Enteric fermentation</v>
      </c>
      <c r="C130" t="str">
        <f t="shared" si="42"/>
        <v>CH4</v>
      </c>
      <c r="D130" s="21">
        <v>0.41</v>
      </c>
      <c r="E130" t="s">
        <v>144</v>
      </c>
      <c r="F130" s="21">
        <v>43087.230204122461</v>
      </c>
      <c r="G130">
        <f t="shared" si="51"/>
        <v>0.20699999999999999</v>
      </c>
      <c r="H130" s="22">
        <f t="shared" si="43"/>
        <v>8.4869999999999987E-2</v>
      </c>
      <c r="J130" t="str">
        <f t="shared" si="44"/>
        <v>Manure management</v>
      </c>
      <c r="K130" t="str">
        <f t="shared" si="45"/>
        <v>CH4</v>
      </c>
      <c r="L130" s="21">
        <v>0.4</v>
      </c>
      <c r="M130" t="s">
        <v>144</v>
      </c>
      <c r="N130" s="22">
        <f t="shared" si="46"/>
        <v>8.2799999999999999E-2</v>
      </c>
      <c r="P130" t="str">
        <f t="shared" si="47"/>
        <v>Manure management</v>
      </c>
      <c r="Q130" t="str">
        <f t="shared" si="48"/>
        <v>N2O</v>
      </c>
      <c r="R130" s="21">
        <v>11.04</v>
      </c>
      <c r="S130" t="s">
        <v>311</v>
      </c>
      <c r="T130" s="22">
        <f t="shared" si="49"/>
        <v>2.2852799999999998</v>
      </c>
    </row>
    <row r="131" spans="1:20" x14ac:dyDescent="0.25">
      <c r="A131" s="14" t="s">
        <v>274</v>
      </c>
      <c r="B131" t="str">
        <f t="shared" si="41"/>
        <v>Enteric fermentation</v>
      </c>
      <c r="C131" t="str">
        <f t="shared" si="42"/>
        <v>CH4</v>
      </c>
      <c r="D131" s="21">
        <v>0.34</v>
      </c>
      <c r="E131" t="s">
        <v>144</v>
      </c>
      <c r="F131" s="21">
        <v>50996.963285072481</v>
      </c>
      <c r="G131">
        <f t="shared" si="51"/>
        <v>0.245</v>
      </c>
      <c r="H131" s="22">
        <f t="shared" si="43"/>
        <v>8.3299999999999999E-2</v>
      </c>
      <c r="J131" t="str">
        <f t="shared" si="44"/>
        <v>Manure management</v>
      </c>
      <c r="K131" t="str">
        <f t="shared" si="45"/>
        <v>CH4</v>
      </c>
      <c r="L131" s="21">
        <v>0.08</v>
      </c>
      <c r="M131" t="s">
        <v>144</v>
      </c>
      <c r="N131" s="22">
        <f t="shared" si="46"/>
        <v>1.9599999999999999E-2</v>
      </c>
      <c r="P131" t="str">
        <f t="shared" si="47"/>
        <v>Manure management</v>
      </c>
      <c r="Q131" t="str">
        <f t="shared" si="48"/>
        <v>N2O</v>
      </c>
      <c r="R131" s="21">
        <v>11.04</v>
      </c>
      <c r="S131" t="s">
        <v>311</v>
      </c>
      <c r="T131" s="22">
        <f t="shared" si="49"/>
        <v>2.7047999999999996</v>
      </c>
    </row>
    <row r="132" spans="1:20" x14ac:dyDescent="0.25">
      <c r="A132" s="14" t="s">
        <v>275</v>
      </c>
      <c r="B132" t="str">
        <f t="shared" si="41"/>
        <v>Enteric fermentation</v>
      </c>
      <c r="C132" t="str">
        <f t="shared" si="42"/>
        <v>CH4</v>
      </c>
      <c r="D132" s="21">
        <v>1.93</v>
      </c>
      <c r="E132" t="s">
        <v>144</v>
      </c>
      <c r="F132" s="21">
        <v>1873.357834961846</v>
      </c>
      <c r="G132">
        <f t="shared" si="51"/>
        <v>8.9999999999999993E-3</v>
      </c>
      <c r="H132" s="22">
        <f t="shared" si="43"/>
        <v>1.7369999999999997E-2</v>
      </c>
      <c r="J132" t="str">
        <f t="shared" si="44"/>
        <v>Manure management</v>
      </c>
      <c r="K132" t="str">
        <f t="shared" si="45"/>
        <v>CH4</v>
      </c>
      <c r="L132" s="21">
        <v>0.46</v>
      </c>
      <c r="M132" t="s">
        <v>144</v>
      </c>
      <c r="N132" s="22">
        <f t="shared" si="46"/>
        <v>4.1399999999999996E-3</v>
      </c>
      <c r="P132" t="str">
        <f t="shared" si="47"/>
        <v>Manure management</v>
      </c>
      <c r="Q132" t="str">
        <f t="shared" si="48"/>
        <v>N2O</v>
      </c>
      <c r="R132" s="21">
        <v>12.25</v>
      </c>
      <c r="S132" t="s">
        <v>311</v>
      </c>
      <c r="T132" s="22">
        <f t="shared" si="49"/>
        <v>0.11024999999999999</v>
      </c>
    </row>
    <row r="133" spans="1:20" x14ac:dyDescent="0.25">
      <c r="A133" s="14" t="s">
        <v>276</v>
      </c>
      <c r="B133" t="str">
        <f t="shared" si="41"/>
        <v>Enteric fermentation</v>
      </c>
      <c r="C133" t="str">
        <f t="shared" si="42"/>
        <v>CH4</v>
      </c>
      <c r="D133" s="21">
        <v>1.93</v>
      </c>
      <c r="E133" t="s">
        <v>144</v>
      </c>
      <c r="F133" s="21">
        <v>15819.466161900034</v>
      </c>
      <c r="G133">
        <f t="shared" si="51"/>
        <v>7.5999999999999998E-2</v>
      </c>
      <c r="H133" s="22">
        <f t="shared" si="43"/>
        <v>0.14668</v>
      </c>
      <c r="J133" t="str">
        <f t="shared" si="44"/>
        <v>Manure management</v>
      </c>
      <c r="K133" t="str">
        <f t="shared" si="45"/>
        <v>CH4</v>
      </c>
      <c r="L133" s="21">
        <v>0.46</v>
      </c>
      <c r="M133" t="s">
        <v>144</v>
      </c>
      <c r="N133" s="22">
        <f t="shared" si="46"/>
        <v>3.4959999999999998E-2</v>
      </c>
      <c r="P133" t="str">
        <f t="shared" si="47"/>
        <v>Manure management</v>
      </c>
      <c r="Q133" t="str">
        <f t="shared" si="48"/>
        <v>N2O</v>
      </c>
      <c r="R133" s="21">
        <v>12.23</v>
      </c>
      <c r="S133" t="s">
        <v>311</v>
      </c>
      <c r="T133" s="22">
        <f t="shared" si="49"/>
        <v>0.92947999999999997</v>
      </c>
    </row>
    <row r="134" spans="1:20" x14ac:dyDescent="0.25">
      <c r="A134" s="13" t="s">
        <v>288</v>
      </c>
      <c r="M134" s="13"/>
    </row>
    <row r="135" spans="1:20" x14ac:dyDescent="0.25">
      <c r="A135" s="14" t="s">
        <v>289</v>
      </c>
      <c r="F135" s="21">
        <v>88431266.728296682</v>
      </c>
      <c r="J135" t="str">
        <f t="shared" ref="J135:J138" si="52">$J$5</f>
        <v>Manure management</v>
      </c>
      <c r="K135" t="str">
        <f t="shared" ref="K135:K138" si="53">$K$5</f>
        <v>CH4</v>
      </c>
      <c r="L135" s="21">
        <v>2.35E-2</v>
      </c>
      <c r="M135" t="s">
        <v>144</v>
      </c>
      <c r="N135" s="22">
        <f>L135</f>
        <v>2.35E-2</v>
      </c>
      <c r="P135" t="str">
        <f t="shared" ref="P135:P138" si="54">$P$5</f>
        <v>Manure management</v>
      </c>
      <c r="Q135" t="str">
        <f t="shared" ref="Q135:Q138" si="55">$Q$5</f>
        <v>N2O</v>
      </c>
      <c r="R135" s="21">
        <v>0.7</v>
      </c>
      <c r="S135" t="s">
        <v>311</v>
      </c>
      <c r="T135" s="22">
        <f>R135</f>
        <v>0.7</v>
      </c>
    </row>
    <row r="136" spans="1:20" x14ac:dyDescent="0.25">
      <c r="A136" s="14" t="s">
        <v>290</v>
      </c>
      <c r="F136" s="21">
        <v>23091061.215630483</v>
      </c>
      <c r="J136" t="str">
        <f t="shared" si="52"/>
        <v>Manure management</v>
      </c>
      <c r="K136" t="str">
        <f t="shared" si="53"/>
        <v>CH4</v>
      </c>
      <c r="L136" s="21">
        <v>2.35E-2</v>
      </c>
      <c r="M136" t="s">
        <v>144</v>
      </c>
      <c r="N136" s="22">
        <f t="shared" ref="N136:N138" si="56">L136</f>
        <v>2.35E-2</v>
      </c>
      <c r="P136" t="str">
        <f t="shared" si="54"/>
        <v>Manure management</v>
      </c>
      <c r="Q136" t="str">
        <f t="shared" si="55"/>
        <v>N2O</v>
      </c>
      <c r="R136" s="21">
        <v>0.6</v>
      </c>
      <c r="S136" t="s">
        <v>311</v>
      </c>
      <c r="T136" s="22">
        <f t="shared" ref="T136:T138" si="57">R136</f>
        <v>0.6</v>
      </c>
    </row>
    <row r="137" spans="1:20" x14ac:dyDescent="0.25">
      <c r="A137" s="14" t="s">
        <v>291</v>
      </c>
      <c r="F137" s="21">
        <v>3714113.2025884609</v>
      </c>
      <c r="J137" t="str">
        <f t="shared" si="52"/>
        <v>Manure management</v>
      </c>
      <c r="K137" t="str">
        <f t="shared" si="53"/>
        <v>CH4</v>
      </c>
      <c r="L137" s="21">
        <v>2.35E-2</v>
      </c>
      <c r="M137" t="s">
        <v>144</v>
      </c>
      <c r="N137" s="22">
        <f t="shared" si="56"/>
        <v>2.35E-2</v>
      </c>
      <c r="P137" t="str">
        <f t="shared" si="54"/>
        <v>Manure management</v>
      </c>
      <c r="Q137" t="str">
        <f t="shared" si="55"/>
        <v>N2O</v>
      </c>
      <c r="R137" s="21">
        <v>0.7</v>
      </c>
      <c r="S137" t="s">
        <v>311</v>
      </c>
      <c r="T137" s="22">
        <f t="shared" si="57"/>
        <v>0.7</v>
      </c>
    </row>
    <row r="138" spans="1:20" x14ac:dyDescent="0.25">
      <c r="A138" s="14" t="s">
        <v>292</v>
      </c>
      <c r="F138" s="21">
        <v>969824.57105648029</v>
      </c>
      <c r="J138" t="str">
        <f t="shared" si="52"/>
        <v>Manure management</v>
      </c>
      <c r="K138" t="str">
        <f t="shared" si="53"/>
        <v>CH4</v>
      </c>
      <c r="L138" s="21">
        <v>2.35E-2</v>
      </c>
      <c r="M138" t="s">
        <v>144</v>
      </c>
      <c r="N138" s="22">
        <f t="shared" si="56"/>
        <v>2.35E-2</v>
      </c>
      <c r="P138" t="str">
        <f t="shared" si="54"/>
        <v>Manure management</v>
      </c>
      <c r="Q138" t="str">
        <f t="shared" si="55"/>
        <v>N2O</v>
      </c>
      <c r="R138" s="21">
        <v>0.6</v>
      </c>
      <c r="S138" t="s">
        <v>311</v>
      </c>
      <c r="T138" s="22">
        <f t="shared" si="57"/>
        <v>0.6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BV187"/>
  <sheetViews>
    <sheetView workbookViewId="0">
      <pane xSplit="7" ySplit="3" topLeftCell="H171" activePane="bottomRight" state="frozen"/>
      <selection pane="topRight" activeCell="H1" sqref="H1"/>
      <selection pane="bottomLeft" activeCell="A4" sqref="A4"/>
      <selection pane="bottomRight" activeCell="H123" sqref="H123:H134"/>
    </sheetView>
  </sheetViews>
  <sheetFormatPr defaultRowHeight="15" x14ac:dyDescent="0.25"/>
  <cols>
    <col min="1" max="1" width="15.42578125" customWidth="1"/>
    <col min="2" max="2" width="31" customWidth="1"/>
    <col min="3" max="3" width="27.7109375" customWidth="1"/>
    <col min="4" max="4" width="48.42578125" customWidth="1"/>
    <col min="5" max="5" width="33.28515625" customWidth="1"/>
    <col min="6" max="6" width="7.5703125" customWidth="1"/>
    <col min="7" max="7" width="14" customWidth="1"/>
    <col min="8" max="35" width="9.7109375" customWidth="1"/>
    <col min="36" max="36" width="9.5703125" customWidth="1"/>
    <col min="51" max="52" width="9.42578125" customWidth="1"/>
    <col min="53" max="53" width="9.7109375" customWidth="1"/>
  </cols>
  <sheetData>
    <row r="1" spans="1:74" ht="18.75" x14ac:dyDescent="0.3">
      <c r="A1" s="1" t="s">
        <v>658</v>
      </c>
    </row>
    <row r="3" spans="1:74" s="19" customFormat="1" ht="15.75" x14ac:dyDescent="0.25">
      <c r="A3" s="17" t="s">
        <v>4</v>
      </c>
      <c r="B3" s="17" t="s">
        <v>313</v>
      </c>
      <c r="C3" s="17" t="s">
        <v>315</v>
      </c>
      <c r="D3" s="17" t="s">
        <v>149</v>
      </c>
      <c r="E3" s="17" t="s">
        <v>150</v>
      </c>
      <c r="F3" s="17" t="s">
        <v>5</v>
      </c>
      <c r="G3" s="17" t="s">
        <v>0</v>
      </c>
      <c r="H3" s="17">
        <v>1990</v>
      </c>
      <c r="I3" s="17">
        <v>1991</v>
      </c>
      <c r="J3" s="17">
        <v>1992</v>
      </c>
      <c r="K3" s="17">
        <v>1993</v>
      </c>
      <c r="L3" s="17">
        <v>1994</v>
      </c>
      <c r="M3" s="17">
        <v>1995</v>
      </c>
      <c r="N3" s="17">
        <v>1996</v>
      </c>
      <c r="O3" s="17">
        <v>1997</v>
      </c>
      <c r="P3" s="17">
        <v>1998</v>
      </c>
      <c r="Q3" s="17">
        <v>1999</v>
      </c>
      <c r="R3" s="17">
        <v>2000</v>
      </c>
      <c r="S3" s="17">
        <v>2001</v>
      </c>
      <c r="T3" s="17">
        <v>2002</v>
      </c>
      <c r="U3" s="17">
        <v>2003</v>
      </c>
      <c r="V3" s="17">
        <v>2004</v>
      </c>
      <c r="W3" s="17">
        <v>2005</v>
      </c>
      <c r="X3" s="17">
        <v>2006</v>
      </c>
      <c r="Y3" s="17">
        <v>2007</v>
      </c>
      <c r="Z3" s="17">
        <v>2008</v>
      </c>
      <c r="AA3" s="17">
        <v>2009</v>
      </c>
      <c r="AB3" s="17">
        <v>2010</v>
      </c>
      <c r="AC3" s="17">
        <v>2011</v>
      </c>
      <c r="AD3" s="17">
        <v>2012</v>
      </c>
      <c r="AE3" s="17">
        <v>2013</v>
      </c>
      <c r="AF3" s="17">
        <v>2014</v>
      </c>
      <c r="AG3" s="17">
        <v>2015</v>
      </c>
      <c r="AH3" s="17">
        <v>2016</v>
      </c>
      <c r="AI3" s="17">
        <v>2017</v>
      </c>
      <c r="AJ3" s="17">
        <v>2018</v>
      </c>
      <c r="AK3" s="17">
        <v>2019</v>
      </c>
      <c r="AL3" s="17">
        <v>2020</v>
      </c>
      <c r="AM3" s="17">
        <v>2021</v>
      </c>
      <c r="AN3" s="17">
        <v>2022</v>
      </c>
      <c r="AO3" s="17">
        <v>2023</v>
      </c>
      <c r="AP3" s="17">
        <v>2024</v>
      </c>
      <c r="AQ3" s="17">
        <v>2025</v>
      </c>
      <c r="AR3" s="17">
        <v>2026</v>
      </c>
      <c r="AS3" s="17">
        <v>2027</v>
      </c>
      <c r="AT3" s="17">
        <v>2028</v>
      </c>
      <c r="AU3" s="17">
        <v>2029</v>
      </c>
      <c r="AV3" s="17">
        <v>2030</v>
      </c>
      <c r="AW3" s="17">
        <v>2031</v>
      </c>
      <c r="AX3" s="17">
        <v>2032</v>
      </c>
      <c r="AY3" s="17">
        <v>2033</v>
      </c>
      <c r="AZ3" s="17">
        <v>2034</v>
      </c>
      <c r="BA3" s="17">
        <v>2035</v>
      </c>
      <c r="BB3" s="17">
        <v>2036</v>
      </c>
      <c r="BC3" s="17">
        <v>2037</v>
      </c>
      <c r="BD3" s="17">
        <v>2038</v>
      </c>
      <c r="BE3" s="17">
        <v>2039</v>
      </c>
      <c r="BF3" s="17">
        <v>2040</v>
      </c>
      <c r="BG3" s="17">
        <v>2041</v>
      </c>
      <c r="BH3" s="17">
        <v>2042</v>
      </c>
      <c r="BI3" s="17">
        <v>2043</v>
      </c>
      <c r="BJ3" s="17">
        <v>2044</v>
      </c>
      <c r="BK3" s="17">
        <v>2045</v>
      </c>
      <c r="BL3" s="17">
        <v>2046</v>
      </c>
      <c r="BM3" s="17">
        <v>2047</v>
      </c>
      <c r="BN3" s="17">
        <v>2048</v>
      </c>
      <c r="BO3" s="17">
        <v>2049</v>
      </c>
      <c r="BP3" s="17">
        <v>2050</v>
      </c>
      <c r="BQ3" s="17"/>
      <c r="BR3" s="17"/>
      <c r="BS3" s="17"/>
      <c r="BT3" s="17"/>
      <c r="BU3" s="17"/>
      <c r="BV3" s="17"/>
    </row>
    <row r="4" spans="1:74" x14ac:dyDescent="0.25">
      <c r="A4" t="str">
        <f>'IPCC Categories'!A5</f>
        <v>3A Livestock</v>
      </c>
      <c r="B4" t="str">
        <f>'IPCC Categories'!B5</f>
        <v>3A1 Enteric fermentation (CH4)</v>
      </c>
      <c r="C4" t="str">
        <f>EF!C4</f>
        <v>3A1ai Dairy cattle</v>
      </c>
      <c r="D4" t="str">
        <f>EF!D4</f>
        <v>TMR</v>
      </c>
      <c r="E4" t="str">
        <f>'IPCC Categories'!F5&amp;" Emissions"</f>
        <v>Enteric fermentation Emissions</v>
      </c>
      <c r="F4" t="s">
        <v>121</v>
      </c>
      <c r="G4" t="s">
        <v>286</v>
      </c>
      <c r="H4" s="28">
        <f>IF(('Activity data'!H5*EF!$H4)*kgtoGg=0,"NO",('Activity data'!H5*EF!$H4)*kgtoGg)</f>
        <v>59.718917014778661</v>
      </c>
      <c r="I4" s="28">
        <f>IF(('Activity data'!I5*EF!$H4)*kgtoGg=0,"NO",('Activity data'!I5*EF!$H4)*kgtoGg)</f>
        <v>68.751985275543859</v>
      </c>
      <c r="J4" s="28">
        <f>IF(('Activity data'!J5*EF!$H4)*kgtoGg=0,"NO",('Activity data'!J5*EF!$H4)*kgtoGg)</f>
        <v>59.479363059114746</v>
      </c>
      <c r="K4" s="28">
        <f>IF(('Activity data'!K5*EF!$H4)*kgtoGg=0,"NO",('Activity data'!K5*EF!$H4)*kgtoGg)</f>
        <v>63.083438863990956</v>
      </c>
      <c r="L4" s="28">
        <f>IF(('Activity data'!L5*EF!$H4)*kgtoGg=0,"NO",('Activity data'!L5*EF!$H4)*kgtoGg)</f>
        <v>58.521147236459079</v>
      </c>
      <c r="M4" s="28">
        <f>IF(('Activity data'!M5*EF!$H4)*kgtoGg=0,"NO",('Activity data'!M5*EF!$H4)*kgtoGg)</f>
        <v>62.604330952663126</v>
      </c>
      <c r="N4" s="28">
        <f>IF(('Activity data'!N5*EF!$H4)*kgtoGg=0,"NO",('Activity data'!N5*EF!$H4)*kgtoGg)</f>
        <v>62.843884908327048</v>
      </c>
      <c r="O4" s="28">
        <f>IF(('Activity data'!O5*EF!$H4)*kgtoGg=0,"NO",('Activity data'!O5*EF!$H4)*kgtoGg)</f>
        <v>60.585617843135758</v>
      </c>
      <c r="P4" s="28">
        <f>IF(('Activity data'!P5*EF!$H4)*kgtoGg=0,"NO",('Activity data'!P5*EF!$H4)*kgtoGg)</f>
        <v>59.866955976144006</v>
      </c>
      <c r="Q4" s="28">
        <f>IF(('Activity data'!Q5*EF!$H4)*kgtoGg=0,"NO",('Activity data'!Q5*EF!$H4)*kgtoGg)</f>
        <v>58.80645868927229</v>
      </c>
      <c r="R4" s="28">
        <f>IF(('Activity data'!R5*EF!$H4)*kgtoGg=0,"NO",('Activity data'!R5*EF!$H4)*kgtoGg)</f>
        <v>75.720582929632371</v>
      </c>
      <c r="S4" s="28">
        <f>IF(('Activity data'!S5*EF!$H4)*kgtoGg=0,"NO",('Activity data'!S5*EF!$H4)*kgtoGg)</f>
        <v>75.481028973968449</v>
      </c>
      <c r="T4" s="28">
        <f>IF(('Activity data'!T5*EF!$H4)*kgtoGg=0,"NO",('Activity data'!T5*EF!$H4)*kgtoGg)</f>
        <v>65.820813840510098</v>
      </c>
      <c r="U4" s="28">
        <f>IF(('Activity data'!U5*EF!$H4)*kgtoGg=0,"NO",('Activity data'!U5*EF!$H4)*kgtoGg)</f>
        <v>59.866955976144006</v>
      </c>
      <c r="V4" s="28">
        <f>IF(('Activity data'!V5*EF!$H4)*kgtoGg=0,"NO",('Activity data'!V5*EF!$H4)*kgtoGg)</f>
        <v>57.802485369467341</v>
      </c>
      <c r="W4" s="28">
        <f>IF(('Activity data'!W5*EF!$H4)*kgtoGg=0,"NO",('Activity data'!W5*EF!$H4)*kgtoGg)</f>
        <v>61.885669085671374</v>
      </c>
      <c r="X4" s="28">
        <f>IF(('Activity data'!X5*EF!$H4)*kgtoGg=0,"NO",('Activity data'!X5*EF!$H4)*kgtoGg)</f>
        <v>60.539860345986469</v>
      </c>
      <c r="Y4" s="28">
        <f>IF(('Activity data'!Y5*EF!$H4)*kgtoGg=0,"NO",('Activity data'!Y5*EF!$H4)*kgtoGg)</f>
        <v>60.106509931807928</v>
      </c>
      <c r="Z4" s="28">
        <f>IF(('Activity data'!Z5*EF!$H4)*kgtoGg=0,"NO",('Activity data'!Z5*EF!$H4)*kgtoGg)</f>
        <v>73.610354825806411</v>
      </c>
      <c r="AA4" s="28">
        <f>IF(('Activity data'!AA5*EF!$H4)*kgtoGg=0,"NO",('Activity data'!AA5*EF!$H4)*kgtoGg)</f>
        <v>75.435271476819167</v>
      </c>
      <c r="AB4" s="28">
        <f>IF(('Activity data'!AB5*EF!$H4)*kgtoGg=0,"NO",('Activity data'!AB5*EF!$H4)*kgtoGg)</f>
        <v>75.435271476819167</v>
      </c>
      <c r="AC4" s="28">
        <f>IF(('Activity data'!AC5*EF!$H4)*kgtoGg=0,"NO",('Activity data'!AC5*EF!$H4)*kgtoGg)</f>
        <v>72.697896500300033</v>
      </c>
      <c r="AD4" s="28">
        <f>IF(('Activity data'!AD5*EF!$H4)*kgtoGg=0,"NO",('Activity data'!AD5*EF!$H4)*kgtoGg)</f>
        <v>72.322741099422032</v>
      </c>
      <c r="AE4" s="28">
        <f>IF(('Activity data'!AE5*EF!$H4)*kgtoGg=0,"NO",('Activity data'!AE5*EF!$H4)*kgtoGg)</f>
        <v>72.847054411322219</v>
      </c>
      <c r="AF4" s="28">
        <f>IF(('Activity data'!AF5*EF!$H4)*kgtoGg=0,"NO",('Activity data'!AF5*EF!$H4)*kgtoGg)</f>
        <v>73.182661149623186</v>
      </c>
      <c r="AG4" s="28">
        <f>IF(('Activity data'!AG5*EF!$H4)*kgtoGg=0,"NO",('Activity data'!AG5*EF!$H4)*kgtoGg)</f>
        <v>73.36987471986879</v>
      </c>
      <c r="AH4" s="28">
        <f>IF(('Activity data'!AH5*EF!$H4)*kgtoGg=0,"NO",('Activity data'!AH5*EF!$H4)*kgtoGg)</f>
        <v>73.472214340116025</v>
      </c>
      <c r="AI4" s="28">
        <f>IF(('Activity data'!AI5*EF!$H4)*kgtoGg=0,"NO",('Activity data'!AI5*EF!$H4)*kgtoGg)</f>
        <v>73.69258746397422</v>
      </c>
      <c r="AJ4" s="28">
        <f>IF(('Activity data'!AJ5*EF!$H4)*kgtoGg=0,"NO",('Activity data'!AJ5*EF!$H4)*kgtoGg)</f>
        <v>73.98480223667589</v>
      </c>
      <c r="AK4" s="28">
        <f>IF(('Activity data'!AK5*EF!$H4)*kgtoGg=0,"NO",('Activity data'!AK5*EF!$H4)*kgtoGg)</f>
        <v>74.284618337700849</v>
      </c>
      <c r="AL4" s="28">
        <f>IF(('Activity data'!AL5*EF!$H4)*kgtoGg=0,"NO",('Activity data'!AL5*EF!$H4)*kgtoGg)</f>
        <v>71.862383757969454</v>
      </c>
      <c r="AM4" s="28">
        <f>IF(('Activity data'!AM5*EF!$H4)*kgtoGg=0,"NO",('Activity data'!AM5*EF!$H4)*kgtoGg)</f>
        <v>72.422444749820926</v>
      </c>
      <c r="AN4" s="28">
        <f>IF(('Activity data'!AN5*EF!$H4)*kgtoGg=0,"NO",('Activity data'!AN5*EF!$H4)*kgtoGg)</f>
        <v>72.974245777502901</v>
      </c>
      <c r="AO4" s="28">
        <f>IF(('Activity data'!AO5*EF!$H4)*kgtoGg=0,"NO",('Activity data'!AO5*EF!$H4)*kgtoGg)</f>
        <v>73.57296722019197</v>
      </c>
      <c r="AP4" s="28">
        <f>IF(('Activity data'!AP5*EF!$H4)*kgtoGg=0,"NO",('Activity data'!AP5*EF!$H4)*kgtoGg)</f>
        <v>74.213829132916047</v>
      </c>
      <c r="AQ4" s="28">
        <f>IF(('Activity data'!AQ5*EF!$H4)*kgtoGg=0,"NO",('Activity data'!AQ5*EF!$H4)*kgtoGg)</f>
        <v>74.8453701094314</v>
      </c>
      <c r="AR4" s="28">
        <f>IF(('Activity data'!AR5*EF!$H4)*kgtoGg=0,"NO",('Activity data'!AR5*EF!$H4)*kgtoGg)</f>
        <v>75.574578947063884</v>
      </c>
      <c r="AS4" s="28">
        <f>IF(('Activity data'!AS5*EF!$H4)*kgtoGg=0,"NO",('Activity data'!AS5*EF!$H4)*kgtoGg)</f>
        <v>76.328571210454626</v>
      </c>
      <c r="AT4" s="28">
        <f>IF(('Activity data'!AT5*EF!$H4)*kgtoGg=0,"NO",('Activity data'!AT5*EF!$H4)*kgtoGg)</f>
        <v>77.121279563290059</v>
      </c>
      <c r="AU4" s="28">
        <f>IF(('Activity data'!AU5*EF!$H4)*kgtoGg=0,"NO",('Activity data'!AU5*EF!$H4)*kgtoGg)</f>
        <v>77.938261141041536</v>
      </c>
      <c r="AV4" s="28">
        <f>IF(('Activity data'!AV5*EF!$H4)*kgtoGg=0,"NO",('Activity data'!AV5*EF!$H4)*kgtoGg)</f>
        <v>78.62189729406964</v>
      </c>
      <c r="AW4" s="28">
        <f>IF(('Activity data'!AW5*EF!$H4)*kgtoGg=0,"NO",('Activity data'!AW5*EF!$H4)*kgtoGg)</f>
        <v>79.487650401446245</v>
      </c>
      <c r="AX4" s="28">
        <f>IF(('Activity data'!AX5*EF!$H4)*kgtoGg=0,"NO",('Activity data'!AX5*EF!$H4)*kgtoGg)</f>
        <v>80.368500503994909</v>
      </c>
      <c r="AY4" s="28">
        <f>IF(('Activity data'!AY5*EF!$H4)*kgtoGg=0,"NO",('Activity data'!AY5*EF!$H4)*kgtoGg)</f>
        <v>81.269865081755555</v>
      </c>
      <c r="AZ4" s="28">
        <f>IF(('Activity data'!AZ5*EF!$H4)*kgtoGg=0,"NO",('Activity data'!AZ5*EF!$H4)*kgtoGg)</f>
        <v>82.128890573308183</v>
      </c>
      <c r="BA4" s="28">
        <f>IF(('Activity data'!BA5*EF!$H4)*kgtoGg=0,"NO",('Activity data'!BA5*EF!$H4)*kgtoGg)</f>
        <v>83.033854078253668</v>
      </c>
      <c r="BB4" s="28">
        <f>IF(('Activity data'!BB5*EF!$H4)*kgtoGg=0,"NO",('Activity data'!BB5*EF!$H4)*kgtoGg)</f>
        <v>83.98554020175952</v>
      </c>
      <c r="BC4" s="28">
        <f>IF(('Activity data'!BC5*EF!$H4)*kgtoGg=0,"NO",('Activity data'!BC5*EF!$H4)*kgtoGg)</f>
        <v>84.966520369879888</v>
      </c>
      <c r="BD4" s="28">
        <f>IF(('Activity data'!BD5*EF!$H4)*kgtoGg=0,"NO",('Activity data'!BD5*EF!$H4)*kgtoGg)</f>
        <v>85.930770117190804</v>
      </c>
      <c r="BE4" s="28">
        <f>IF(('Activity data'!BE5*EF!$H4)*kgtoGg=0,"NO",('Activity data'!BE5*EF!$H4)*kgtoGg)</f>
        <v>86.924738540339888</v>
      </c>
      <c r="BF4" s="28">
        <f>IF(('Activity data'!BF5*EF!$H4)*kgtoGg=0,"NO",('Activity data'!BF5*EF!$H4)*kgtoGg)</f>
        <v>87.975933877634006</v>
      </c>
      <c r="BG4" s="28">
        <f>IF(('Activity data'!BG5*EF!$H4)*kgtoGg=0,"NO",('Activity data'!BG5*EF!$H4)*kgtoGg)</f>
        <v>89.071180192936637</v>
      </c>
      <c r="BH4" s="28">
        <f>IF(('Activity data'!BH5*EF!$H4)*kgtoGg=0,"NO",('Activity data'!BH5*EF!$H4)*kgtoGg)</f>
        <v>90.206175225402362</v>
      </c>
      <c r="BI4" s="28">
        <f>IF(('Activity data'!BI5*EF!$H4)*kgtoGg=0,"NO",('Activity data'!BI5*EF!$H4)*kgtoGg)</f>
        <v>91.382586551767162</v>
      </c>
      <c r="BJ4" s="28">
        <f>IF(('Activity data'!BJ5*EF!$H4)*kgtoGg=0,"NO",('Activity data'!BJ5*EF!$H4)*kgtoGg)</f>
        <v>92.600572591584509</v>
      </c>
      <c r="BK4" s="28">
        <f>IF(('Activity data'!BK5*EF!$H4)*kgtoGg=0,"NO",('Activity data'!BK5*EF!$H4)*kgtoGg)</f>
        <v>93.871078064620164</v>
      </c>
      <c r="BL4" s="28">
        <f>IF(('Activity data'!BL5*EF!$H4)*kgtoGg=0,"NO",('Activity data'!BL5*EF!$H4)*kgtoGg)</f>
        <v>95.057724251063277</v>
      </c>
      <c r="BM4" s="28">
        <f>IF(('Activity data'!BM5*EF!$H4)*kgtoGg=0,"NO",('Activity data'!BM5*EF!$H4)*kgtoGg)</f>
        <v>96.291054200434587</v>
      </c>
      <c r="BN4" s="28">
        <f>IF(('Activity data'!BN5*EF!$H4)*kgtoGg=0,"NO",('Activity data'!BN5*EF!$H4)*kgtoGg)</f>
        <v>97.581257388171082</v>
      </c>
      <c r="BO4" s="28">
        <f>IF(('Activity data'!BO5*EF!$H4)*kgtoGg=0,"NO",('Activity data'!BO5*EF!$H4)*kgtoGg)</f>
        <v>98.933544297206552</v>
      </c>
      <c r="BP4" s="28">
        <f>IF(('Activity data'!BP5*EF!$H4)*kgtoGg=0,"NO",('Activity data'!BP5*EF!$H4)*kgtoGg)</f>
        <v>100.38001139287077</v>
      </c>
    </row>
    <row r="5" spans="1:74" x14ac:dyDescent="0.25">
      <c r="A5" t="str">
        <f>A4</f>
        <v>3A Livestock</v>
      </c>
      <c r="B5" t="str">
        <f>B4</f>
        <v>3A1 Enteric fermentation (CH4)</v>
      </c>
      <c r="C5" t="str">
        <f>EF!C5</f>
        <v>3A1ai Dairy cattle</v>
      </c>
      <c r="D5" t="str">
        <f>EF!D5</f>
        <v>Pasture</v>
      </c>
      <c r="E5" t="str">
        <f t="shared" ref="E5:G6" si="0">E4</f>
        <v>Enteric fermentation Emissions</v>
      </c>
      <c r="F5" t="str">
        <f t="shared" si="0"/>
        <v>CH4</v>
      </c>
      <c r="G5" t="str">
        <f t="shared" si="0"/>
        <v>Gg CH4</v>
      </c>
      <c r="H5" s="28">
        <f>IF(('Activity data'!H6*EF!$H5)*kgtoGg=0,"NO",('Activity data'!H6*EF!$H5)*kgtoGg)</f>
        <v>47.244302499713584</v>
      </c>
      <c r="I5" s="28">
        <f>IF(('Activity data'!I6*EF!$H5)*kgtoGg=0,"NO",('Activity data'!I6*EF!$H5)*kgtoGg)</f>
        <v>54.390463728768381</v>
      </c>
      <c r="J5" s="28">
        <f>IF(('Activity data'!J6*EF!$H5)*kgtoGg=0,"NO",('Activity data'!J6*EF!$H5)*kgtoGg)</f>
        <v>47.054788688811946</v>
      </c>
      <c r="K5" s="28">
        <f>IF(('Activity data'!K6*EF!$H5)*kgtoGg=0,"NO",('Activity data'!K6*EF!$H5)*kgtoGg)</f>
        <v>49.90601332698369</v>
      </c>
      <c r="L5" s="28">
        <f>IF(('Activity data'!L6*EF!$H5)*kgtoGg=0,"NO",('Activity data'!L6*EF!$H5)*kgtoGg)</f>
        <v>46.296733445205426</v>
      </c>
      <c r="M5" s="28">
        <f>IF(('Activity data'!M6*EF!$H5)*kgtoGg=0,"NO",('Activity data'!M6*EF!$H5)*kgtoGg)</f>
        <v>49.526985705180429</v>
      </c>
      <c r="N5" s="28">
        <f>IF(('Activity data'!N6*EF!$H5)*kgtoGg=0,"NO",('Activity data'!N6*EF!$H5)*kgtoGg)</f>
        <v>49.71649951608206</v>
      </c>
      <c r="O5" s="28">
        <f>IF(('Activity data'!O6*EF!$H5)*kgtoGg=0,"NO",('Activity data'!O6*EF!$H5)*kgtoGg)</f>
        <v>47.929959208818367</v>
      </c>
      <c r="P5" s="28">
        <f>IF(('Activity data'!P6*EF!$H5)*kgtoGg=0,"NO",('Activity data'!P6*EF!$H5)*kgtoGg)</f>
        <v>47.36141777611347</v>
      </c>
      <c r="Q5" s="28">
        <f>IF(('Activity data'!Q6*EF!$H5)*kgtoGg=0,"NO",('Activity data'!Q6*EF!$H5)*kgtoGg)</f>
        <v>46.522446523357921</v>
      </c>
      <c r="R5" s="28">
        <f>IF(('Activity data'!R6*EF!$H5)*kgtoGg=0,"NO",('Activity data'!R6*EF!$H5)*kgtoGg)</f>
        <v>59.903399194210245</v>
      </c>
      <c r="S5" s="28">
        <f>IF(('Activity data'!S6*EF!$H5)*kgtoGg=0,"NO",('Activity data'!S6*EF!$H5)*kgtoGg)</f>
        <v>59.713885383308607</v>
      </c>
      <c r="T5" s="28">
        <f>IF(('Activity data'!T6*EF!$H5)*kgtoGg=0,"NO",('Activity data'!T6*EF!$H5)*kgtoGg)</f>
        <v>52.071581256050649</v>
      </c>
      <c r="U5" s="28">
        <f>IF(('Activity data'!U6*EF!$H5)*kgtoGg=0,"NO",('Activity data'!U6*EF!$H5)*kgtoGg)</f>
        <v>47.36141777611347</v>
      </c>
      <c r="V5" s="28">
        <f>IF(('Activity data'!V6*EF!$H5)*kgtoGg=0,"NO",('Activity data'!V6*EF!$H5)*kgtoGg)</f>
        <v>45.728192012500521</v>
      </c>
      <c r="W5" s="28">
        <f>IF(('Activity data'!W6*EF!$H5)*kgtoGg=0,"NO",('Activity data'!W6*EF!$H5)*kgtoGg)</f>
        <v>48.958444272475539</v>
      </c>
      <c r="X5" s="28">
        <f>IF(('Activity data'!X6*EF!$H5)*kgtoGg=0,"NO",('Activity data'!X6*EF!$H5)*kgtoGg)</f>
        <v>47.893759941567488</v>
      </c>
      <c r="Y5" s="28">
        <f>IF(('Activity data'!Y6*EF!$H5)*kgtoGg=0,"NO",('Activity data'!Y6*EF!$H5)*kgtoGg)</f>
        <v>47.550931587015107</v>
      </c>
      <c r="Z5" s="28">
        <f>IF(('Activity data'!Z6*EF!$H5)*kgtoGg=0,"NO",('Activity data'!Z6*EF!$H5)*kgtoGg)</f>
        <v>58.233974163346424</v>
      </c>
      <c r="AA5" s="28">
        <f>IF(('Activity data'!AA6*EF!$H5)*kgtoGg=0,"NO",('Activity data'!AA6*EF!$H5)*kgtoGg)</f>
        <v>59.677686116057721</v>
      </c>
      <c r="AB5" s="28">
        <f>IF(('Activity data'!AB6*EF!$H5)*kgtoGg=0,"NO",('Activity data'!AB6*EF!$H5)*kgtoGg)</f>
        <v>59.677686116057721</v>
      </c>
      <c r="AC5" s="28">
        <f>IF(('Activity data'!AC6*EF!$H5)*kgtoGg=0,"NO",('Activity data'!AC6*EF!$H5)*kgtoGg)</f>
        <v>57.512118186990755</v>
      </c>
      <c r="AD5" s="28">
        <f>IF(('Activity data'!AD6*EF!$H5)*kgtoGg=0,"NO",('Activity data'!AD6*EF!$H5)*kgtoGg)</f>
        <v>57.844925609685873</v>
      </c>
      <c r="AE5" s="28">
        <f>IF(('Activity data'!AE6*EF!$H5)*kgtoGg=0,"NO",('Activity data'!AE6*EF!$H5)*kgtoGg)</f>
        <v>58.264280076372103</v>
      </c>
      <c r="AF5" s="28">
        <f>IF(('Activity data'!AF6*EF!$H5)*kgtoGg=0,"NO",('Activity data'!AF6*EF!$H5)*kgtoGg)</f>
        <v>58.532703901520556</v>
      </c>
      <c r="AG5" s="28">
        <f>IF(('Activity data'!AG6*EF!$H5)*kgtoGg=0,"NO",('Activity data'!AG6*EF!$H5)*kgtoGg)</f>
        <v>58.682440414259943</v>
      </c>
      <c r="AH5" s="28">
        <f>IF(('Activity data'!AH6*EF!$H5)*kgtoGg=0,"NO",('Activity data'!AH6*EF!$H5)*kgtoGg)</f>
        <v>58.764293336731271</v>
      </c>
      <c r="AI5" s="28">
        <f>IF(('Activity data'!AI6*EF!$H5)*kgtoGg=0,"NO",('Activity data'!AI6*EF!$H5)*kgtoGg)</f>
        <v>58.940551409395127</v>
      </c>
      <c r="AJ5" s="28">
        <f>IF(('Activity data'!AJ6*EF!$H5)*kgtoGg=0,"NO",('Activity data'!AJ6*EF!$H5)*kgtoGg)</f>
        <v>59.17426962211804</v>
      </c>
      <c r="AK5" s="28">
        <f>IF(('Activity data'!AK6*EF!$H5)*kgtoGg=0,"NO",('Activity data'!AK6*EF!$H5)*kgtoGg)</f>
        <v>59.414067503071344</v>
      </c>
      <c r="AL5" s="28">
        <f>IF(('Activity data'!AL6*EF!$H5)*kgtoGg=0,"NO",('Activity data'!AL6*EF!$H5)*kgtoGg)</f>
        <v>57.476724186932948</v>
      </c>
      <c r="AM5" s="28">
        <f>IF(('Activity data'!AM6*EF!$H5)*kgtoGg=0,"NO",('Activity data'!AM6*EF!$H5)*kgtoGg)</f>
        <v>57.924670239834903</v>
      </c>
      <c r="AN5" s="28">
        <f>IF(('Activity data'!AN6*EF!$H5)*kgtoGg=0,"NO",('Activity data'!AN6*EF!$H5)*kgtoGg)</f>
        <v>58.366009836653191</v>
      </c>
      <c r="AO5" s="28">
        <f>IF(('Activity data'!AO6*EF!$H5)*kgtoGg=0,"NO",('Activity data'!AO6*EF!$H5)*kgtoGg)</f>
        <v>58.844877158145643</v>
      </c>
      <c r="AP5" s="28">
        <f>IF(('Activity data'!AP6*EF!$H5)*kgtoGg=0,"NO",('Activity data'!AP6*EF!$H5)*kgtoGg)</f>
        <v>59.357449125193263</v>
      </c>
      <c r="AQ5" s="28">
        <f>IF(('Activity data'!AQ6*EF!$H5)*kgtoGg=0,"NO",('Activity data'!AQ6*EF!$H5)*kgtoGg)</f>
        <v>59.862566053156193</v>
      </c>
      <c r="AR5" s="28">
        <f>IF(('Activity data'!AR6*EF!$H5)*kgtoGg=0,"NO",('Activity data'!AR6*EF!$H5)*kgtoGg)</f>
        <v>60.445799353298817</v>
      </c>
      <c r="AS5" s="28">
        <f>IF(('Activity data'!AS6*EF!$H5)*kgtoGg=0,"NO",('Activity data'!AS6*EF!$H5)*kgtoGg)</f>
        <v>61.048854847644073</v>
      </c>
      <c r="AT5" s="28">
        <f>IF(('Activity data'!AT6*EF!$H5)*kgtoGg=0,"NO",('Activity data'!AT6*EF!$H5)*kgtoGg)</f>
        <v>61.682876111258885</v>
      </c>
      <c r="AU5" s="28">
        <f>IF(('Activity data'!AU6*EF!$H5)*kgtoGg=0,"NO",('Activity data'!AU6*EF!$H5)*kgtoGg)</f>
        <v>62.336311501996533</v>
      </c>
      <c r="AV5" s="28">
        <f>IF(('Activity data'!AV6*EF!$H5)*kgtoGg=0,"NO",('Activity data'!AV6*EF!$H5)*kgtoGg)</f>
        <v>62.883095014552282</v>
      </c>
      <c r="AW5" s="28">
        <f>IF(('Activity data'!AW6*EF!$H5)*kgtoGg=0,"NO",('Activity data'!AW6*EF!$H5)*kgtoGg)</f>
        <v>63.575538682080179</v>
      </c>
      <c r="AX5" s="28">
        <f>IF(('Activity data'!AX6*EF!$H5)*kgtoGg=0,"NO",('Activity data'!AX6*EF!$H5)*kgtoGg)</f>
        <v>64.280057176272294</v>
      </c>
      <c r="AY5" s="28">
        <f>IF(('Activity data'!AY6*EF!$H5)*kgtoGg=0,"NO",('Activity data'!AY6*EF!$H5)*kgtoGg)</f>
        <v>65.000983487349117</v>
      </c>
      <c r="AZ5" s="28">
        <f>IF(('Activity data'!AZ6*EF!$H5)*kgtoGg=0,"NO",('Activity data'!AZ6*EF!$H5)*kgtoGg)</f>
        <v>65.688046296367602</v>
      </c>
      <c r="BA5" s="28">
        <f>IF(('Activity data'!BA6*EF!$H5)*kgtoGg=0,"NO",('Activity data'!BA6*EF!$H5)*kgtoGg)</f>
        <v>66.41185108898587</v>
      </c>
      <c r="BB5" s="28">
        <f>IF(('Activity data'!BB6*EF!$H5)*kgtoGg=0,"NO",('Activity data'!BB6*EF!$H5)*kgtoGg)</f>
        <v>67.173025405405781</v>
      </c>
      <c r="BC5" s="28">
        <f>IF(('Activity data'!BC6*EF!$H5)*kgtoGg=0,"NO",('Activity data'!BC6*EF!$H5)*kgtoGg)</f>
        <v>67.95762958366133</v>
      </c>
      <c r="BD5" s="28">
        <f>IF(('Activity data'!BD6*EF!$H5)*kgtoGg=0,"NO",('Activity data'!BD6*EF!$H5)*kgtoGg)</f>
        <v>68.728852494387027</v>
      </c>
      <c r="BE5" s="28">
        <f>IF(('Activity data'!BE6*EF!$H5)*kgtoGg=0,"NO",('Activity data'!BE6*EF!$H5)*kgtoGg)</f>
        <v>69.523844894030674</v>
      </c>
      <c r="BF5" s="28">
        <f>IF(('Activity data'!BF6*EF!$H5)*kgtoGg=0,"NO",('Activity data'!BF6*EF!$H5)*kgtoGg)</f>
        <v>70.364608326979607</v>
      </c>
      <c r="BG5" s="28">
        <f>IF(('Activity data'!BG6*EF!$H5)*kgtoGg=0,"NO",('Activity data'!BG6*EF!$H5)*kgtoGg)</f>
        <v>71.240604461388699</v>
      </c>
      <c r="BH5" s="28">
        <f>IF(('Activity data'!BH6*EF!$H5)*kgtoGg=0,"NO",('Activity data'!BH6*EF!$H5)*kgtoGg)</f>
        <v>72.148392277811325</v>
      </c>
      <c r="BI5" s="28">
        <f>IF(('Activity data'!BI6*EF!$H5)*kgtoGg=0,"NO",('Activity data'!BI6*EF!$H5)*kgtoGg)</f>
        <v>73.089305531727078</v>
      </c>
      <c r="BJ5" s="28">
        <f>IF(('Activity data'!BJ6*EF!$H5)*kgtoGg=0,"NO",('Activity data'!BJ6*EF!$H5)*kgtoGg)</f>
        <v>74.063470929717411</v>
      </c>
      <c r="BK5" s="28">
        <f>IF(('Activity data'!BK6*EF!$H5)*kgtoGg=0,"NO",('Activity data'!BK6*EF!$H5)*kgtoGg)</f>
        <v>75.079642239837071</v>
      </c>
      <c r="BL5" s="28">
        <f>IF(('Activity data'!BL6*EF!$H5)*kgtoGg=0,"NO",('Activity data'!BL6*EF!$H5)*kgtoGg)</f>
        <v>76.028741504278102</v>
      </c>
      <c r="BM5" s="28">
        <f>IF(('Activity data'!BM6*EF!$H5)*kgtoGg=0,"NO",('Activity data'!BM6*EF!$H5)*kgtoGg)</f>
        <v>77.015179215142894</v>
      </c>
      <c r="BN5" s="28">
        <f>IF(('Activity data'!BN6*EF!$H5)*kgtoGg=0,"NO",('Activity data'!BN6*EF!$H5)*kgtoGg)</f>
        <v>78.047105083569278</v>
      </c>
      <c r="BO5" s="28">
        <f>IF(('Activity data'!BO6*EF!$H5)*kgtoGg=0,"NO",('Activity data'!BO6*EF!$H5)*kgtoGg)</f>
        <v>79.128686540065445</v>
      </c>
      <c r="BP5" s="28">
        <f>IF(('Activity data'!BP6*EF!$H5)*kgtoGg=0,"NO",('Activity data'!BP6*EF!$H5)*kgtoGg)</f>
        <v>80.285594868948237</v>
      </c>
    </row>
    <row r="6" spans="1:74" x14ac:dyDescent="0.25">
      <c r="A6" t="str">
        <f t="shared" ref="A6:A53" si="1">A5</f>
        <v>3A Livestock</v>
      </c>
      <c r="B6" t="str">
        <f t="shared" ref="B6:B17" si="2">B5</f>
        <v>3A1 Enteric fermentation (CH4)</v>
      </c>
      <c r="C6" t="str">
        <f>EF!C6</f>
        <v>3A1aii Other cattle</v>
      </c>
      <c r="D6" t="str">
        <f>EF!D6</f>
        <v>Non-lactating</v>
      </c>
      <c r="E6" t="str">
        <f t="shared" si="0"/>
        <v>Enteric fermentation Emissions</v>
      </c>
      <c r="F6" t="str">
        <f t="shared" si="0"/>
        <v>CH4</v>
      </c>
      <c r="G6" t="str">
        <f t="shared" si="0"/>
        <v>Gg CH4</v>
      </c>
      <c r="H6" s="28">
        <f>IF(('Activity data'!H7*EF!$H6)*kgtoGg=0,"NO",('Activity data'!H7*EF!$H6)*kgtoGg)</f>
        <v>25.216780378245733</v>
      </c>
      <c r="I6" s="28">
        <f>IF(('Activity data'!I7*EF!$H6)*kgtoGg=0,"NO",('Activity data'!I7*EF!$H6)*kgtoGg)</f>
        <v>28.66289621274522</v>
      </c>
      <c r="J6" s="28">
        <f>IF(('Activity data'!J7*EF!$H6)*kgtoGg=0,"NO",('Activity data'!J7*EF!$H6)*kgtoGg)</f>
        <v>24.793479863671994</v>
      </c>
      <c r="K6" s="28">
        <f>IF(('Activity data'!K7*EF!$H6)*kgtoGg=0,"NO",('Activity data'!K7*EF!$H6)*kgtoGg)</f>
        <v>25.947161118330968</v>
      </c>
      <c r="L6" s="28">
        <f>IF(('Activity data'!L7*EF!$H6)*kgtoGg=0,"NO",('Activity data'!L7*EF!$H6)*kgtoGg)</f>
        <v>23.100277805377079</v>
      </c>
      <c r="M6" s="28">
        <f>IF(('Activity data'!M7*EF!$H6)*kgtoGg=0,"NO",('Activity data'!M7*EF!$H6)*kgtoGg)</f>
        <v>25.100560089183503</v>
      </c>
      <c r="N6" s="28">
        <f>IF(('Activity data'!N7*EF!$H6)*kgtoGg=0,"NO",('Activity data'!N7*EF!$H6)*kgtoGg)</f>
        <v>25.523860603757235</v>
      </c>
      <c r="O6" s="28">
        <f>IF(('Activity data'!O7*EF!$H6)*kgtoGg=0,"NO",('Activity data'!O7*EF!$H6)*kgtoGg)</f>
        <v>24.662331645132362</v>
      </c>
      <c r="P6" s="28">
        <f>IF(('Activity data'!P7*EF!$H6)*kgtoGg=0,"NO",('Activity data'!P7*EF!$H6)*kgtoGg)</f>
        <v>23.392430101411172</v>
      </c>
      <c r="Q6" s="28">
        <f>IF(('Activity data'!Q7*EF!$H6)*kgtoGg=0,"NO",('Activity data'!Q7*EF!$H6)*kgtoGg)</f>
        <v>24.647403715654953</v>
      </c>
      <c r="R6" s="28">
        <f>IF(('Activity data'!R7*EF!$H6)*kgtoGg=0,"NO",('Activity data'!R7*EF!$H6)*kgtoGg)</f>
        <v>30.546958207489421</v>
      </c>
      <c r="S6" s="28">
        <f>IF(('Activity data'!S7*EF!$H6)*kgtoGg=0,"NO",('Activity data'!S7*EF!$H6)*kgtoGg)</f>
        <v>30.123657692915693</v>
      </c>
      <c r="T6" s="28">
        <f>IF(('Activity data'!T7*EF!$H6)*kgtoGg=0,"NO",('Activity data'!T7*EF!$H6)*kgtoGg)</f>
        <v>27.655291106103299</v>
      </c>
      <c r="U6" s="28">
        <f>IF(('Activity data'!U7*EF!$H6)*kgtoGg=0,"NO",('Activity data'!U7*EF!$H6)*kgtoGg)</f>
        <v>23.392430101411172</v>
      </c>
      <c r="V6" s="28">
        <f>IF(('Activity data'!V7*EF!$H6)*kgtoGg=0,"NO",('Activity data'!V7*EF!$H6)*kgtoGg)</f>
        <v>21.830376261655886</v>
      </c>
      <c r="W6" s="28">
        <f>IF(('Activity data'!W7*EF!$H6)*kgtoGg=0,"NO",('Activity data'!W7*EF!$H6)*kgtoGg)</f>
        <v>23.830658545462317</v>
      </c>
      <c r="X6" s="28">
        <f>IF(('Activity data'!X7*EF!$H6)*kgtoGg=0,"NO",('Activity data'!X7*EF!$H6)*kgtoGg)</f>
        <v>23.53850624942822</v>
      </c>
      <c r="Y6" s="28">
        <f>IF(('Activity data'!Y7*EF!$H6)*kgtoGg=0,"NO",('Activity data'!Y7*EF!$H6)*kgtoGg)</f>
        <v>23.815730615984904</v>
      </c>
      <c r="Z6" s="28">
        <f>IF(('Activity data'!Z7*EF!$H6)*kgtoGg=0,"NO",('Activity data'!Z7*EF!$H6)*kgtoGg)</f>
        <v>27.861078972029997</v>
      </c>
      <c r="AA6" s="28">
        <f>IF(('Activity data'!AA7*EF!$H6)*kgtoGg=0,"NO",('Activity data'!AA7*EF!$H6)*kgtoGg)</f>
        <v>28.999832297211544</v>
      </c>
      <c r="AB6" s="28">
        <f>IF(('Activity data'!AB7*EF!$H6)*kgtoGg=0,"NO",('Activity data'!AB7*EF!$H6)*kgtoGg)</f>
        <v>28.999832297211544</v>
      </c>
      <c r="AC6" s="28">
        <f>IF(('Activity data'!AC7*EF!$H6)*kgtoGg=0,"NO",('Activity data'!AC7*EF!$H6)*kgtoGg)</f>
        <v>27.29170230943922</v>
      </c>
      <c r="AD6" s="28">
        <f>IF(('Activity data'!AD7*EF!$H6)*kgtoGg=0,"NO",('Activity data'!AD7*EF!$H6)*kgtoGg)</f>
        <v>26.153919977535171</v>
      </c>
      <c r="AE6" s="28">
        <f>IF(('Activity data'!AE7*EF!$H6)*kgtoGg=0,"NO",('Activity data'!AE7*EF!$H6)*kgtoGg)</f>
        <v>26.343526292148482</v>
      </c>
      <c r="AF6" s="28">
        <f>IF(('Activity data'!AF7*EF!$H6)*kgtoGg=0,"NO",('Activity data'!AF7*EF!$H6)*kgtoGg)</f>
        <v>26.464891047466296</v>
      </c>
      <c r="AG6" s="28">
        <f>IF(('Activity data'!AG7*EF!$H6)*kgtoGg=0,"NO",('Activity data'!AG7*EF!$H6)*kgtoGg)</f>
        <v>26.532592695115149</v>
      </c>
      <c r="AH6" s="28">
        <f>IF(('Activity data'!AH7*EF!$H6)*kgtoGg=0,"NO",('Activity data'!AH7*EF!$H6)*kgtoGg)</f>
        <v>26.569601555644891</v>
      </c>
      <c r="AI6" s="28">
        <f>IF(('Activity data'!AI7*EF!$H6)*kgtoGg=0,"NO",('Activity data'!AI7*EF!$H6)*kgtoGg)</f>
        <v>26.649294622569219</v>
      </c>
      <c r="AJ6" s="28">
        <f>IF(('Activity data'!AJ7*EF!$H6)*kgtoGg=0,"NO",('Activity data'!AJ7*EF!$H6)*kgtoGg)</f>
        <v>26.754967633095557</v>
      </c>
      <c r="AK6" s="28">
        <f>IF(('Activity data'!AK7*EF!$H6)*kgtoGg=0,"NO",('Activity data'!AK7*EF!$H6)*kgtoGg)</f>
        <v>26.863389495914667</v>
      </c>
      <c r="AL6" s="28">
        <f>IF(('Activity data'!AL7*EF!$H6)*kgtoGg=0,"NO",('Activity data'!AL7*EF!$H6)*kgtoGg)</f>
        <v>25.987441925315466</v>
      </c>
      <c r="AM6" s="28">
        <f>IF(('Activity data'!AM7*EF!$H6)*kgtoGg=0,"NO",('Activity data'!AM7*EF!$H6)*kgtoGg)</f>
        <v>26.189975597860958</v>
      </c>
      <c r="AN6" s="28">
        <f>IF(('Activity data'!AN7*EF!$H6)*kgtoGg=0,"NO",('Activity data'!AN7*EF!$H6)*kgtoGg)</f>
        <v>26.389522237024934</v>
      </c>
      <c r="AO6" s="28">
        <f>IF(('Activity data'!AO7*EF!$H6)*kgtoGg=0,"NO",('Activity data'!AO7*EF!$H6)*kgtoGg)</f>
        <v>26.606036606680771</v>
      </c>
      <c r="AP6" s="28">
        <f>IF(('Activity data'!AP7*EF!$H6)*kgtoGg=0,"NO",('Activity data'!AP7*EF!$H6)*kgtoGg)</f>
        <v>26.837790145432777</v>
      </c>
      <c r="AQ6" s="28">
        <f>IF(('Activity data'!AQ7*EF!$H6)*kgtoGg=0,"NO",('Activity data'!AQ7*EF!$H6)*kgtoGg)</f>
        <v>27.066172973727554</v>
      </c>
      <c r="AR6" s="28">
        <f>IF(('Activity data'!AR7*EF!$H6)*kgtoGg=0,"NO",('Activity data'!AR7*EF!$H6)*kgtoGg)</f>
        <v>27.329875224173698</v>
      </c>
      <c r="AS6" s="28">
        <f>IF(('Activity data'!AS7*EF!$H6)*kgtoGg=0,"NO",('Activity data'!AS7*EF!$H6)*kgtoGg)</f>
        <v>27.602539852486021</v>
      </c>
      <c r="AT6" s="28">
        <f>IF(('Activity data'!AT7*EF!$H6)*kgtoGg=0,"NO",('Activity data'!AT7*EF!$H6)*kgtoGg)</f>
        <v>27.889205298380563</v>
      </c>
      <c r="AU6" s="28">
        <f>IF(('Activity data'!AU7*EF!$H6)*kgtoGg=0,"NO",('Activity data'!AU7*EF!$H6)*kgtoGg)</f>
        <v>28.184648619289256</v>
      </c>
      <c r="AV6" s="28">
        <f>IF(('Activity data'!AV7*EF!$H6)*kgtoGg=0,"NO",('Activity data'!AV7*EF!$H6)*kgtoGg)</f>
        <v>28.431870516140034</v>
      </c>
      <c r="AW6" s="28">
        <f>IF(('Activity data'!AW7*EF!$H6)*kgtoGg=0,"NO",('Activity data'!AW7*EF!$H6)*kgtoGg)</f>
        <v>28.74495098220676</v>
      </c>
      <c r="AX6" s="28">
        <f>IF(('Activity data'!AX7*EF!$H6)*kgtoGg=0,"NO",('Activity data'!AX7*EF!$H6)*kgtoGg)</f>
        <v>29.063490942723352</v>
      </c>
      <c r="AY6" s="28">
        <f>IF(('Activity data'!AY7*EF!$H6)*kgtoGg=0,"NO",('Activity data'!AY7*EF!$H6)*kgtoGg)</f>
        <v>29.389449509544384</v>
      </c>
      <c r="AZ6" s="28">
        <f>IF(('Activity data'!AZ7*EF!$H6)*kgtoGg=0,"NO",('Activity data'!AZ7*EF!$H6)*kgtoGg)</f>
        <v>29.700097082122497</v>
      </c>
      <c r="BA6" s="28">
        <f>IF(('Activity data'!BA7*EF!$H6)*kgtoGg=0,"NO",('Activity data'!BA7*EF!$H6)*kgtoGg)</f>
        <v>30.027357121373456</v>
      </c>
      <c r="BB6" s="28">
        <f>IF(('Activity data'!BB7*EF!$H6)*kgtoGg=0,"NO",('Activity data'!BB7*EF!$H6)*kgtoGg)</f>
        <v>30.371513362405388</v>
      </c>
      <c r="BC6" s="28">
        <f>IF(('Activity data'!BC7*EF!$H6)*kgtoGg=0,"NO",('Activity data'!BC7*EF!$H6)*kgtoGg)</f>
        <v>30.726263146865289</v>
      </c>
      <c r="BD6" s="28">
        <f>IF(('Activity data'!BD7*EF!$H6)*kgtoGg=0,"NO",('Activity data'!BD7*EF!$H6)*kgtoGg)</f>
        <v>31.074962744615043</v>
      </c>
      <c r="BE6" s="28">
        <f>IF(('Activity data'!BE7*EF!$H6)*kgtoGg=0,"NO",('Activity data'!BE7*EF!$H6)*kgtoGg)</f>
        <v>31.43440944428453</v>
      </c>
      <c r="BF6" s="28">
        <f>IF(('Activity data'!BF7*EF!$H6)*kgtoGg=0,"NO",('Activity data'!BF7*EF!$H6)*kgtoGg)</f>
        <v>31.814550991941772</v>
      </c>
      <c r="BG6" s="28">
        <f>IF(('Activity data'!BG7*EF!$H6)*kgtoGg=0,"NO",('Activity data'!BG7*EF!$H6)*kgtoGg)</f>
        <v>32.210622601654926</v>
      </c>
      <c r="BH6" s="28">
        <f>IF(('Activity data'!BH7*EF!$H6)*kgtoGg=0,"NO",('Activity data'!BH7*EF!$H6)*kgtoGg)</f>
        <v>32.621068455929183</v>
      </c>
      <c r="BI6" s="28">
        <f>IF(('Activity data'!BI7*EF!$H6)*kgtoGg=0,"NO",('Activity data'!BI7*EF!$H6)*kgtoGg)</f>
        <v>33.04649159701443</v>
      </c>
      <c r="BJ6" s="28">
        <f>IF(('Activity data'!BJ7*EF!$H6)*kgtoGg=0,"NO",('Activity data'!BJ7*EF!$H6)*kgtoGg)</f>
        <v>33.486949313838885</v>
      </c>
      <c r="BK6" s="28">
        <f>IF(('Activity data'!BK7*EF!$H6)*kgtoGg=0,"NO",('Activity data'!BK7*EF!$H6)*kgtoGg)</f>
        <v>33.946399522274916</v>
      </c>
      <c r="BL6" s="28">
        <f>IF(('Activity data'!BL7*EF!$H6)*kgtoGg=0,"NO",('Activity data'!BL7*EF!$H6)*kgtoGg)</f>
        <v>34.375523874174363</v>
      </c>
      <c r="BM6" s="28">
        <f>IF(('Activity data'!BM7*EF!$H6)*kgtoGg=0,"NO",('Activity data'!BM7*EF!$H6)*kgtoGg)</f>
        <v>34.82153037657465</v>
      </c>
      <c r="BN6" s="28">
        <f>IF(('Activity data'!BN7*EF!$H6)*kgtoGg=0,"NO",('Activity data'!BN7*EF!$H6)*kgtoGg)</f>
        <v>35.288103827938087</v>
      </c>
      <c r="BO6" s="28">
        <f>IF(('Activity data'!BO7*EF!$H6)*kgtoGg=0,"NO",('Activity data'!BO7*EF!$H6)*kgtoGg)</f>
        <v>35.777128484193319</v>
      </c>
      <c r="BP6" s="28">
        <f>IF(('Activity data'!BP7*EF!$H6)*kgtoGg=0,"NO",('Activity data'!BP7*EF!$H6)*kgtoGg)</f>
        <v>36.300211322247442</v>
      </c>
    </row>
    <row r="7" spans="1:74" x14ac:dyDescent="0.25">
      <c r="A7" t="str">
        <f t="shared" si="1"/>
        <v>3A Livestock</v>
      </c>
      <c r="B7" t="str">
        <f t="shared" si="2"/>
        <v>3A1 Enteric fermentation (CH4)</v>
      </c>
      <c r="C7" t="str">
        <f>EF!C7</f>
        <v>3A1aii Other cattle</v>
      </c>
      <c r="D7" t="str">
        <f>EF!D7</f>
        <v>Commercial</v>
      </c>
      <c r="E7" t="str">
        <f>E5</f>
        <v>Enteric fermentation Emissions</v>
      </c>
      <c r="F7" t="str">
        <f>F5</f>
        <v>CH4</v>
      </c>
      <c r="G7" t="str">
        <f>G5</f>
        <v>Gg CH4</v>
      </c>
      <c r="H7" s="28">
        <f>IF(('Activity data'!H8*EF!$H7)*kgtoGg=0,"NO",('Activity data'!H8*EF!$H7)*kgtoGg)</f>
        <v>530.30777048487039</v>
      </c>
      <c r="I7" s="28">
        <f>IF(('Activity data'!I8*EF!$H7)*kgtoGg=0,"NO",('Activity data'!I8*EF!$H7)*kgtoGg)</f>
        <v>507.4186008397914</v>
      </c>
      <c r="J7" s="28">
        <f>IF(('Activity data'!J8*EF!$H7)*kgtoGg=0,"NO",('Activity data'!J8*EF!$H7)*kgtoGg)</f>
        <v>507.23423660631244</v>
      </c>
      <c r="K7" s="28">
        <f>IF(('Activity data'!K8*EF!$H7)*kgtoGg=0,"NO",('Activity data'!K8*EF!$H7)*kgtoGg)</f>
        <v>474.53564508710184</v>
      </c>
      <c r="L7" s="28">
        <f>IF(('Activity data'!L8*EF!$H7)*kgtoGg=0,"NO",('Activity data'!L8*EF!$H7)*kgtoGg)</f>
        <v>488.84137611527626</v>
      </c>
      <c r="M7" s="28">
        <f>IF(('Activity data'!M8*EF!$H7)*kgtoGg=0,"NO",('Activity data'!M8*EF!$H7)*kgtoGg)</f>
        <v>499.9561278787649</v>
      </c>
      <c r="N7" s="28">
        <f>IF(('Activity data'!N8*EF!$H7)*kgtoGg=0,"NO",('Activity data'!N8*EF!$H7)*kgtoGg)</f>
        <v>520.69593728290613</v>
      </c>
      <c r="O7" s="28">
        <f>IF(('Activity data'!O8*EF!$H7)*kgtoGg=0,"NO",('Activity data'!O8*EF!$H7)*kgtoGg)</f>
        <v>540.42057654067605</v>
      </c>
      <c r="P7" s="28">
        <f>IF(('Activity data'!P8*EF!$H7)*kgtoGg=0,"NO",('Activity data'!P8*EF!$H7)*kgtoGg)</f>
        <v>545.10124992819794</v>
      </c>
      <c r="Q7" s="28">
        <f>IF(('Activity data'!Q8*EF!$H7)*kgtoGg=0,"NO",('Activity data'!Q8*EF!$H7)*kgtoGg)</f>
        <v>536.28054932306088</v>
      </c>
      <c r="R7" s="28">
        <f>IF(('Activity data'!R8*EF!$H7)*kgtoGg=0,"NO",('Activity data'!R8*EF!$H7)*kgtoGg)</f>
        <v>499.85033236925801</v>
      </c>
      <c r="S7" s="28">
        <f>IF(('Activity data'!S8*EF!$H7)*kgtoGg=0,"NO",('Activity data'!S8*EF!$H7)*kgtoGg)</f>
        <v>502.44776770928382</v>
      </c>
      <c r="T7" s="28">
        <f>IF(('Activity data'!T8*EF!$H7)*kgtoGg=0,"NO",('Activity data'!T8*EF!$H7)*kgtoGg)</f>
        <v>468.28593094461399</v>
      </c>
      <c r="U7" s="28">
        <f>IF(('Activity data'!U8*EF!$H7)*kgtoGg=0,"NO",('Activity data'!U8*EF!$H7)*kgtoGg)</f>
        <v>480.5348728026691</v>
      </c>
      <c r="V7" s="28">
        <f>IF(('Activity data'!V8*EF!$H7)*kgtoGg=0,"NO",('Activity data'!V8*EF!$H7)*kgtoGg)</f>
        <v>484.96505976327012</v>
      </c>
      <c r="W7" s="28">
        <f>IF(('Activity data'!W8*EF!$H7)*kgtoGg=0,"NO",('Activity data'!W8*EF!$H7)*kgtoGg)</f>
        <v>489.07863810350864</v>
      </c>
      <c r="X7" s="28">
        <f>IF(('Activity data'!X8*EF!$H7)*kgtoGg=0,"NO",('Activity data'!X8*EF!$H7)*kgtoGg)</f>
        <v>477.93743746264329</v>
      </c>
      <c r="Y7" s="28">
        <f>IF(('Activity data'!Y8*EF!$H7)*kgtoGg=0,"NO",('Activity data'!Y8*EF!$H7)*kgtoGg)</f>
        <v>491.93978430914353</v>
      </c>
      <c r="Z7" s="28">
        <f>IF(('Activity data'!Z8*EF!$H7)*kgtoGg=0,"NO",('Activity data'!Z8*EF!$H7)*kgtoGg)</f>
        <v>478.26977927550422</v>
      </c>
      <c r="AA7" s="28">
        <f>IF(('Activity data'!AA8*EF!$H7)*kgtoGg=0,"NO",('Activity data'!AA8*EF!$H7)*kgtoGg)</f>
        <v>470.23930370767658</v>
      </c>
      <c r="AB7" s="28">
        <f>IF(('Activity data'!AB8*EF!$H7)*kgtoGg=0,"NO",('Activity data'!AB8*EF!$H7)*kgtoGg)</f>
        <v>468.76105131733328</v>
      </c>
      <c r="AC7" s="28">
        <f>IF(('Activity data'!AC8*EF!$H7)*kgtoGg=0,"NO",('Activity data'!AC8*EF!$H7)*kgtoGg)</f>
        <v>467.07782660988823</v>
      </c>
      <c r="AD7" s="28">
        <f>IF(('Activity data'!AD8*EF!$H7)*kgtoGg=0,"NO",('Activity data'!AD8*EF!$H7)*kgtoGg)</f>
        <v>465.77724845672685</v>
      </c>
      <c r="AE7" s="28">
        <f>IF(('Activity data'!AE8*EF!$H7)*kgtoGg=0,"NO",('Activity data'!AE8*EF!$H7)*kgtoGg)</f>
        <v>464.12738227319574</v>
      </c>
      <c r="AF7" s="28">
        <f>IF(('Activity data'!AF8*EF!$H7)*kgtoGg=0,"NO",('Activity data'!AF8*EF!$H7)*kgtoGg)</f>
        <v>458.05632463415452</v>
      </c>
      <c r="AG7" s="28">
        <f>IF(('Activity data'!AG8*EF!$H7)*kgtoGg=0,"NO",('Activity data'!AG8*EF!$H7)*kgtoGg)</f>
        <v>448.66598057860182</v>
      </c>
      <c r="AH7" s="28">
        <f>IF(('Activity data'!AH8*EF!$H7)*kgtoGg=0,"NO",('Activity data'!AH8*EF!$H7)*kgtoGg)</f>
        <v>437.37364671297922</v>
      </c>
      <c r="AI7" s="28">
        <f>IF(('Activity data'!AI8*EF!$H7)*kgtoGg=0,"NO",('Activity data'!AI8*EF!$H7)*kgtoGg)</f>
        <v>427.90589635953802</v>
      </c>
      <c r="AJ7" s="28">
        <f>IF(('Activity data'!AJ8*EF!$H7)*kgtoGg=0,"NO",('Activity data'!AJ8*EF!$H7)*kgtoGg)</f>
        <v>419.53675851972463</v>
      </c>
      <c r="AK7" s="28">
        <f>IF(('Activity data'!AK8*EF!$H7)*kgtoGg=0,"NO",('Activity data'!AK8*EF!$H7)*kgtoGg)</f>
        <v>411.10685256095496</v>
      </c>
      <c r="AL7" s="28">
        <f>IF(('Activity data'!AL8*EF!$H7)*kgtoGg=0,"NO",('Activity data'!AL8*EF!$H7)*kgtoGg)</f>
        <v>358.37641568014482</v>
      </c>
      <c r="AM7" s="28">
        <f>IF(('Activity data'!AM8*EF!$H7)*kgtoGg=0,"NO",('Activity data'!AM8*EF!$H7)*kgtoGg)</f>
        <v>360.4250007279278</v>
      </c>
      <c r="AN7" s="28">
        <f>IF(('Activity data'!AN8*EF!$H7)*kgtoGg=0,"NO",('Activity data'!AN8*EF!$H7)*kgtoGg)</f>
        <v>362.47271312064589</v>
      </c>
      <c r="AO7" s="28">
        <f>IF(('Activity data'!AO8*EF!$H7)*kgtoGg=0,"NO",('Activity data'!AO8*EF!$H7)*kgtoGg)</f>
        <v>365.390078206883</v>
      </c>
      <c r="AP7" s="28">
        <f>IF(('Activity data'!AP8*EF!$H7)*kgtoGg=0,"NO",('Activity data'!AP8*EF!$H7)*kgtoGg)</f>
        <v>368.80616613770246</v>
      </c>
      <c r="AQ7" s="28">
        <f>IF(('Activity data'!AQ8*EF!$H7)*kgtoGg=0,"NO",('Activity data'!AQ8*EF!$H7)*kgtoGg)</f>
        <v>371.93105667825569</v>
      </c>
      <c r="AR7" s="28">
        <f>IF(('Activity data'!AR8*EF!$H7)*kgtoGg=0,"NO",('Activity data'!AR8*EF!$H7)*kgtoGg)</f>
        <v>376.36949569906449</v>
      </c>
      <c r="AS7" s="28">
        <f>IF(('Activity data'!AS8*EF!$H7)*kgtoGg=0,"NO",('Activity data'!AS8*EF!$H7)*kgtoGg)</f>
        <v>381.00346266128378</v>
      </c>
      <c r="AT7" s="28">
        <f>IF(('Activity data'!AT8*EF!$H7)*kgtoGg=0,"NO",('Activity data'!AT8*EF!$H7)*kgtoGg)</f>
        <v>386.02816033564847</v>
      </c>
      <c r="AU7" s="28">
        <f>IF(('Activity data'!AU8*EF!$H7)*kgtoGg=0,"NO",('Activity data'!AU8*EF!$H7)*kgtoGg)</f>
        <v>391.19276012082247</v>
      </c>
      <c r="AV7" s="28">
        <f>IF(('Activity data'!AV8*EF!$H7)*kgtoGg=0,"NO",('Activity data'!AV8*EF!$H7)*kgtoGg)</f>
        <v>394.28634872074673</v>
      </c>
      <c r="AW7" s="28">
        <f>IF(('Activity data'!AW8*EF!$H7)*kgtoGg=0,"NO",('Activity data'!AW8*EF!$H7)*kgtoGg)</f>
        <v>396.39002225638205</v>
      </c>
      <c r="AX7" s="28">
        <f>IF(('Activity data'!AX8*EF!$H7)*kgtoGg=0,"NO",('Activity data'!AX8*EF!$H7)*kgtoGg)</f>
        <v>398.34167522692098</v>
      </c>
      <c r="AY7" s="28">
        <f>IF(('Activity data'!AY8*EF!$H7)*kgtoGg=0,"NO",('Activity data'!AY8*EF!$H7)*kgtoGg)</f>
        <v>400.2072454638049</v>
      </c>
      <c r="AZ7" s="28">
        <f>IF(('Activity data'!AZ8*EF!$H7)*kgtoGg=0,"NO",('Activity data'!AZ8*EF!$H7)*kgtoGg)</f>
        <v>401.16699206735819</v>
      </c>
      <c r="BA7" s="28">
        <f>IF(('Activity data'!BA8*EF!$H7)*kgtoGg=0,"NO",('Activity data'!BA8*EF!$H7)*kgtoGg)</f>
        <v>402.36662118421975</v>
      </c>
      <c r="BB7" s="28">
        <f>IF(('Activity data'!BB8*EF!$H7)*kgtoGg=0,"NO",('Activity data'!BB8*EF!$H7)*kgtoGg)</f>
        <v>403.78198082874684</v>
      </c>
      <c r="BC7" s="28">
        <f>IF(('Activity data'!BC8*EF!$H7)*kgtoGg=0,"NO",('Activity data'!BC8*EF!$H7)*kgtoGg)</f>
        <v>405.17227695735761</v>
      </c>
      <c r="BD7" s="28">
        <f>IF(('Activity data'!BD8*EF!$H7)*kgtoGg=0,"NO",('Activity data'!BD8*EF!$H7)*kgtoGg)</f>
        <v>405.98616713423064</v>
      </c>
      <c r="BE7" s="28">
        <f>IF(('Activity data'!BE8*EF!$H7)*kgtoGg=0,"NO",('Activity data'!BE8*EF!$H7)*kgtoGg)</f>
        <v>406.76152787092735</v>
      </c>
      <c r="BF7" s="28">
        <f>IF(('Activity data'!BF8*EF!$H7)*kgtoGg=0,"NO",('Activity data'!BF8*EF!$H7)*kgtoGg)</f>
        <v>407.78243363145936</v>
      </c>
      <c r="BG7" s="28">
        <f>IF(('Activity data'!BG8*EF!$H7)*kgtoGg=0,"NO",('Activity data'!BG8*EF!$H7)*kgtoGg)</f>
        <v>410.95186202047643</v>
      </c>
      <c r="BH7" s="28">
        <f>IF(('Activity data'!BH8*EF!$H7)*kgtoGg=0,"NO",('Activity data'!BH8*EF!$H7)*kgtoGg)</f>
        <v>414.20668132469257</v>
      </c>
      <c r="BI7" s="28">
        <f>IF(('Activity data'!BI8*EF!$H7)*kgtoGg=0,"NO",('Activity data'!BI8*EF!$H7)*kgtoGg)</f>
        <v>417.54350653769416</v>
      </c>
      <c r="BJ7" s="28">
        <f>IF(('Activity data'!BJ8*EF!$H7)*kgtoGg=0,"NO",('Activity data'!BJ8*EF!$H7)*kgtoGg)</f>
        <v>420.94216929731789</v>
      </c>
      <c r="BK7" s="28">
        <f>IF(('Activity data'!BK8*EF!$H7)*kgtoGg=0,"NO",('Activity data'!BK8*EF!$H7)*kgtoGg)</f>
        <v>424.48990212236777</v>
      </c>
      <c r="BL7" s="28">
        <f>IF(('Activity data'!BL8*EF!$H7)*kgtoGg=0,"NO",('Activity data'!BL8*EF!$H7)*kgtoGg)</f>
        <v>426.8345179207812</v>
      </c>
      <c r="BM7" s="28">
        <f>IF(('Activity data'!BM8*EF!$H7)*kgtoGg=0,"NO",('Activity data'!BM8*EF!$H7)*kgtoGg)</f>
        <v>429.2739583805714</v>
      </c>
      <c r="BN7" s="28">
        <f>IF(('Activity data'!BN8*EF!$H7)*kgtoGg=0,"NO",('Activity data'!BN8*EF!$H7)*kgtoGg)</f>
        <v>431.87839950419755</v>
      </c>
      <c r="BO7" s="28">
        <f>IF(('Activity data'!BO8*EF!$H7)*kgtoGg=0,"NO",('Activity data'!BO8*EF!$H7)*kgtoGg)</f>
        <v>434.66559140419423</v>
      </c>
      <c r="BP7" s="28">
        <f>IF(('Activity data'!BP8*EF!$H7)*kgtoGg=0,"NO",('Activity data'!BP8*EF!$H7)*kgtoGg)</f>
        <v>437.88769706895613</v>
      </c>
    </row>
    <row r="8" spans="1:74" x14ac:dyDescent="0.25">
      <c r="A8" t="str">
        <f t="shared" si="1"/>
        <v>3A Livestock</v>
      </c>
      <c r="B8" t="str">
        <f t="shared" si="2"/>
        <v>3A1 Enteric fermentation (CH4)</v>
      </c>
      <c r="C8" t="str">
        <f>EF!C8</f>
        <v>3A1aii Other cattle</v>
      </c>
      <c r="D8" t="str">
        <f>EF!D8</f>
        <v>Subsistence</v>
      </c>
      <c r="E8" t="str">
        <f t="shared" ref="E8:E17" si="3">E7</f>
        <v>Enteric fermentation Emissions</v>
      </c>
      <c r="F8" t="str">
        <f t="shared" ref="F8:F18" si="4">F7</f>
        <v>CH4</v>
      </c>
      <c r="G8" t="str">
        <f t="shared" ref="G8:G18" si="5">G7</f>
        <v>Gg CH4</v>
      </c>
      <c r="H8" s="28">
        <f>IF(('Activity data'!H9*EF!$H8)*kgtoGg=0,"NO",('Activity data'!H9*EF!$H8)*kgtoGg)</f>
        <v>283.53205972623039</v>
      </c>
      <c r="I8" s="28">
        <f>IF(('Activity data'!I9*EF!$H8)*kgtoGg=0,"NO",('Activity data'!I9*EF!$H8)*kgtoGg)</f>
        <v>300.82813308643614</v>
      </c>
      <c r="J8" s="28">
        <f>IF(('Activity data'!J9*EF!$H8)*kgtoGg=0,"NO",('Activity data'!J9*EF!$H8)*kgtoGg)</f>
        <v>315.03562191803377</v>
      </c>
      <c r="K8" s="28">
        <f>IF(('Activity data'!K9*EF!$H8)*kgtoGg=0,"NO",('Activity data'!K9*EF!$H8)*kgtoGg)</f>
        <v>311.32932048370395</v>
      </c>
      <c r="L8" s="28">
        <f>IF(('Activity data'!L9*EF!$H8)*kgtoGg=0,"NO",('Activity data'!L9*EF!$H8)*kgtoGg)</f>
        <v>271.17772161179766</v>
      </c>
      <c r="M8" s="28">
        <f>IF(('Activity data'!M9*EF!$H8)*kgtoGg=0,"NO",('Activity data'!M9*EF!$H8)*kgtoGg)</f>
        <v>261.91196802597318</v>
      </c>
      <c r="N8" s="28">
        <f>IF(('Activity data'!N9*EF!$H8)*kgtoGg=0,"NO",('Activity data'!N9*EF!$H8)*kgtoGg)</f>
        <v>269.32457089463281</v>
      </c>
      <c r="O8" s="28">
        <f>IF(('Activity data'!O9*EF!$H8)*kgtoGg=0,"NO",('Activity data'!O9*EF!$H8)*kgtoGg)</f>
        <v>281.67890900906548</v>
      </c>
      <c r="P8" s="28">
        <f>IF(('Activity data'!P9*EF!$H8)*kgtoGg=0,"NO",('Activity data'!P9*EF!$H8)*kgtoGg)</f>
        <v>298.97498236927129</v>
      </c>
      <c r="Q8" s="28">
        <f>IF(('Activity data'!Q9*EF!$H8)*kgtoGg=0,"NO",('Activity data'!Q9*EF!$H8)*kgtoGg)</f>
        <v>311.32932048370395</v>
      </c>
      <c r="R8" s="28">
        <f>IF(('Activity data'!R9*EF!$H8)*kgtoGg=0,"NO",('Activity data'!R9*EF!$H8)*kgtoGg)</f>
        <v>303.91671761504432</v>
      </c>
      <c r="S8" s="28">
        <f>IF(('Activity data'!S9*EF!$H8)*kgtoGg=0,"NO",('Activity data'!S9*EF!$H8)*kgtoGg)</f>
        <v>296.50411474638474</v>
      </c>
      <c r="T8" s="28">
        <f>IF(('Activity data'!T9*EF!$H8)*kgtoGg=0,"NO",('Activity data'!T9*EF!$H8)*kgtoGg)</f>
        <v>336.03799671256934</v>
      </c>
      <c r="U8" s="28">
        <f>IF(('Activity data'!U9*EF!$H8)*kgtoGg=0,"NO",('Activity data'!U9*EF!$H8)*kgtoGg)</f>
        <v>344.06831648695061</v>
      </c>
      <c r="V8" s="28">
        <f>IF(('Activity data'!V9*EF!$H8)*kgtoGg=0,"NO",('Activity data'!V9*EF!$H8)*kgtoGg)</f>
        <v>338.50886433545588</v>
      </c>
      <c r="W8" s="28">
        <f>IF(('Activity data'!W9*EF!$H8)*kgtoGg=0,"NO",('Activity data'!W9*EF!$H8)*kgtoGg)</f>
        <v>328.62539384390971</v>
      </c>
      <c r="X8" s="28">
        <f>IF(('Activity data'!X9*EF!$H8)*kgtoGg=0,"NO",('Activity data'!X9*EF!$H8)*kgtoGg)</f>
        <v>339.12658124117752</v>
      </c>
      <c r="Y8" s="28">
        <f>IF(('Activity data'!Y9*EF!$H8)*kgtoGg=0,"NO",('Activity data'!Y9*EF!$H8)*kgtoGg)</f>
        <v>352.71635316705351</v>
      </c>
      <c r="Z8" s="28">
        <f>IF(('Activity data'!Z9*EF!$H8)*kgtoGg=0,"NO",('Activity data'!Z9*EF!$H8)*kgtoGg)</f>
        <v>347.15690101555879</v>
      </c>
      <c r="AA8" s="28">
        <f>IF(('Activity data'!AA9*EF!$H8)*kgtoGg=0,"NO",('Activity data'!AA9*EF!$H8)*kgtoGg)</f>
        <v>343.45059958122897</v>
      </c>
      <c r="AB8" s="28">
        <f>IF(('Activity data'!AB9*EF!$H8)*kgtoGg=0,"NO",('Activity data'!AB9*EF!$H8)*kgtoGg)</f>
        <v>338.50886433545588</v>
      </c>
      <c r="AC8" s="28">
        <f>IF(('Activity data'!AC9*EF!$H8)*kgtoGg=0,"NO",('Activity data'!AC9*EF!$H8)*kgtoGg)</f>
        <v>340.97973195834243</v>
      </c>
      <c r="AD8" s="28">
        <f>IF(('Activity data'!AD9*EF!$H8)*kgtoGg=0,"NO",('Activity data'!AD9*EF!$H8)*kgtoGg)</f>
        <v>327.99061756894508</v>
      </c>
      <c r="AE8" s="28">
        <f>IF(('Activity data'!AE9*EF!$H8)*kgtoGg=0,"NO",('Activity data'!AE9*EF!$H8)*kgtoGg)</f>
        <v>326.82881623529164</v>
      </c>
      <c r="AF8" s="28">
        <f>IF(('Activity data'!AF9*EF!$H8)*kgtoGg=0,"NO",('Activity data'!AF9*EF!$H8)*kgtoGg)</f>
        <v>322.55370414915291</v>
      </c>
      <c r="AG8" s="28">
        <f>IF(('Activity data'!AG9*EF!$H8)*kgtoGg=0,"NO",('Activity data'!AG9*EF!$H8)*kgtoGg)</f>
        <v>315.94121984217895</v>
      </c>
      <c r="AH8" s="28">
        <f>IF(('Activity data'!AH9*EF!$H8)*kgtoGg=0,"NO",('Activity data'!AH9*EF!$H8)*kgtoGg)</f>
        <v>307.9893940055756</v>
      </c>
      <c r="AI8" s="28">
        <f>IF(('Activity data'!AI9*EF!$H8)*kgtoGg=0,"NO",('Activity data'!AI9*EF!$H8)*kgtoGg)</f>
        <v>301.32240179910178</v>
      </c>
      <c r="AJ8" s="28">
        <f>IF(('Activity data'!AJ9*EF!$H8)*kgtoGg=0,"NO",('Activity data'!AJ9*EF!$H8)*kgtoGg)</f>
        <v>295.42902959662712</v>
      </c>
      <c r="AK8" s="28">
        <f>IF(('Activity data'!AK9*EF!$H8)*kgtoGg=0,"NO",('Activity data'!AK9*EF!$H8)*kgtoGg)</f>
        <v>289.4928657530171</v>
      </c>
      <c r="AL8" s="28">
        <f>IF(('Activity data'!AL9*EF!$H8)*kgtoGg=0,"NO",('Activity data'!AL9*EF!$H8)*kgtoGg)</f>
        <v>252.36119258838417</v>
      </c>
      <c r="AM8" s="28">
        <f>IF(('Activity data'!AM9*EF!$H8)*kgtoGg=0,"NO",('Activity data'!AM9*EF!$H8)*kgtoGg)</f>
        <v>253.80376342496135</v>
      </c>
      <c r="AN8" s="28">
        <f>IF(('Activity data'!AN9*EF!$H8)*kgtoGg=0,"NO",('Activity data'!AN9*EF!$H8)*kgtoGg)</f>
        <v>255.24571975605417</v>
      </c>
      <c r="AO8" s="28">
        <f>IF(('Activity data'!AO9*EF!$H8)*kgtoGg=0,"NO",('Activity data'!AO9*EF!$H8)*kgtoGg)</f>
        <v>257.30006736422831</v>
      </c>
      <c r="AP8" s="28">
        <f>IF(('Activity data'!AP9*EF!$H8)*kgtoGg=0,"NO",('Activity data'!AP9*EF!$H8)*kgtoGg)</f>
        <v>259.70560519118669</v>
      </c>
      <c r="AQ8" s="28">
        <f>IF(('Activity data'!AQ9*EF!$H8)*kgtoGg=0,"NO",('Activity data'!AQ9*EF!$H8)*kgtoGg)</f>
        <v>261.90608789322374</v>
      </c>
      <c r="AR8" s="28">
        <f>IF(('Activity data'!AR9*EF!$H8)*kgtoGg=0,"NO",('Activity data'!AR9*EF!$H8)*kgtoGg)</f>
        <v>265.03154402123471</v>
      </c>
      <c r="AS8" s="28">
        <f>IF(('Activity data'!AS9*EF!$H8)*kgtoGg=0,"NO",('Activity data'!AS9*EF!$H8)*kgtoGg)</f>
        <v>268.29468684490922</v>
      </c>
      <c r="AT8" s="28">
        <f>IF(('Activity data'!AT9*EF!$H8)*kgtoGg=0,"NO",('Activity data'!AT9*EF!$H8)*kgtoGg)</f>
        <v>271.83297408150707</v>
      </c>
      <c r="AU8" s="28">
        <f>IF(('Activity data'!AU9*EF!$H8)*kgtoGg=0,"NO",('Activity data'!AU9*EF!$H8)*kgtoGg)</f>
        <v>275.4697774647729</v>
      </c>
      <c r="AV8" s="28">
        <f>IF(('Activity data'!AV9*EF!$H8)*kgtoGg=0,"NO",('Activity data'!AV9*EF!$H8)*kgtoGg)</f>
        <v>277.64821799349204</v>
      </c>
      <c r="AW8" s="28">
        <f>IF(('Activity data'!AW9*EF!$H8)*kgtoGg=0,"NO",('Activity data'!AW9*EF!$H8)*kgtoGg)</f>
        <v>279.12958099351528</v>
      </c>
      <c r="AX8" s="28">
        <f>IF(('Activity data'!AX9*EF!$H8)*kgtoGg=0,"NO",('Activity data'!AX9*EF!$H8)*kgtoGg)</f>
        <v>280.50389428427457</v>
      </c>
      <c r="AY8" s="28">
        <f>IF(('Activity data'!AY9*EF!$H8)*kgtoGg=0,"NO",('Activity data'!AY9*EF!$H8)*kgtoGg)</f>
        <v>281.81758991054483</v>
      </c>
      <c r="AZ8" s="28">
        <f>IF(('Activity data'!AZ9*EF!$H8)*kgtoGg=0,"NO",('Activity data'!AZ9*EF!$H8)*kgtoGg)</f>
        <v>282.49342343880784</v>
      </c>
      <c r="BA8" s="28">
        <f>IF(('Activity data'!BA9*EF!$H8)*kgtoGg=0,"NO",('Activity data'!BA9*EF!$H8)*kgtoGg)</f>
        <v>283.33817722658256</v>
      </c>
      <c r="BB8" s="28">
        <f>IF(('Activity data'!BB9*EF!$H8)*kgtoGg=0,"NO",('Activity data'!BB9*EF!$H8)*kgtoGg)</f>
        <v>284.3348439496325</v>
      </c>
      <c r="BC8" s="28">
        <f>IF(('Activity data'!BC9*EF!$H8)*kgtoGg=0,"NO",('Activity data'!BC9*EF!$H8)*kgtoGg)</f>
        <v>285.3138614678511</v>
      </c>
      <c r="BD8" s="28">
        <f>IF(('Activity data'!BD9*EF!$H8)*kgtoGg=0,"NO",('Activity data'!BD9*EF!$H8)*kgtoGg)</f>
        <v>285.88698594447669</v>
      </c>
      <c r="BE8" s="28">
        <f>IF(('Activity data'!BE9*EF!$H8)*kgtoGg=0,"NO",('Activity data'!BE9*EF!$H8)*kgtoGg)</f>
        <v>286.43297879344146</v>
      </c>
      <c r="BF8" s="28">
        <f>IF(('Activity data'!BF9*EF!$H8)*kgtoGg=0,"NO",('Activity data'!BF9*EF!$H8)*kgtoGg)</f>
        <v>287.15187932365416</v>
      </c>
      <c r="BG8" s="28">
        <f>IF(('Activity data'!BG9*EF!$H8)*kgtoGg=0,"NO",('Activity data'!BG9*EF!$H8)*kgtoGg)</f>
        <v>289.38372464907241</v>
      </c>
      <c r="BH8" s="28">
        <f>IF(('Activity data'!BH9*EF!$H8)*kgtoGg=0,"NO",('Activity data'!BH9*EF!$H8)*kgtoGg)</f>
        <v>291.67570047486106</v>
      </c>
      <c r="BI8" s="28">
        <f>IF(('Activity data'!BI9*EF!$H8)*kgtoGg=0,"NO",('Activity data'!BI9*EF!$H8)*kgtoGg)</f>
        <v>294.02542315014892</v>
      </c>
      <c r="BJ8" s="28">
        <f>IF(('Activity data'!BJ9*EF!$H8)*kgtoGg=0,"NO",('Activity data'!BJ9*EF!$H8)*kgtoGg)</f>
        <v>296.4186905352156</v>
      </c>
      <c r="BK8" s="28">
        <f>IF(('Activity data'!BK9*EF!$H8)*kgtoGg=0,"NO",('Activity data'!BK9*EF!$H8)*kgtoGg)</f>
        <v>298.91692994925563</v>
      </c>
      <c r="BL8" s="28">
        <f>IF(('Activity data'!BL9*EF!$H8)*kgtoGg=0,"NO",('Activity data'!BL9*EF!$H8)*kgtoGg)</f>
        <v>300.56795946225049</v>
      </c>
      <c r="BM8" s="28">
        <f>IF(('Activity data'!BM9*EF!$H8)*kgtoGg=0,"NO",('Activity data'!BM9*EF!$H8)*kgtoGg)</f>
        <v>302.28576252279117</v>
      </c>
      <c r="BN8" s="28">
        <f>IF(('Activity data'!BN9*EF!$H8)*kgtoGg=0,"NO",('Activity data'!BN9*EF!$H8)*kgtoGg)</f>
        <v>304.11975560723334</v>
      </c>
      <c r="BO8" s="28">
        <f>IF(('Activity data'!BO9*EF!$H8)*kgtoGg=0,"NO",('Activity data'!BO9*EF!$H8)*kgtoGg)</f>
        <v>306.08243797437774</v>
      </c>
      <c r="BP8" s="28">
        <f>IF(('Activity data'!BP9*EF!$H8)*kgtoGg=0,"NO",('Activity data'!BP9*EF!$H8)*kgtoGg)</f>
        <v>308.35137753799802</v>
      </c>
    </row>
    <row r="9" spans="1:74" x14ac:dyDescent="0.25">
      <c r="A9" t="str">
        <f t="shared" si="1"/>
        <v>3A Livestock</v>
      </c>
      <c r="B9" t="str">
        <f t="shared" si="2"/>
        <v>3A1 Enteric fermentation (CH4)</v>
      </c>
      <c r="C9" t="str">
        <f>EF!C9</f>
        <v>3A1aii Other cattle</v>
      </c>
      <c r="D9" t="str">
        <f>EF!D9</f>
        <v>Feedlot</v>
      </c>
      <c r="E9" t="str">
        <f t="shared" si="3"/>
        <v>Enteric fermentation Emissions</v>
      </c>
      <c r="F9" t="str">
        <f t="shared" si="4"/>
        <v>CH4</v>
      </c>
      <c r="G9" t="str">
        <f t="shared" si="5"/>
        <v>Gg CH4</v>
      </c>
      <c r="H9" s="28">
        <f>IF(('Activity data'!H10*EF!$H9)*kgtoGg=0,"NO",('Activity data'!H10*EF!$H9)*kgtoGg)</f>
        <v>24.738</v>
      </c>
      <c r="I9" s="28">
        <f>IF(('Activity data'!I10*EF!$H9)*kgtoGg=0,"NO",('Activity data'!I10*EF!$H9)*kgtoGg)</f>
        <v>24.738</v>
      </c>
      <c r="J9" s="28">
        <f>IF(('Activity data'!J10*EF!$H9)*kgtoGg=0,"NO",('Activity data'!J10*EF!$H9)*kgtoGg)</f>
        <v>24.738</v>
      </c>
      <c r="K9" s="28">
        <f>IF(('Activity data'!K10*EF!$H9)*kgtoGg=0,"NO",('Activity data'!K10*EF!$H9)*kgtoGg)</f>
        <v>24.738</v>
      </c>
      <c r="L9" s="28">
        <f>IF(('Activity data'!L10*EF!$H9)*kgtoGg=0,"NO",('Activity data'!L10*EF!$H9)*kgtoGg)</f>
        <v>24.738</v>
      </c>
      <c r="M9" s="28">
        <f>IF(('Activity data'!M10*EF!$H9)*kgtoGg=0,"NO",('Activity data'!M10*EF!$H9)*kgtoGg)</f>
        <v>24.738</v>
      </c>
      <c r="N9" s="28">
        <f>IF(('Activity data'!N10*EF!$H9)*kgtoGg=0,"NO",('Activity data'!N10*EF!$H9)*kgtoGg)</f>
        <v>24.738</v>
      </c>
      <c r="O9" s="28">
        <f>IF(('Activity data'!O10*EF!$H9)*kgtoGg=0,"NO",('Activity data'!O10*EF!$H9)*kgtoGg)</f>
        <v>24.738</v>
      </c>
      <c r="P9" s="28">
        <f>IF(('Activity data'!P10*EF!$H9)*kgtoGg=0,"NO",('Activity data'!P10*EF!$H9)*kgtoGg)</f>
        <v>24.738</v>
      </c>
      <c r="Q9" s="28">
        <f>IF(('Activity data'!Q10*EF!$H9)*kgtoGg=0,"NO",('Activity data'!Q10*EF!$H9)*kgtoGg)</f>
        <v>24.738</v>
      </c>
      <c r="R9" s="28">
        <f>IF(('Activity data'!R10*EF!$H9)*kgtoGg=0,"NO",('Activity data'!R10*EF!$H9)*kgtoGg)</f>
        <v>24.738</v>
      </c>
      <c r="S9" s="28">
        <f>IF(('Activity data'!S10*EF!$H9)*kgtoGg=0,"NO",('Activity data'!S10*EF!$H9)*kgtoGg)</f>
        <v>24.738</v>
      </c>
      <c r="T9" s="28">
        <f>IF(('Activity data'!T10*EF!$H9)*kgtoGg=0,"NO",('Activity data'!T10*EF!$H9)*kgtoGg)</f>
        <v>24.738</v>
      </c>
      <c r="U9" s="28">
        <f>IF(('Activity data'!U10*EF!$H9)*kgtoGg=0,"NO",('Activity data'!U10*EF!$H9)*kgtoGg)</f>
        <v>24.738</v>
      </c>
      <c r="V9" s="28">
        <f>IF(('Activity data'!V10*EF!$H9)*kgtoGg=0,"NO",('Activity data'!V10*EF!$H9)*kgtoGg)</f>
        <v>24.738</v>
      </c>
      <c r="W9" s="28">
        <f>IF(('Activity data'!W10*EF!$H9)*kgtoGg=0,"NO",('Activity data'!W10*EF!$H9)*kgtoGg)</f>
        <v>24.738</v>
      </c>
      <c r="X9" s="28">
        <f>IF(('Activity data'!X10*EF!$H9)*kgtoGg=0,"NO",('Activity data'!X10*EF!$H9)*kgtoGg)</f>
        <v>24.738</v>
      </c>
      <c r="Y9" s="28">
        <f>IF(('Activity data'!Y10*EF!$H9)*kgtoGg=0,"NO",('Activity data'!Y10*EF!$H9)*kgtoGg)</f>
        <v>24.738</v>
      </c>
      <c r="Z9" s="28">
        <f>IF(('Activity data'!Z10*EF!$H9)*kgtoGg=0,"NO",('Activity data'!Z10*EF!$H9)*kgtoGg)</f>
        <v>23.038602474999998</v>
      </c>
      <c r="AA9" s="28">
        <f>IF(('Activity data'!AA10*EF!$H9)*kgtoGg=0,"NO",('Activity data'!AA10*EF!$H9)*kgtoGg)</f>
        <v>23.608263641666664</v>
      </c>
      <c r="AB9" s="28">
        <f>IF(('Activity data'!AB10*EF!$H9)*kgtoGg=0,"NO",('Activity data'!AB10*EF!$H9)*kgtoGg)</f>
        <v>23.549535433333329</v>
      </c>
      <c r="AC9" s="28">
        <f>IF(('Activity data'!AC10*EF!$H9)*kgtoGg=0,"NO",('Activity data'!AC10*EF!$H9)*kgtoGg)</f>
        <v>27.200029816666664</v>
      </c>
      <c r="AD9" s="28">
        <f>IF(('Activity data'!AD10*EF!$H9)*kgtoGg=0,"NO",('Activity data'!AD10*EF!$H9)*kgtoGg)</f>
        <v>31.99766360138101</v>
      </c>
      <c r="AE9" s="28">
        <f>IF(('Activity data'!AE10*EF!$H9)*kgtoGg=0,"NO",('Activity data'!AE10*EF!$H9)*kgtoGg)</f>
        <v>33.242743554032188</v>
      </c>
      <c r="AF9" s="28">
        <f>IF(('Activity data'!AF10*EF!$H9)*kgtoGg=0,"NO",('Activity data'!AF10*EF!$H9)*kgtoGg)</f>
        <v>34.186913833401547</v>
      </c>
      <c r="AG9" s="28">
        <f>IF(('Activity data'!AG10*EF!$H9)*kgtoGg=0,"NO",('Activity data'!AG10*EF!$H9)*kgtoGg)</f>
        <v>34.877688555955892</v>
      </c>
      <c r="AH9" s="28">
        <f>IF(('Activity data'!AH10*EF!$H9)*kgtoGg=0,"NO",('Activity data'!AH10*EF!$H9)*kgtoGg)</f>
        <v>35.399581322114287</v>
      </c>
      <c r="AI9" s="28">
        <f>IF(('Activity data'!AI10*EF!$H9)*kgtoGg=0,"NO",('Activity data'!AI10*EF!$H9)*kgtoGg)</f>
        <v>36.048167987519633</v>
      </c>
      <c r="AJ9" s="28">
        <f>IF(('Activity data'!AJ10*EF!$H9)*kgtoGg=0,"NO",('Activity data'!AJ10*EF!$H9)*kgtoGg)</f>
        <v>36.778203536360813</v>
      </c>
      <c r="AK9" s="28">
        <f>IF(('Activity data'!AK10*EF!$H9)*kgtoGg=0,"NO",('Activity data'!AK10*EF!$H9)*kgtoGg)</f>
        <v>37.495742302014669</v>
      </c>
      <c r="AL9" s="28">
        <f>IF(('Activity data'!AL10*EF!$H9)*kgtoGg=0,"NO",('Activity data'!AL10*EF!$H9)*kgtoGg)</f>
        <v>34.003018413610555</v>
      </c>
      <c r="AM9" s="28">
        <f>IF(('Activity data'!AM10*EF!$H9)*kgtoGg=0,"NO",('Activity data'!AM10*EF!$H9)*kgtoGg)</f>
        <v>35.016851927280925</v>
      </c>
      <c r="AN9" s="28">
        <f>IF(('Activity data'!AN10*EF!$H9)*kgtoGg=0,"NO",('Activity data'!AN10*EF!$H9)*kgtoGg)</f>
        <v>36.048082809536858</v>
      </c>
      <c r="AO9" s="28">
        <f>IF(('Activity data'!AO10*EF!$H9)*kgtoGg=0,"NO",('Activity data'!AO10*EF!$H9)*kgtoGg)</f>
        <v>37.186123845188128</v>
      </c>
      <c r="AP9" s="28">
        <f>IF(('Activity data'!AP10*EF!$H9)*kgtoGg=0,"NO",('Activity data'!AP10*EF!$H9)*kgtoGg)</f>
        <v>38.399288088650962</v>
      </c>
      <c r="AQ9" s="28">
        <f>IF(('Activity data'!AQ10*EF!$H9)*kgtoGg=0,"NO",('Activity data'!AQ10*EF!$H9)*kgtoGg)</f>
        <v>39.60788307969932</v>
      </c>
      <c r="AR9" s="28">
        <f>IF(('Activity data'!AR10*EF!$H9)*kgtoGg=0,"NO",('Activity data'!AR10*EF!$H9)*kgtoGg)</f>
        <v>40.985481416051257</v>
      </c>
      <c r="AS9" s="28">
        <f>IF(('Activity data'!AS10*EF!$H9)*kgtoGg=0,"NO",('Activity data'!AS10*EF!$H9)*kgtoGg)</f>
        <v>42.418111543807143</v>
      </c>
      <c r="AT9" s="28">
        <f>IF(('Activity data'!AT10*EF!$H9)*kgtoGg=0,"NO",('Activity data'!AT10*EF!$H9)*kgtoGg)</f>
        <v>43.930477885846756</v>
      </c>
      <c r="AU9" s="28">
        <f>IF(('Activity data'!AU10*EF!$H9)*kgtoGg=0,"NO",('Activity data'!AU10*EF!$H9)*kgtoGg)</f>
        <v>45.497425720418128</v>
      </c>
      <c r="AV9" s="28">
        <f>IF(('Activity data'!AV10*EF!$H9)*kgtoGg=0,"NO",('Activity data'!AV10*EF!$H9)*kgtoGg)</f>
        <v>46.858418894132804</v>
      </c>
      <c r="AW9" s="28">
        <f>IF(('Activity data'!AW10*EF!$H9)*kgtoGg=0,"NO",('Activity data'!AW10*EF!$H9)*kgtoGg)</f>
        <v>48.665187325941829</v>
      </c>
      <c r="AX9" s="28">
        <f>IF(('Activity data'!AX10*EF!$H9)*kgtoGg=0,"NO",('Activity data'!AX10*EF!$H9)*kgtoGg)</f>
        <v>50.524074660911936</v>
      </c>
      <c r="AY9" s="28">
        <f>IF(('Activity data'!AY10*EF!$H9)*kgtoGg=0,"NO",('Activity data'!AY10*EF!$H9)*kgtoGg)</f>
        <v>52.445782254990583</v>
      </c>
      <c r="AZ9" s="28">
        <f>IF(('Activity data'!AZ10*EF!$H9)*kgtoGg=0,"NO",('Activity data'!AZ10*EF!$H9)*kgtoGg)</f>
        <v>54.322365566795469</v>
      </c>
      <c r="BA9" s="28">
        <f>IF(('Activity data'!BA10*EF!$H9)*kgtoGg=0,"NO",('Activity data'!BA10*EF!$H9)*kgtoGg)</f>
        <v>56.30628722861416</v>
      </c>
      <c r="BB9" s="28">
        <f>IF(('Activity data'!BB10*EF!$H9)*kgtoGg=0,"NO",('Activity data'!BB10*EF!$H9)*kgtoGg)</f>
        <v>58.401724328187981</v>
      </c>
      <c r="BC9" s="28">
        <f>IF(('Activity data'!BC10*EF!$H9)*kgtoGg=0,"NO",('Activity data'!BC10*EF!$H9)*kgtoGg)</f>
        <v>60.580566670057301</v>
      </c>
      <c r="BD9" s="28">
        <f>IF(('Activity data'!BD10*EF!$H9)*kgtoGg=0,"NO",('Activity data'!BD10*EF!$H9)*kgtoGg)</f>
        <v>62.762413584607927</v>
      </c>
      <c r="BE9" s="28">
        <f>IF(('Activity data'!BE10*EF!$H9)*kgtoGg=0,"NO",('Activity data'!BE10*EF!$H9)*kgtoGg)</f>
        <v>65.029727453243709</v>
      </c>
      <c r="BF9" s="28">
        <f>IF(('Activity data'!BF10*EF!$H9)*kgtoGg=0,"NO",('Activity data'!BF10*EF!$H9)*kgtoGg)</f>
        <v>67.434514943774928</v>
      </c>
      <c r="BG9" s="28">
        <f>IF(('Activity data'!BG10*EF!$H9)*kgtoGg=0,"NO",('Activity data'!BG10*EF!$H9)*kgtoGg)</f>
        <v>69.868756283035438</v>
      </c>
      <c r="BH9" s="28">
        <f>IF(('Activity data'!BH10*EF!$H9)*kgtoGg=0,"NO",('Activity data'!BH10*EF!$H9)*kgtoGg)</f>
        <v>72.408394843855831</v>
      </c>
      <c r="BI9" s="28">
        <f>IF(('Activity data'!BI10*EF!$H9)*kgtoGg=0,"NO",('Activity data'!BI10*EF!$H9)*kgtoGg)</f>
        <v>75.058538254291548</v>
      </c>
      <c r="BJ9" s="28">
        <f>IF(('Activity data'!BJ10*EF!$H9)*kgtoGg=0,"NO",('Activity data'!BJ10*EF!$H9)*kgtoGg)</f>
        <v>77.821486009058603</v>
      </c>
      <c r="BK9" s="28">
        <f>IF(('Activity data'!BK10*EF!$H9)*kgtoGg=0,"NO",('Activity data'!BK10*EF!$H9)*kgtoGg)</f>
        <v>80.719925082542986</v>
      </c>
      <c r="BL9" s="28">
        <f>IF(('Activity data'!BL10*EF!$H9)*kgtoGg=0,"NO",('Activity data'!BL10*EF!$H9)*kgtoGg)</f>
        <v>83.497271145917097</v>
      </c>
      <c r="BM9" s="28">
        <f>IF(('Activity data'!BM10*EF!$H9)*kgtoGg=0,"NO",('Activity data'!BM10*EF!$H9)*kgtoGg)</f>
        <v>86.400303068931365</v>
      </c>
      <c r="BN9" s="28">
        <f>IF(('Activity data'!BN10*EF!$H9)*kgtoGg=0,"NO",('Activity data'!BN10*EF!$H9)*kgtoGg)</f>
        <v>89.450843568721865</v>
      </c>
      <c r="BO9" s="28">
        <f>IF(('Activity data'!BO10*EF!$H9)*kgtoGg=0,"NO",('Activity data'!BO10*EF!$H9)*kgtoGg)</f>
        <v>92.661746290361847</v>
      </c>
      <c r="BP9" s="28">
        <f>IF(('Activity data'!BP10*EF!$H9)*kgtoGg=0,"NO",('Activity data'!BP10*EF!$H9)*kgtoGg)</f>
        <v>96.09839917743237</v>
      </c>
    </row>
    <row r="10" spans="1:74" x14ac:dyDescent="0.25">
      <c r="A10" t="str">
        <f t="shared" si="1"/>
        <v>3A Livestock</v>
      </c>
      <c r="B10" t="str">
        <f t="shared" si="2"/>
        <v>3A1 Enteric fermentation (CH4)</v>
      </c>
      <c r="C10" t="str">
        <f>EF!C10</f>
        <v>3A1c Sheep</v>
      </c>
      <c r="D10" t="str">
        <f>EF!D10</f>
        <v>Commercial</v>
      </c>
      <c r="E10" t="str">
        <f t="shared" si="3"/>
        <v>Enteric fermentation Emissions</v>
      </c>
      <c r="F10" t="str">
        <f t="shared" si="4"/>
        <v>CH4</v>
      </c>
      <c r="G10" t="str">
        <f t="shared" si="5"/>
        <v>Gg CH4</v>
      </c>
      <c r="H10" s="28">
        <f>IF(('Activity data'!H11*EF!$H10)*kgtoGg=0,"NO",('Activity data'!H11*EF!$H10)*kgtoGg)</f>
        <v>209.00064638385984</v>
      </c>
      <c r="I10" s="28">
        <f>IF(('Activity data'!I11*EF!$H10)*kgtoGg=0,"NO",('Activity data'!I11*EF!$H10)*kgtoGg)</f>
        <v>199.60297230115387</v>
      </c>
      <c r="J10" s="28">
        <f>IF(('Activity data'!J11*EF!$H10)*kgtoGg=0,"NO",('Activity data'!J11*EF!$H10)*kgtoGg)</f>
        <v>191.35560698969897</v>
      </c>
      <c r="K10" s="28">
        <f>IF(('Activity data'!K11*EF!$H10)*kgtoGg=0,"NO",('Activity data'!K11*EF!$H10)*kgtoGg)</f>
        <v>178.96015853342948</v>
      </c>
      <c r="L10" s="28">
        <f>IF(('Activity data'!L11*EF!$H10)*kgtoGg=0,"NO",('Activity data'!L11*EF!$H10)*kgtoGg)</f>
        <v>180.22201239765039</v>
      </c>
      <c r="M10" s="28">
        <f>IF(('Activity data'!M11*EF!$H10)*kgtoGg=0,"NO",('Activity data'!M11*EF!$H10)*kgtoGg)</f>
        <v>177.64253212272365</v>
      </c>
      <c r="N10" s="28">
        <f>IF(('Activity data'!N11*EF!$H10)*kgtoGg=0,"NO",('Activity data'!N11*EF!$H10)*kgtoGg)</f>
        <v>178.23511542912576</v>
      </c>
      <c r="O10" s="28">
        <f>IF(('Activity data'!O11*EF!$H10)*kgtoGg=0,"NO",('Activity data'!O11*EF!$H10)*kgtoGg)</f>
        <v>174.35892344842506</v>
      </c>
      <c r="P10" s="28">
        <f>IF(('Activity data'!P11*EF!$H10)*kgtoGg=0,"NO",('Activity data'!P11*EF!$H10)*kgtoGg)</f>
        <v>174.83996166185733</v>
      </c>
      <c r="Q10" s="28">
        <f>IF(('Activity data'!Q11*EF!$H10)*kgtoGg=0,"NO",('Activity data'!Q11*EF!$H10)*kgtoGg)</f>
        <v>170.54547558251988</v>
      </c>
      <c r="R10" s="28">
        <f>IF(('Activity data'!R11*EF!$H10)*kgtoGg=0,"NO",('Activity data'!R11*EF!$H10)*kgtoGg)</f>
        <v>164.4314101741125</v>
      </c>
      <c r="S10" s="28">
        <f>IF(('Activity data'!S11*EF!$H10)*kgtoGg=0,"NO",('Activity data'!S11*EF!$H10)*kgtoGg)</f>
        <v>160.33212800747219</v>
      </c>
      <c r="T10" s="28">
        <f>IF(('Activity data'!T11*EF!$H10)*kgtoGg=0,"NO",('Activity data'!T11*EF!$H10)*kgtoGg)</f>
        <v>157.65504577619689</v>
      </c>
      <c r="U10" s="28">
        <f>IF(('Activity data'!U11*EF!$H10)*kgtoGg=0,"NO",('Activity data'!U11*EF!$H10)*kgtoGg)</f>
        <v>158.20579967273531</v>
      </c>
      <c r="V10" s="28">
        <f>IF(('Activity data'!V11*EF!$H10)*kgtoGg=0,"NO",('Activity data'!V11*EF!$H10)*kgtoGg)</f>
        <v>155.38928607524772</v>
      </c>
      <c r="W10" s="28">
        <f>IF(('Activity data'!W11*EF!$H10)*kgtoGg=0,"NO",('Activity data'!W11*EF!$H10)*kgtoGg)</f>
        <v>155.01979295478526</v>
      </c>
      <c r="X10" s="28">
        <f>IF(('Activity data'!X11*EF!$H10)*kgtoGg=0,"NO",('Activity data'!X11*EF!$H10)*kgtoGg)</f>
        <v>152.99106657639697</v>
      </c>
      <c r="Y10" s="28">
        <f>IF(('Activity data'!Y11*EF!$H10)*kgtoGg=0,"NO",('Activity data'!Y11*EF!$H10)*kgtoGg)</f>
        <v>152.84466364187409</v>
      </c>
      <c r="Z10" s="28">
        <f>IF(('Activity data'!Z11*EF!$H10)*kgtoGg=0,"NO",('Activity data'!Z11*EF!$H10)*kgtoGg)</f>
        <v>153.3396449919276</v>
      </c>
      <c r="AA10" s="28">
        <f>IF(('Activity data'!AA11*EF!$H10)*kgtoGg=0,"NO",('Activity data'!AA11*EF!$H10)*kgtoGg)</f>
        <v>152.79586266369981</v>
      </c>
      <c r="AB10" s="28">
        <f>IF(('Activity data'!AB11*EF!$H10)*kgtoGg=0,"NO",('Activity data'!AB11*EF!$H10)*kgtoGg)</f>
        <v>149.83991769999997</v>
      </c>
      <c r="AC10" s="28">
        <f>IF(('Activity data'!AC11*EF!$H10)*kgtoGg=0,"NO",('Activity data'!AC11*EF!$H10)*kgtoGg)</f>
        <v>148.66869422381706</v>
      </c>
      <c r="AD10" s="28">
        <f>IF(('Activity data'!AD11*EF!$H10)*kgtoGg=0,"NO",('Activity data'!AD11*EF!$H10)*kgtoGg)</f>
        <v>132.58485170164658</v>
      </c>
      <c r="AE10" s="28">
        <f>IF(('Activity data'!AE11*EF!$H10)*kgtoGg=0,"NO",('Activity data'!AE11*EF!$H10)*kgtoGg)</f>
        <v>132.65939935274341</v>
      </c>
      <c r="AF10" s="28">
        <f>IF(('Activity data'!AF11*EF!$H10)*kgtoGg=0,"NO",('Activity data'!AF11*EF!$H10)*kgtoGg)</f>
        <v>132.82228822295033</v>
      </c>
      <c r="AG10" s="28">
        <f>IF(('Activity data'!AG11*EF!$H10)*kgtoGg=0,"NO",('Activity data'!AG11*EF!$H10)*kgtoGg)</f>
        <v>133.06916568853646</v>
      </c>
      <c r="AH10" s="28">
        <f>IF(('Activity data'!AH11*EF!$H10)*kgtoGg=0,"NO",('Activity data'!AH11*EF!$H10)*kgtoGg)</f>
        <v>133.39757837437122</v>
      </c>
      <c r="AI10" s="28">
        <f>IF(('Activity data'!AI11*EF!$H10)*kgtoGg=0,"NO",('Activity data'!AI11*EF!$H10)*kgtoGg)</f>
        <v>133.81029351947262</v>
      </c>
      <c r="AJ10" s="28">
        <f>IF(('Activity data'!AJ11*EF!$H10)*kgtoGg=0,"NO",('Activity data'!AJ11*EF!$H10)*kgtoGg)</f>
        <v>134.27070471818453</v>
      </c>
      <c r="AK10" s="28">
        <f>IF(('Activity data'!AK11*EF!$H10)*kgtoGg=0,"NO",('Activity data'!AK11*EF!$H10)*kgtoGg)</f>
        <v>134.77754532715662</v>
      </c>
      <c r="AL10" s="28">
        <f>IF(('Activity data'!AL11*EF!$H10)*kgtoGg=0,"NO",('Activity data'!AL11*EF!$H10)*kgtoGg)</f>
        <v>135.24480816517456</v>
      </c>
      <c r="AM10" s="28">
        <f>IF(('Activity data'!AM11*EF!$H10)*kgtoGg=0,"NO",('Activity data'!AM11*EF!$H10)*kgtoGg)</f>
        <v>135.5957795076292</v>
      </c>
      <c r="AN10" s="28">
        <f>IF(('Activity data'!AN11*EF!$H10)*kgtoGg=0,"NO",('Activity data'!AN11*EF!$H10)*kgtoGg)</f>
        <v>135.90009797213418</v>
      </c>
      <c r="AO10" s="28">
        <f>IF(('Activity data'!AO11*EF!$H10)*kgtoGg=0,"NO",('Activity data'!AO11*EF!$H10)*kgtoGg)</f>
        <v>136.15588992025093</v>
      </c>
      <c r="AP10" s="28">
        <f>IF(('Activity data'!AP11*EF!$H10)*kgtoGg=0,"NO",('Activity data'!AP11*EF!$H10)*kgtoGg)</f>
        <v>136.41272351180814</v>
      </c>
      <c r="AQ10" s="28">
        <f>IF(('Activity data'!AQ11*EF!$H10)*kgtoGg=0,"NO",('Activity data'!AQ11*EF!$H10)*kgtoGg)</f>
        <v>136.66696178950397</v>
      </c>
      <c r="AR10" s="28">
        <f>IF(('Activity data'!AR11*EF!$H10)*kgtoGg=0,"NO",('Activity data'!AR11*EF!$H10)*kgtoGg)</f>
        <v>136.91997317459035</v>
      </c>
      <c r="AS10" s="28">
        <f>IF(('Activity data'!AS11*EF!$H10)*kgtoGg=0,"NO",('Activity data'!AS11*EF!$H10)*kgtoGg)</f>
        <v>137.16778923814707</v>
      </c>
      <c r="AT10" s="28">
        <f>IF(('Activity data'!AT11*EF!$H10)*kgtoGg=0,"NO",('Activity data'!AT11*EF!$H10)*kgtoGg)</f>
        <v>137.40922313474789</v>
      </c>
      <c r="AU10" s="28">
        <f>IF(('Activity data'!AU11*EF!$H10)*kgtoGg=0,"NO",('Activity data'!AU11*EF!$H10)*kgtoGg)</f>
        <v>137.64880396424496</v>
      </c>
      <c r="AV10" s="28">
        <f>IF(('Activity data'!AV11*EF!$H10)*kgtoGg=0,"NO",('Activity data'!AV11*EF!$H10)*kgtoGg)</f>
        <v>137.88043281384344</v>
      </c>
      <c r="AW10" s="28">
        <f>IF(('Activity data'!AW11*EF!$H10)*kgtoGg=0,"NO",('Activity data'!AW11*EF!$H10)*kgtoGg)</f>
        <v>138.11251627892062</v>
      </c>
      <c r="AX10" s="28">
        <f>IF(('Activity data'!AX11*EF!$H10)*kgtoGg=0,"NO",('Activity data'!AX11*EF!$H10)*kgtoGg)</f>
        <v>138.33883920144063</v>
      </c>
      <c r="AY10" s="28">
        <f>IF(('Activity data'!AY11*EF!$H10)*kgtoGg=0,"NO",('Activity data'!AY11*EF!$H10)*kgtoGg)</f>
        <v>138.55851463504649</v>
      </c>
      <c r="AZ10" s="28">
        <f>IF(('Activity data'!AZ11*EF!$H10)*kgtoGg=0,"NO",('Activity data'!AZ11*EF!$H10)*kgtoGg)</f>
        <v>138.77048498675254</v>
      </c>
      <c r="BA10" s="28">
        <f>IF(('Activity data'!BA11*EF!$H10)*kgtoGg=0,"NO",('Activity data'!BA11*EF!$H10)*kgtoGg)</f>
        <v>138.97653552094224</v>
      </c>
      <c r="BB10" s="28">
        <f>IF(('Activity data'!BB11*EF!$H10)*kgtoGg=0,"NO",('Activity data'!BB11*EF!$H10)*kgtoGg)</f>
        <v>139.17584119815265</v>
      </c>
      <c r="BC10" s="28">
        <f>IF(('Activity data'!BC11*EF!$H10)*kgtoGg=0,"NO",('Activity data'!BC11*EF!$H10)*kgtoGg)</f>
        <v>139.36707287713321</v>
      </c>
      <c r="BD10" s="28">
        <f>IF(('Activity data'!BD11*EF!$H10)*kgtoGg=0,"NO",('Activity data'!BD11*EF!$H10)*kgtoGg)</f>
        <v>139.54807825164715</v>
      </c>
      <c r="BE10" s="28">
        <f>IF(('Activity data'!BE11*EF!$H10)*kgtoGg=0,"NO",('Activity data'!BE11*EF!$H10)*kgtoGg)</f>
        <v>139.7215100621454</v>
      </c>
      <c r="BF10" s="28">
        <f>IF(('Activity data'!BF11*EF!$H10)*kgtoGg=0,"NO",('Activity data'!BF11*EF!$H10)*kgtoGg)</f>
        <v>139.88755443163134</v>
      </c>
      <c r="BG10" s="28">
        <f>IF(('Activity data'!BG11*EF!$H10)*kgtoGg=0,"NO",('Activity data'!BG11*EF!$H10)*kgtoGg)</f>
        <v>140.0451959798911</v>
      </c>
      <c r="BH10" s="28">
        <f>IF(('Activity data'!BH11*EF!$H10)*kgtoGg=0,"NO",('Activity data'!BH11*EF!$H10)*kgtoGg)</f>
        <v>140.19372315974948</v>
      </c>
      <c r="BI10" s="28">
        <f>IF(('Activity data'!BI11*EF!$H10)*kgtoGg=0,"NO",('Activity data'!BI11*EF!$H10)*kgtoGg)</f>
        <v>140.33263778828447</v>
      </c>
      <c r="BJ10" s="28">
        <f>IF(('Activity data'!BJ11*EF!$H10)*kgtoGg=0,"NO",('Activity data'!BJ11*EF!$H10)*kgtoGg)</f>
        <v>140.46150540764023</v>
      </c>
      <c r="BK10" s="28">
        <f>IF(('Activity data'!BK11*EF!$H10)*kgtoGg=0,"NO",('Activity data'!BK11*EF!$H10)*kgtoGg)</f>
        <v>140.58016890629168</v>
      </c>
      <c r="BL10" s="28">
        <f>IF(('Activity data'!BL11*EF!$H10)*kgtoGg=0,"NO",('Activity data'!BL11*EF!$H10)*kgtoGg)</f>
        <v>140.6840228115052</v>
      </c>
      <c r="BM10" s="28">
        <f>IF(('Activity data'!BM11*EF!$H10)*kgtoGg=0,"NO",('Activity data'!BM11*EF!$H10)*kgtoGg)</f>
        <v>140.77659737758032</v>
      </c>
      <c r="BN10" s="28">
        <f>IF(('Activity data'!BN11*EF!$H10)*kgtoGg=0,"NO",('Activity data'!BN11*EF!$H10)*kgtoGg)</f>
        <v>140.85779030740287</v>
      </c>
      <c r="BO10" s="28">
        <f>IF(('Activity data'!BO11*EF!$H10)*kgtoGg=0,"NO",('Activity data'!BO11*EF!$H10)*kgtoGg)</f>
        <v>140.92710956353204</v>
      </c>
      <c r="BP10" s="28">
        <f>IF(('Activity data'!BP11*EF!$H10)*kgtoGg=0,"NO",('Activity data'!BP11*EF!$H10)*kgtoGg)</f>
        <v>140.98516339993898</v>
      </c>
    </row>
    <row r="11" spans="1:74" x14ac:dyDescent="0.25">
      <c r="A11" t="str">
        <f t="shared" si="1"/>
        <v>3A Livestock</v>
      </c>
      <c r="B11" t="str">
        <f t="shared" si="2"/>
        <v>3A1 Enteric fermentation (CH4)</v>
      </c>
      <c r="C11" t="str">
        <f>EF!C11</f>
        <v>3A1c Sheep</v>
      </c>
      <c r="D11" t="str">
        <f>EF!D11</f>
        <v>Subsistence</v>
      </c>
      <c r="E11" t="str">
        <f t="shared" si="3"/>
        <v>Enteric fermentation Emissions</v>
      </c>
      <c r="F11" t="str">
        <f t="shared" si="4"/>
        <v>CH4</v>
      </c>
      <c r="G11" t="str">
        <f t="shared" si="5"/>
        <v>Gg CH4</v>
      </c>
      <c r="H11" s="28">
        <f>IF(('Activity data'!H12*EF!$H11)*kgtoGg=0,"NO",('Activity data'!H12*EF!$H11)*kgtoGg)</f>
        <v>21.154764000453479</v>
      </c>
      <c r="I11" s="28">
        <f>IF(('Activity data'!I12*EF!$H11)*kgtoGg=0,"NO",('Activity data'!I12*EF!$H11)*kgtoGg)</f>
        <v>20.20354408409165</v>
      </c>
      <c r="J11" s="28">
        <f>IF(('Activity data'!J12*EF!$H11)*kgtoGg=0,"NO",('Activity data'!J12*EF!$H11)*kgtoGg)</f>
        <v>19.368756872625738</v>
      </c>
      <c r="K11" s="28">
        <f>IF(('Activity data'!K12*EF!$H11)*kgtoGg=0,"NO",('Activity data'!K12*EF!$H11)*kgtoGg)</f>
        <v>18.114106270777572</v>
      </c>
      <c r="L11" s="28">
        <f>IF(('Activity data'!L12*EF!$H11)*kgtoGg=0,"NO",('Activity data'!L12*EF!$H11)*kgtoGg)</f>
        <v>18.241829419784612</v>
      </c>
      <c r="M11" s="28">
        <f>IF(('Activity data'!M12*EF!$H11)*kgtoGg=0,"NO",('Activity data'!M12*EF!$H11)*kgtoGg)</f>
        <v>17.98073789971497</v>
      </c>
      <c r="N11" s="28">
        <f>IF(('Activity data'!N12*EF!$H11)*kgtoGg=0,"NO",('Activity data'!N12*EF!$H11)*kgtoGg)</f>
        <v>18.040718384055292</v>
      </c>
      <c r="O11" s="28">
        <f>IF(('Activity data'!O12*EF!$H11)*kgtoGg=0,"NO",('Activity data'!O12*EF!$H11)*kgtoGg)</f>
        <v>17.648375451193886</v>
      </c>
      <c r="P11" s="28">
        <f>IF(('Activity data'!P12*EF!$H11)*kgtoGg=0,"NO",('Activity data'!P12*EF!$H11)*kgtoGg)</f>
        <v>17.697065491423142</v>
      </c>
      <c r="Q11" s="28">
        <f>IF(('Activity data'!Q12*EF!$H11)*kgtoGg=0,"NO",('Activity data'!Q12*EF!$H11)*kgtoGg)</f>
        <v>17.26238339314504</v>
      </c>
      <c r="R11" s="28">
        <f>IF(('Activity data'!R12*EF!$H11)*kgtoGg=0,"NO",('Activity data'!R12*EF!$H11)*kgtoGg)</f>
        <v>16.643525925304292</v>
      </c>
      <c r="S11" s="28">
        <f>IF(('Activity data'!S12*EF!$H11)*kgtoGg=0,"NO",('Activity data'!S12*EF!$H11)*kgtoGg)</f>
        <v>16.228602104220641</v>
      </c>
      <c r="T11" s="28">
        <f>IF(('Activity data'!T12*EF!$H11)*kgtoGg=0,"NO",('Activity data'!T12*EF!$H11)*kgtoGg)</f>
        <v>15.957631445553769</v>
      </c>
      <c r="U11" s="28">
        <f>IF(('Activity data'!U12*EF!$H11)*kgtoGg=0,"NO",('Activity data'!U12*EF!$H11)*kgtoGg)</f>
        <v>16.013378013352426</v>
      </c>
      <c r="V11" s="28">
        <f>IF(('Activity data'!V12*EF!$H11)*kgtoGg=0,"NO",('Activity data'!V12*EF!$H11)*kgtoGg)</f>
        <v>15.728294299546651</v>
      </c>
      <c r="W11" s="28">
        <f>IF(('Activity data'!W12*EF!$H11)*kgtoGg=0,"NO",('Activity data'!W12*EF!$H11)*kgtoGg)</f>
        <v>15.690894703428569</v>
      </c>
      <c r="X11" s="28">
        <f>IF(('Activity data'!X12*EF!$H11)*kgtoGg=0,"NO",('Activity data'!X12*EF!$H11)*kgtoGg)</f>
        <v>15.485549751157579</v>
      </c>
      <c r="Y11" s="28">
        <f>IF(('Activity data'!Y12*EF!$H11)*kgtoGg=0,"NO",('Activity data'!Y12*EF!$H11)*kgtoGg)</f>
        <v>15.470731043261734</v>
      </c>
      <c r="Z11" s="28">
        <f>IF(('Activity data'!Z12*EF!$H11)*kgtoGg=0,"NO",('Activity data'!Z12*EF!$H11)*kgtoGg)</f>
        <v>15.520832389004827</v>
      </c>
      <c r="AA11" s="28">
        <f>IF(('Activity data'!AA12*EF!$H11)*kgtoGg=0,"NO",('Activity data'!AA12*EF!$H11)*kgtoGg)</f>
        <v>15.465791473963119</v>
      </c>
      <c r="AB11" s="28">
        <f>IF(('Activity data'!AB12*EF!$H11)*kgtoGg=0,"NO",('Activity data'!AB12*EF!$H11)*kgtoGg)</f>
        <v>15.166594705018449</v>
      </c>
      <c r="AC11" s="28">
        <f>IF(('Activity data'!AC12*EF!$H11)*kgtoGg=0,"NO",('Activity data'!AC12*EF!$H11)*kgtoGg)</f>
        <v>15.048045041851694</v>
      </c>
      <c r="AD11" s="28">
        <f>IF(('Activity data'!AD12*EF!$H11)*kgtoGg=0,"NO",('Activity data'!AD12*EF!$H11)*kgtoGg)</f>
        <v>14.368726344935304</v>
      </c>
      <c r="AE11" s="28">
        <f>IF(('Activity data'!AE12*EF!$H11)*kgtoGg=0,"NO",('Activity data'!AE12*EF!$H11)*kgtoGg)</f>
        <v>14.376805358371005</v>
      </c>
      <c r="AF11" s="28">
        <f>IF(('Activity data'!AF12*EF!$H11)*kgtoGg=0,"NO",('Activity data'!AF12*EF!$H11)*kgtoGg)</f>
        <v>14.394458246846577</v>
      </c>
      <c r="AG11" s="28">
        <f>IF(('Activity data'!AG12*EF!$H11)*kgtoGg=0,"NO",('Activity data'!AG12*EF!$H11)*kgtoGg)</f>
        <v>14.421213299917952</v>
      </c>
      <c r="AH11" s="28">
        <f>IF(('Activity data'!AH12*EF!$H11)*kgtoGg=0,"NO",('Activity data'!AH12*EF!$H11)*kgtoGg)</f>
        <v>14.456804635959747</v>
      </c>
      <c r="AI11" s="28">
        <f>IF(('Activity data'!AI12*EF!$H11)*kgtoGg=0,"NO",('Activity data'!AI12*EF!$H11)*kgtoGg)</f>
        <v>14.501532151224589</v>
      </c>
      <c r="AJ11" s="28">
        <f>IF(('Activity data'!AJ12*EF!$H11)*kgtoGg=0,"NO",('Activity data'!AJ12*EF!$H11)*kgtoGg)</f>
        <v>14.551428669835344</v>
      </c>
      <c r="AK11" s="28">
        <f>IF(('Activity data'!AK12*EF!$H11)*kgtoGg=0,"NO",('Activity data'!AK12*EF!$H11)*kgtoGg)</f>
        <v>14.606356920818406</v>
      </c>
      <c r="AL11" s="28">
        <f>IF(('Activity data'!AL12*EF!$H11)*kgtoGg=0,"NO",('Activity data'!AL12*EF!$H11)*kgtoGg)</f>
        <v>14.656995977727759</v>
      </c>
      <c r="AM11" s="28">
        <f>IF(('Activity data'!AM12*EF!$H11)*kgtoGg=0,"NO",('Activity data'!AM12*EF!$H11)*kgtoGg)</f>
        <v>14.69503208147507</v>
      </c>
      <c r="AN11" s="28">
        <f>IF(('Activity data'!AN12*EF!$H11)*kgtoGg=0,"NO",('Activity data'!AN12*EF!$H11)*kgtoGg)</f>
        <v>14.728012234803764</v>
      </c>
      <c r="AO11" s="28">
        <f>IF(('Activity data'!AO12*EF!$H11)*kgtoGg=0,"NO",('Activity data'!AO12*EF!$H11)*kgtoGg)</f>
        <v>14.755733384366145</v>
      </c>
      <c r="AP11" s="28">
        <f>IF(('Activity data'!AP12*EF!$H11)*kgtoGg=0,"NO",('Activity data'!AP12*EF!$H11)*kgtoGg)</f>
        <v>14.783567420803255</v>
      </c>
      <c r="AQ11" s="28">
        <f>IF(('Activity data'!AQ12*EF!$H11)*kgtoGg=0,"NO",('Activity data'!AQ12*EF!$H11)*kgtoGg)</f>
        <v>14.811120193173055</v>
      </c>
      <c r="AR11" s="28">
        <f>IF(('Activity data'!AR12*EF!$H11)*kgtoGg=0,"NO",('Activity data'!AR12*EF!$H11)*kgtoGg)</f>
        <v>14.838540002508736</v>
      </c>
      <c r="AS11" s="28">
        <f>IF(('Activity data'!AS12*EF!$H11)*kgtoGg=0,"NO",('Activity data'!AS12*EF!$H11)*kgtoGg)</f>
        <v>14.865396775024037</v>
      </c>
      <c r="AT11" s="28">
        <f>IF(('Activity data'!AT12*EF!$H11)*kgtoGg=0,"NO",('Activity data'!AT12*EF!$H11)*kgtoGg)</f>
        <v>14.891561887750907</v>
      </c>
      <c r="AU11" s="28">
        <f>IF(('Activity data'!AU12*EF!$H11)*kgtoGg=0,"NO",('Activity data'!AU12*EF!$H11)*kgtoGg)</f>
        <v>14.917526176524122</v>
      </c>
      <c r="AV11" s="28">
        <f>IF(('Activity data'!AV12*EF!$H11)*kgtoGg=0,"NO",('Activity data'!AV12*EF!$H11)*kgtoGg)</f>
        <v>14.942628678889646</v>
      </c>
      <c r="AW11" s="28">
        <f>IF(('Activity data'!AW12*EF!$H11)*kgtoGg=0,"NO",('Activity data'!AW12*EF!$H11)*kgtoGg)</f>
        <v>14.96778044966948</v>
      </c>
      <c r="AX11" s="28">
        <f>IF(('Activity data'!AX12*EF!$H11)*kgtoGg=0,"NO",('Activity data'!AX12*EF!$H11)*kgtoGg)</f>
        <v>14.992307928469197</v>
      </c>
      <c r="AY11" s="28">
        <f>IF(('Activity data'!AY12*EF!$H11)*kgtoGg=0,"NO",('Activity data'!AY12*EF!$H11)*kgtoGg)</f>
        <v>15.01611499352736</v>
      </c>
      <c r="AZ11" s="28">
        <f>IF(('Activity data'!AZ12*EF!$H11)*kgtoGg=0,"NO",('Activity data'!AZ12*EF!$H11)*kgtoGg)</f>
        <v>15.039087029456152</v>
      </c>
      <c r="BA11" s="28">
        <f>IF(('Activity data'!BA12*EF!$H11)*kgtoGg=0,"NO",('Activity data'!BA12*EF!$H11)*kgtoGg)</f>
        <v>15.061417512169683</v>
      </c>
      <c r="BB11" s="28">
        <f>IF(('Activity data'!BB12*EF!$H11)*kgtoGg=0,"NO",('Activity data'!BB12*EF!$H11)*kgtoGg)</f>
        <v>15.083017028992865</v>
      </c>
      <c r="BC11" s="28">
        <f>IF(('Activity data'!BC12*EF!$H11)*kgtoGg=0,"NO",('Activity data'!BC12*EF!$H11)*kgtoGg)</f>
        <v>15.103741535816141</v>
      </c>
      <c r="BD11" s="28">
        <f>IF(('Activity data'!BD12*EF!$H11)*kgtoGg=0,"NO",('Activity data'!BD12*EF!$H11)*kgtoGg)</f>
        <v>15.123357778999081</v>
      </c>
      <c r="BE11" s="28">
        <f>IF(('Activity data'!BE12*EF!$H11)*kgtoGg=0,"NO",('Activity data'!BE12*EF!$H11)*kgtoGg)</f>
        <v>15.142153246147647</v>
      </c>
      <c r="BF11" s="28">
        <f>IF(('Activity data'!BF12*EF!$H11)*kgtoGg=0,"NO",('Activity data'!BF12*EF!$H11)*kgtoGg)</f>
        <v>15.160148108121998</v>
      </c>
      <c r="BG11" s="28">
        <f>IF(('Activity data'!BG12*EF!$H11)*kgtoGg=0,"NO",('Activity data'!BG12*EF!$H11)*kgtoGg)</f>
        <v>15.177232324293493</v>
      </c>
      <c r="BH11" s="28">
        <f>IF(('Activity data'!BH12*EF!$H11)*kgtoGg=0,"NO",('Activity data'!BH12*EF!$H11)*kgtoGg)</f>
        <v>15.193328781579368</v>
      </c>
      <c r="BI11" s="28">
        <f>IF(('Activity data'!BI12*EF!$H11)*kgtoGg=0,"NO",('Activity data'!BI12*EF!$H11)*kgtoGg)</f>
        <v>15.208383489995223</v>
      </c>
      <c r="BJ11" s="28">
        <f>IF(('Activity data'!BJ12*EF!$H11)*kgtoGg=0,"NO",('Activity data'!BJ12*EF!$H11)*kgtoGg)</f>
        <v>15.222349365685252</v>
      </c>
      <c r="BK11" s="28">
        <f>IF(('Activity data'!BK12*EF!$H11)*kgtoGg=0,"NO",('Activity data'!BK12*EF!$H11)*kgtoGg)</f>
        <v>15.23520938187392</v>
      </c>
      <c r="BL11" s="28">
        <f>IF(('Activity data'!BL12*EF!$H11)*kgtoGg=0,"NO",('Activity data'!BL12*EF!$H11)*kgtoGg)</f>
        <v>15.246464425905826</v>
      </c>
      <c r="BM11" s="28">
        <f>IF(('Activity data'!BM12*EF!$H11)*kgtoGg=0,"NO",('Activity data'!BM12*EF!$H11)*kgtoGg)</f>
        <v>15.256497084911455</v>
      </c>
      <c r="BN11" s="28">
        <f>IF(('Activity data'!BN12*EF!$H11)*kgtoGg=0,"NO",('Activity data'!BN12*EF!$H11)*kgtoGg)</f>
        <v>15.265296272562161</v>
      </c>
      <c r="BO11" s="28">
        <f>IF(('Activity data'!BO12*EF!$H11)*kgtoGg=0,"NO",('Activity data'!BO12*EF!$H11)*kgtoGg)</f>
        <v>15.272808664882788</v>
      </c>
      <c r="BP11" s="28">
        <f>IF(('Activity data'!BP12*EF!$H11)*kgtoGg=0,"NO",('Activity data'!BP12*EF!$H11)*kgtoGg)</f>
        <v>15.279100180677384</v>
      </c>
    </row>
    <row r="12" spans="1:74" x14ac:dyDescent="0.25">
      <c r="A12" t="str">
        <f t="shared" si="1"/>
        <v>3A Livestock</v>
      </c>
      <c r="B12" t="str">
        <f t="shared" si="2"/>
        <v>3A1 Enteric fermentation (CH4)</v>
      </c>
      <c r="C12" t="str">
        <f>EF!C12</f>
        <v>3A1d Goats</v>
      </c>
      <c r="D12" t="str">
        <f>EF!D12</f>
        <v>Commercial</v>
      </c>
      <c r="E12" t="str">
        <f t="shared" si="3"/>
        <v>Enteric fermentation Emissions</v>
      </c>
      <c r="F12" t="str">
        <f t="shared" si="4"/>
        <v>CH4</v>
      </c>
      <c r="G12" t="str">
        <f t="shared" si="5"/>
        <v>Gg CH4</v>
      </c>
      <c r="H12" s="28">
        <f>IF(('Activity data'!H13*EF!$H12)*kgtoGg=0,"NO",('Activity data'!H13*EF!$H12)*kgtoGg)</f>
        <v>20.285563221215835</v>
      </c>
      <c r="I12" s="28">
        <f>IF(('Activity data'!I13*EF!$H12)*kgtoGg=0,"NO",('Activity data'!I13*EF!$H12)*kgtoGg)</f>
        <v>17.938171082062887</v>
      </c>
      <c r="J12" s="28">
        <f>IF(('Activity data'!J13*EF!$H12)*kgtoGg=0,"NO",('Activity data'!J13*EF!$H12)*kgtoGg)</f>
        <v>16.709629401758534</v>
      </c>
      <c r="K12" s="28">
        <f>IF(('Activity data'!K13*EF!$H12)*kgtoGg=0,"NO",('Activity data'!K13*EF!$H12)*kgtoGg)</f>
        <v>15.788223141530271</v>
      </c>
      <c r="L12" s="28">
        <f>IF(('Activity data'!L13*EF!$H12)*kgtoGg=0,"NO",('Activity data'!L13*EF!$H12)*kgtoGg)</f>
        <v>17.089892302805115</v>
      </c>
      <c r="M12" s="28">
        <f>IF(('Activity data'!M13*EF!$H12)*kgtoGg=0,"NO",('Activity data'!M13*EF!$H12)*kgtoGg)</f>
        <v>17.32390024191071</v>
      </c>
      <c r="N12" s="28">
        <f>IF(('Activity data'!N13*EF!$H12)*kgtoGg=0,"NO",('Activity data'!N13*EF!$H12)*kgtoGg)</f>
        <v>17.594471921501544</v>
      </c>
      <c r="O12" s="28">
        <f>IF(('Activity data'!O13*EF!$H12)*kgtoGg=0,"NO",('Activity data'!O13*EF!$H12)*kgtoGg)</f>
        <v>17.506718944336949</v>
      </c>
      <c r="P12" s="28">
        <f>IF(('Activity data'!P13*EF!$H12)*kgtoGg=0,"NO",('Activity data'!P13*EF!$H12)*kgtoGg)</f>
        <v>17.258085509037262</v>
      </c>
      <c r="Q12" s="28">
        <f>IF(('Activity data'!Q13*EF!$H12)*kgtoGg=0,"NO",('Activity data'!Q13*EF!$H12)*kgtoGg)</f>
        <v>17.002139325640524</v>
      </c>
      <c r="R12" s="28">
        <f>IF(('Activity data'!R13*EF!$H12)*kgtoGg=0,"NO",('Activity data'!R13*EF!$H12)*kgtoGg)</f>
        <v>17.221521768552012</v>
      </c>
      <c r="S12" s="28">
        <f>IF(('Activity data'!S13*EF!$H12)*kgtoGg=0,"NO",('Activity data'!S13*EF!$H12)*kgtoGg)</f>
        <v>17.748039631539594</v>
      </c>
      <c r="T12" s="28">
        <f>IF(('Activity data'!T13*EF!$H12)*kgtoGg=0,"NO",('Activity data'!T13*EF!$H12)*kgtoGg)</f>
        <v>16.205049783062112</v>
      </c>
      <c r="U12" s="28">
        <f>IF(('Activity data'!U13*EF!$H12)*kgtoGg=0,"NO",('Activity data'!U13*EF!$H12)*kgtoGg)</f>
        <v>15.795535889627324</v>
      </c>
      <c r="V12" s="28">
        <f>IF(('Activity data'!V13*EF!$H12)*kgtoGg=0,"NO",('Activity data'!V13*EF!$H12)*kgtoGg)</f>
        <v>15.824786882015525</v>
      </c>
      <c r="W12" s="28">
        <f>IF(('Activity data'!W13*EF!$H12)*kgtoGg=0,"NO",('Activity data'!W13*EF!$H12)*kgtoGg)</f>
        <v>15.620029935298131</v>
      </c>
      <c r="X12" s="28">
        <f>IF(('Activity data'!X13*EF!$H12)*kgtoGg=0,"NO",('Activity data'!X13*EF!$H12)*kgtoGg)</f>
        <v>15.949103599665367</v>
      </c>
      <c r="Y12" s="28">
        <f>IF(('Activity data'!Y13*EF!$H12)*kgtoGg=0,"NO",('Activity data'!Y13*EF!$H12)*kgtoGg)</f>
        <v>15.473774973357138</v>
      </c>
      <c r="Z12" s="28">
        <f>IF(('Activity data'!Z13*EF!$H12)*kgtoGg=0,"NO",('Activity data'!Z13*EF!$H12)*kgtoGg)</f>
        <v>15.459149477163042</v>
      </c>
      <c r="AA12" s="28">
        <f>IF(('Activity data'!AA13*EF!$H12)*kgtoGg=0,"NO",('Activity data'!AA13*EF!$H12)*kgtoGg)</f>
        <v>15.188577797572201</v>
      </c>
      <c r="AB12" s="28">
        <f>IF(('Activity data'!AB13*EF!$H12)*kgtoGg=0,"NO",('Activity data'!AB13*EF!$H12)*kgtoGg)</f>
        <v>15.005759095145958</v>
      </c>
      <c r="AC12" s="28">
        <f>IF(('Activity data'!AC13*EF!$H12)*kgtoGg=0,"NO",('Activity data'!AC13*EF!$H12)*kgtoGg)</f>
        <v>14.866816881302015</v>
      </c>
      <c r="AD12" s="28">
        <f>IF(('Activity data'!AD13*EF!$H12)*kgtoGg=0,"NO",('Activity data'!AD13*EF!$H12)*kgtoGg)</f>
        <v>15.122419555745664</v>
      </c>
      <c r="AE12" s="28">
        <f>IF(('Activity data'!AE13*EF!$H12)*kgtoGg=0,"NO",('Activity data'!AE13*EF!$H12)*kgtoGg)</f>
        <v>15.16225216469755</v>
      </c>
      <c r="AF12" s="28">
        <f>IF(('Activity data'!AF13*EF!$H12)*kgtoGg=0,"NO",('Activity data'!AF13*EF!$H12)*kgtoGg)</f>
        <v>15.214952107539535</v>
      </c>
      <c r="AG12" s="28">
        <f>IF(('Activity data'!AG13*EF!$H12)*kgtoGg=0,"NO",('Activity data'!AG13*EF!$H12)*kgtoGg)</f>
        <v>15.279974262604856</v>
      </c>
      <c r="AH12" s="28">
        <f>IF(('Activity data'!AH13*EF!$H12)*kgtoGg=0,"NO",('Activity data'!AH13*EF!$H12)*kgtoGg)</f>
        <v>15.357068004894243</v>
      </c>
      <c r="AI12" s="28">
        <f>IF(('Activity data'!AI13*EF!$H12)*kgtoGg=0,"NO",('Activity data'!AI13*EF!$H12)*kgtoGg)</f>
        <v>15.446875852464689</v>
      </c>
      <c r="AJ12" s="28">
        <f>IF(('Activity data'!AJ13*EF!$H12)*kgtoGg=0,"NO",('Activity data'!AJ13*EF!$H12)*kgtoGg)</f>
        <v>15.543001071655107</v>
      </c>
      <c r="AK12" s="28">
        <f>IF(('Activity data'!AK13*EF!$H12)*kgtoGg=0,"NO",('Activity data'!AK13*EF!$H12)*kgtoGg)</f>
        <v>15.64535747395324</v>
      </c>
      <c r="AL12" s="28">
        <f>IF(('Activity data'!AL13*EF!$H12)*kgtoGg=0,"NO",('Activity data'!AL13*EF!$H12)*kgtoGg)</f>
        <v>15.738853035213175</v>
      </c>
      <c r="AM12" s="28">
        <f>IF(('Activity data'!AM13*EF!$H12)*kgtoGg=0,"NO",('Activity data'!AM13*EF!$H12)*kgtoGg)</f>
        <v>15.810172488837676</v>
      </c>
      <c r="AN12" s="28">
        <f>IF(('Activity data'!AN13*EF!$H12)*kgtoGg=0,"NO",('Activity data'!AN13*EF!$H12)*kgtoGg)</f>
        <v>15.871859155886048</v>
      </c>
      <c r="AO12" s="28">
        <f>IF(('Activity data'!AO13*EF!$H12)*kgtoGg=0,"NO",('Activity data'!AO13*EF!$H12)*kgtoGg)</f>
        <v>15.923761176225337</v>
      </c>
      <c r="AP12" s="28">
        <f>IF(('Activity data'!AP13*EF!$H12)*kgtoGg=0,"NO",('Activity data'!AP13*EF!$H12)*kgtoGg)</f>
        <v>15.974718055959311</v>
      </c>
      <c r="AQ12" s="28">
        <f>IF(('Activity data'!AQ13*EF!$H12)*kgtoGg=0,"NO",('Activity data'!AQ13*EF!$H12)*kgtoGg)</f>
        <v>16.024180939777057</v>
      </c>
      <c r="AR12" s="28">
        <f>IF(('Activity data'!AR13*EF!$H12)*kgtoGg=0,"NO",('Activity data'!AR13*EF!$H12)*kgtoGg)</f>
        <v>16.072469241635126</v>
      </c>
      <c r="AS12" s="28">
        <f>IF(('Activity data'!AS13*EF!$H12)*kgtoGg=0,"NO",('Activity data'!AS13*EF!$H12)*kgtoGg)</f>
        <v>16.118963834325818</v>
      </c>
      <c r="AT12" s="28">
        <f>IF(('Activity data'!AT13*EF!$H12)*kgtoGg=0,"NO",('Activity data'!AT13*EF!$H12)*kgtoGg)</f>
        <v>16.163526865223719</v>
      </c>
      <c r="AU12" s="28">
        <f>IF(('Activity data'!AU13*EF!$H12)*kgtoGg=0,"NO",('Activity data'!AU13*EF!$H12)*kgtoGg)</f>
        <v>16.207005127454654</v>
      </c>
      <c r="AV12" s="28">
        <f>IF(('Activity data'!AV13*EF!$H12)*kgtoGg=0,"NO",('Activity data'!AV13*EF!$H12)*kgtoGg)</f>
        <v>16.248397190727001</v>
      </c>
      <c r="AW12" s="28">
        <f>IF(('Activity data'!AW13*EF!$H12)*kgtoGg=0,"NO",('Activity data'!AW13*EF!$H12)*kgtoGg)</f>
        <v>16.289205896658149</v>
      </c>
      <c r="AX12" s="28">
        <f>IF(('Activity data'!AX13*EF!$H12)*kgtoGg=0,"NO",('Activity data'!AX13*EF!$H12)*kgtoGg)</f>
        <v>16.328402439178106</v>
      </c>
      <c r="AY12" s="28">
        <f>IF(('Activity data'!AY13*EF!$H12)*kgtoGg=0,"NO",('Activity data'!AY13*EF!$H12)*kgtoGg)</f>
        <v>16.365877645030892</v>
      </c>
      <c r="AZ12" s="28">
        <f>IF(('Activity data'!AZ13*EF!$H12)*kgtoGg=0,"NO",('Activity data'!AZ13*EF!$H12)*kgtoGg)</f>
        <v>16.401490805697023</v>
      </c>
      <c r="BA12" s="28">
        <f>IF(('Activity data'!BA13*EF!$H12)*kgtoGg=0,"NO",('Activity data'!BA13*EF!$H12)*kgtoGg)</f>
        <v>16.435585636013336</v>
      </c>
      <c r="BB12" s="28">
        <f>IF(('Activity data'!BB13*EF!$H12)*kgtoGg=0,"NO",('Activity data'!BB13*EF!$H12)*kgtoGg)</f>
        <v>16.468055135534865</v>
      </c>
      <c r="BC12" s="28">
        <f>IF(('Activity data'!BC13*EF!$H12)*kgtoGg=0,"NO",('Activity data'!BC13*EF!$H12)*kgtoGg)</f>
        <v>16.498704983949807</v>
      </c>
      <c r="BD12" s="28">
        <f>IF(('Activity data'!BD13*EF!$H12)*kgtoGg=0,"NO",('Activity data'!BD13*EF!$H12)*kgtoGg)</f>
        <v>16.527200282397626</v>
      </c>
      <c r="BE12" s="28">
        <f>IF(('Activity data'!BE13*EF!$H12)*kgtoGg=0,"NO",('Activity data'!BE13*EF!$H12)*kgtoGg)</f>
        <v>16.554022341117651</v>
      </c>
      <c r="BF12" s="28">
        <f>IF(('Activity data'!BF13*EF!$H12)*kgtoGg=0,"NO",('Activity data'!BF13*EF!$H12)*kgtoGg)</f>
        <v>16.579229349154183</v>
      </c>
      <c r="BG12" s="28">
        <f>IF(('Activity data'!BG13*EF!$H12)*kgtoGg=0,"NO",('Activity data'!BG13*EF!$H12)*kgtoGg)</f>
        <v>16.602674354745627</v>
      </c>
      <c r="BH12" s="28">
        <f>IF(('Activity data'!BH13*EF!$H12)*kgtoGg=0,"NO",('Activity data'!BH13*EF!$H12)*kgtoGg)</f>
        <v>16.62426137037076</v>
      </c>
      <c r="BI12" s="28">
        <f>IF(('Activity data'!BI13*EF!$H12)*kgtoGg=0,"NO",('Activity data'!BI13*EF!$H12)*kgtoGg)</f>
        <v>16.643929774817678</v>
      </c>
      <c r="BJ12" s="28">
        <f>IF(('Activity data'!BJ13*EF!$H12)*kgtoGg=0,"NO",('Activity data'!BJ13*EF!$H12)*kgtoGg)</f>
        <v>16.661628921447754</v>
      </c>
      <c r="BK12" s="28">
        <f>IF(('Activity data'!BK13*EF!$H12)*kgtoGg=0,"NO",('Activity data'!BK13*EF!$H12)*kgtoGg)</f>
        <v>16.677354025593846</v>
      </c>
      <c r="BL12" s="28">
        <f>IF(('Activity data'!BL13*EF!$H12)*kgtoGg=0,"NO",('Activity data'!BL13*EF!$H12)*kgtoGg)</f>
        <v>16.690353305197181</v>
      </c>
      <c r="BM12" s="28">
        <f>IF(('Activity data'!BM13*EF!$H12)*kgtoGg=0,"NO",('Activity data'!BM13*EF!$H12)*kgtoGg)</f>
        <v>16.701241213759314</v>
      </c>
      <c r="BN12" s="28">
        <f>IF(('Activity data'!BN13*EF!$H12)*kgtoGg=0,"NO",('Activity data'!BN13*EF!$H12)*kgtoGg)</f>
        <v>16.710020080888953</v>
      </c>
      <c r="BO12" s="28">
        <f>IF(('Activity data'!BO13*EF!$H12)*kgtoGg=0,"NO",('Activity data'!BO13*EF!$H12)*kgtoGg)</f>
        <v>16.716626390867617</v>
      </c>
      <c r="BP12" s="28">
        <f>IF(('Activity data'!BP13*EF!$H12)*kgtoGg=0,"NO",('Activity data'!BP13*EF!$H12)*kgtoGg)</f>
        <v>16.721179654918192</v>
      </c>
    </row>
    <row r="13" spans="1:74" x14ac:dyDescent="0.25">
      <c r="A13" t="str">
        <f t="shared" si="1"/>
        <v>3A Livestock</v>
      </c>
      <c r="B13" t="str">
        <f t="shared" si="2"/>
        <v>3A1 Enteric fermentation (CH4)</v>
      </c>
      <c r="C13" t="str">
        <f>EF!C13</f>
        <v>3A1d Goats</v>
      </c>
      <c r="D13" t="str">
        <f>EF!D13</f>
        <v>Subsistence</v>
      </c>
      <c r="E13" t="str">
        <f t="shared" si="3"/>
        <v>Enteric fermentation Emissions</v>
      </c>
      <c r="F13" t="str">
        <f t="shared" si="4"/>
        <v>CH4</v>
      </c>
      <c r="G13" t="str">
        <f t="shared" si="5"/>
        <v>Gg CH4</v>
      </c>
      <c r="H13" s="28">
        <f>IF(('Activity data'!H14*EF!$H13)*kgtoGg=0,"NO",('Activity data'!H14*EF!$H13)*kgtoGg)</f>
        <v>30.547177763222784</v>
      </c>
      <c r="I13" s="28">
        <f>IF(('Activity data'!I14*EF!$H13)*kgtoGg=0,"NO",('Activity data'!I14*EF!$H13)*kgtoGg)</f>
        <v>27.012338519533348</v>
      </c>
      <c r="J13" s="28">
        <f>IF(('Activity data'!J14*EF!$H13)*kgtoGg=0,"NO",('Activity data'!J14*EF!$H13)*kgtoGg)</f>
        <v>25.162329195733268</v>
      </c>
      <c r="K13" s="28">
        <f>IF(('Activity data'!K14*EF!$H13)*kgtoGg=0,"NO",('Activity data'!K14*EF!$H13)*kgtoGg)</f>
        <v>23.774822202883204</v>
      </c>
      <c r="L13" s="28">
        <f>IF(('Activity data'!L14*EF!$H13)*kgtoGg=0,"NO",('Activity data'!L14*EF!$H13)*kgtoGg)</f>
        <v>25.734951129290433</v>
      </c>
      <c r="M13" s="28">
        <f>IF(('Activity data'!M14*EF!$H13)*kgtoGg=0,"NO",('Activity data'!M14*EF!$H13)*kgtoGg)</f>
        <v>26.087333857633308</v>
      </c>
      <c r="N13" s="28">
        <f>IF(('Activity data'!N14*EF!$H13)*kgtoGg=0,"NO",('Activity data'!N14*EF!$H13)*kgtoGg)</f>
        <v>26.494776387279753</v>
      </c>
      <c r="O13" s="28">
        <f>IF(('Activity data'!O14*EF!$H13)*kgtoGg=0,"NO",('Activity data'!O14*EF!$H13)*kgtoGg)</f>
        <v>26.362632864151173</v>
      </c>
      <c r="P13" s="28">
        <f>IF(('Activity data'!P14*EF!$H13)*kgtoGg=0,"NO",('Activity data'!P14*EF!$H13)*kgtoGg)</f>
        <v>25.988226215286872</v>
      </c>
      <c r="Q13" s="28">
        <f>IF(('Activity data'!Q14*EF!$H13)*kgtoGg=0,"NO",('Activity data'!Q14*EF!$H13)*kgtoGg)</f>
        <v>25.602807606161857</v>
      </c>
      <c r="R13" s="28">
        <f>IF(('Activity data'!R14*EF!$H13)*kgtoGg=0,"NO",('Activity data'!R14*EF!$H13)*kgtoGg)</f>
        <v>25.933166413983301</v>
      </c>
      <c r="S13" s="28">
        <f>IF(('Activity data'!S14*EF!$H13)*kgtoGg=0,"NO",('Activity data'!S14*EF!$H13)*kgtoGg)</f>
        <v>26.726027552754761</v>
      </c>
      <c r="T13" s="28">
        <f>IF(('Activity data'!T14*EF!$H13)*kgtoGg=0,"NO",('Activity data'!T14*EF!$H13)*kgtoGg)</f>
        <v>24.402503937743941</v>
      </c>
      <c r="U13" s="28">
        <f>IF(('Activity data'!U14*EF!$H13)*kgtoGg=0,"NO",('Activity data'!U14*EF!$H13)*kgtoGg)</f>
        <v>23.785834163143917</v>
      </c>
      <c r="V13" s="28">
        <f>IF(('Activity data'!V14*EF!$H13)*kgtoGg=0,"NO",('Activity data'!V14*EF!$H13)*kgtoGg)</f>
        <v>23.829882004186778</v>
      </c>
      <c r="W13" s="28">
        <f>IF(('Activity data'!W14*EF!$H13)*kgtoGg=0,"NO",('Activity data'!W14*EF!$H13)*kgtoGg)</f>
        <v>23.521547116886765</v>
      </c>
      <c r="X13" s="28">
        <f>IF(('Activity data'!X14*EF!$H13)*kgtoGg=0,"NO",('Activity data'!X14*EF!$H13)*kgtoGg)</f>
        <v>24.017085328618933</v>
      </c>
      <c r="Y13" s="28">
        <f>IF(('Activity data'!Y14*EF!$H13)*kgtoGg=0,"NO",('Activity data'!Y14*EF!$H13)*kgtoGg)</f>
        <v>23.301307911672467</v>
      </c>
      <c r="Z13" s="28">
        <f>IF(('Activity data'!Z14*EF!$H13)*kgtoGg=0,"NO",('Activity data'!Z14*EF!$H13)*kgtoGg)</f>
        <v>23.279283991151036</v>
      </c>
      <c r="AA13" s="28">
        <f>IF(('Activity data'!AA14*EF!$H13)*kgtoGg=0,"NO",('Activity data'!AA14*EF!$H13)*kgtoGg)</f>
        <v>22.871841461504591</v>
      </c>
      <c r="AB13" s="28">
        <f>IF(('Activity data'!AB14*EF!$H13)*kgtoGg=0,"NO",('Activity data'!AB14*EF!$H13)*kgtoGg)</f>
        <v>22.596542454986725</v>
      </c>
      <c r="AC13" s="28">
        <f>IF(('Activity data'!AC14*EF!$H13)*kgtoGg=0,"NO",('Activity data'!AC14*EF!$H13)*kgtoGg)</f>
        <v>22.38731521003314</v>
      </c>
      <c r="AD13" s="28">
        <f>IF(('Activity data'!AD14*EF!$H13)*kgtoGg=0,"NO",('Activity data'!AD14*EF!$H13)*kgtoGg)</f>
        <v>22.379629719632842</v>
      </c>
      <c r="AE13" s="28">
        <f>IF(('Activity data'!AE14*EF!$H13)*kgtoGg=0,"NO",('Activity data'!AE14*EF!$H13)*kgtoGg)</f>
        <v>22.438577894944604</v>
      </c>
      <c r="AF13" s="28">
        <f>IF(('Activity data'!AF14*EF!$H13)*kgtoGg=0,"NO",('Activity data'!AF14*EF!$H13)*kgtoGg)</f>
        <v>22.516568404512327</v>
      </c>
      <c r="AG13" s="28">
        <f>IF(('Activity data'!AG14*EF!$H13)*kgtoGg=0,"NO",('Activity data'!AG14*EF!$H13)*kgtoGg)</f>
        <v>22.612794524186508</v>
      </c>
      <c r="AH13" s="28">
        <f>IF(('Activity data'!AH14*EF!$H13)*kgtoGg=0,"NO",('Activity data'!AH14*EF!$H13)*kgtoGg)</f>
        <v>22.726885354676774</v>
      </c>
      <c r="AI13" s="28">
        <f>IF(('Activity data'!AI14*EF!$H13)*kgtoGg=0,"NO",('Activity data'!AI14*EF!$H13)*kgtoGg)</f>
        <v>22.859791756799456</v>
      </c>
      <c r="AJ13" s="28">
        <f>IF(('Activity data'!AJ14*EF!$H13)*kgtoGg=0,"NO",('Activity data'!AJ14*EF!$H13)*kgtoGg)</f>
        <v>23.002047220898302</v>
      </c>
      <c r="AK13" s="28">
        <f>IF(('Activity data'!AK14*EF!$H13)*kgtoGg=0,"NO",('Activity data'!AK14*EF!$H13)*kgtoGg)</f>
        <v>23.1535241968162</v>
      </c>
      <c r="AL13" s="28">
        <f>IF(('Activity data'!AL14*EF!$H13)*kgtoGg=0,"NO",('Activity data'!AL14*EF!$H13)*kgtoGg)</f>
        <v>23.29188803692217</v>
      </c>
      <c r="AM13" s="28">
        <f>IF(('Activity data'!AM14*EF!$H13)*kgtoGg=0,"NO",('Activity data'!AM14*EF!$H13)*kgtoGg)</f>
        <v>23.3974335125016</v>
      </c>
      <c r="AN13" s="28">
        <f>IF(('Activity data'!AN14*EF!$H13)*kgtoGg=0,"NO",('Activity data'!AN14*EF!$H13)*kgtoGg)</f>
        <v>23.488723452057357</v>
      </c>
      <c r="AO13" s="28">
        <f>IF(('Activity data'!AO14*EF!$H13)*kgtoGg=0,"NO",('Activity data'!AO14*EF!$H13)*kgtoGg)</f>
        <v>23.565533118170134</v>
      </c>
      <c r="AP13" s="28">
        <f>IF(('Activity data'!AP14*EF!$H13)*kgtoGg=0,"NO",('Activity data'!AP14*EF!$H13)*kgtoGg)</f>
        <v>23.640944073137391</v>
      </c>
      <c r="AQ13" s="28">
        <f>IF(('Activity data'!AQ14*EF!$H13)*kgtoGg=0,"NO",('Activity data'!AQ14*EF!$H13)*kgtoGg)</f>
        <v>23.714144067399275</v>
      </c>
      <c r="AR13" s="28">
        <f>IF(('Activity data'!AR14*EF!$H13)*kgtoGg=0,"NO",('Activity data'!AR14*EF!$H13)*kgtoGg)</f>
        <v>23.785605800846735</v>
      </c>
      <c r="AS13" s="28">
        <f>IF(('Activity data'!AS14*EF!$H13)*kgtoGg=0,"NO",('Activity data'!AS14*EF!$H13)*kgtoGg)</f>
        <v>23.854413028721027</v>
      </c>
      <c r="AT13" s="28">
        <f>IF(('Activity data'!AT14*EF!$H13)*kgtoGg=0,"NO",('Activity data'!AT14*EF!$H13)*kgtoGg)</f>
        <v>23.92036174327713</v>
      </c>
      <c r="AU13" s="28">
        <f>IF(('Activity data'!AU14*EF!$H13)*kgtoGg=0,"NO",('Activity data'!AU14*EF!$H13)*kgtoGg)</f>
        <v>23.984705111479201</v>
      </c>
      <c r="AV13" s="28">
        <f>IF(('Activity data'!AV14*EF!$H13)*kgtoGg=0,"NO",('Activity data'!AV14*EF!$H13)*kgtoGg)</f>
        <v>24.045961119220024</v>
      </c>
      <c r="AW13" s="28">
        <f>IF(('Activity data'!AW14*EF!$H13)*kgtoGg=0,"NO",('Activity data'!AW14*EF!$H13)*kgtoGg)</f>
        <v>24.106353817935322</v>
      </c>
      <c r="AX13" s="28">
        <f>IF(('Activity data'!AX14*EF!$H13)*kgtoGg=0,"NO",('Activity data'!AX14*EF!$H13)*kgtoGg)</f>
        <v>24.164360680174052</v>
      </c>
      <c r="AY13" s="28">
        <f>IF(('Activity data'!AY14*EF!$H13)*kgtoGg=0,"NO",('Activity data'!AY14*EF!$H13)*kgtoGg)</f>
        <v>24.219820140716116</v>
      </c>
      <c r="AZ13" s="28">
        <f>IF(('Activity data'!AZ14*EF!$H13)*kgtoGg=0,"NO",('Activity data'!AZ14*EF!$H13)*kgtoGg)</f>
        <v>24.272523965386213</v>
      </c>
      <c r="BA13" s="28">
        <f>IF(('Activity data'!BA14*EF!$H13)*kgtoGg=0,"NO",('Activity data'!BA14*EF!$H13)*kgtoGg)</f>
        <v>24.322980816885419</v>
      </c>
      <c r="BB13" s="28">
        <f>IF(('Activity data'!BB14*EF!$H13)*kgtoGg=0,"NO",('Activity data'!BB14*EF!$H13)*kgtoGg)</f>
        <v>24.371032345531013</v>
      </c>
      <c r="BC13" s="28">
        <f>IF(('Activity data'!BC14*EF!$H13)*kgtoGg=0,"NO",('Activity data'!BC14*EF!$H13)*kgtoGg)</f>
        <v>24.416390977194464</v>
      </c>
      <c r="BD13" s="28">
        <f>IF(('Activity data'!BD14*EF!$H13)*kgtoGg=0,"NO",('Activity data'!BD14*EF!$H13)*kgtoGg)</f>
        <v>24.458561095915336</v>
      </c>
      <c r="BE13" s="28">
        <f>IF(('Activity data'!BE14*EF!$H13)*kgtoGg=0,"NO",('Activity data'!BE14*EF!$H13)*kgtoGg)</f>
        <v>24.498254991476141</v>
      </c>
      <c r="BF13" s="28">
        <f>IF(('Activity data'!BF14*EF!$H13)*kgtoGg=0,"NO",('Activity data'!BF14*EF!$H13)*kgtoGg)</f>
        <v>24.535558777693542</v>
      </c>
      <c r="BG13" s="28">
        <f>IF(('Activity data'!BG14*EF!$H13)*kgtoGg=0,"NO",('Activity data'!BG14*EF!$H13)*kgtoGg)</f>
        <v>24.570254981034353</v>
      </c>
      <c r="BH13" s="28">
        <f>IF(('Activity data'!BH14*EF!$H13)*kgtoGg=0,"NO",('Activity data'!BH14*EF!$H13)*kgtoGg)</f>
        <v>24.602201549813348</v>
      </c>
      <c r="BI13" s="28">
        <f>IF(('Activity data'!BI14*EF!$H13)*kgtoGg=0,"NO",('Activity data'!BI14*EF!$H13)*kgtoGg)</f>
        <v>24.631308770855288</v>
      </c>
      <c r="BJ13" s="28">
        <f>IF(('Activity data'!BJ14*EF!$H13)*kgtoGg=0,"NO",('Activity data'!BJ14*EF!$H13)*kgtoGg)</f>
        <v>24.657501692330214</v>
      </c>
      <c r="BK13" s="28">
        <f>IF(('Activity data'!BK14*EF!$H13)*kgtoGg=0,"NO",('Activity data'!BK14*EF!$H13)*kgtoGg)</f>
        <v>24.680773233421565</v>
      </c>
      <c r="BL13" s="28">
        <f>IF(('Activity data'!BL14*EF!$H13)*kgtoGg=0,"NO",('Activity data'!BL14*EF!$H13)*kgtoGg)</f>
        <v>24.700010833798419</v>
      </c>
      <c r="BM13" s="28">
        <f>IF(('Activity data'!BM14*EF!$H13)*kgtoGg=0,"NO",('Activity data'!BM14*EF!$H13)*kgtoGg)</f>
        <v>24.716123821613866</v>
      </c>
      <c r="BN13" s="28">
        <f>IF(('Activity data'!BN14*EF!$H13)*kgtoGg=0,"NO",('Activity data'!BN14*EF!$H13)*kgtoGg)</f>
        <v>24.72911564444982</v>
      </c>
      <c r="BO13" s="28">
        <f>IF(('Activity data'!BO14*EF!$H13)*kgtoGg=0,"NO",('Activity data'!BO14*EF!$H13)*kgtoGg)</f>
        <v>24.738892305558217</v>
      </c>
      <c r="BP13" s="28">
        <f>IF(('Activity data'!BP14*EF!$H13)*kgtoGg=0,"NO",('Activity data'!BP14*EF!$H13)*kgtoGg)</f>
        <v>24.745630669289767</v>
      </c>
    </row>
    <row r="14" spans="1:74" x14ac:dyDescent="0.25">
      <c r="A14" t="str">
        <f t="shared" si="1"/>
        <v>3A Livestock</v>
      </c>
      <c r="B14" t="str">
        <f t="shared" si="2"/>
        <v>3A1 Enteric fermentation (CH4)</v>
      </c>
      <c r="C14" t="str">
        <f>EF!C14</f>
        <v>3A1f Horses</v>
      </c>
      <c r="D14" t="str">
        <f>EF!D14</f>
        <v>Horses</v>
      </c>
      <c r="E14" t="str">
        <f t="shared" si="3"/>
        <v>Enteric fermentation Emissions</v>
      </c>
      <c r="F14" t="str">
        <f t="shared" si="4"/>
        <v>CH4</v>
      </c>
      <c r="G14" t="str">
        <f t="shared" si="5"/>
        <v>Gg CH4</v>
      </c>
      <c r="H14" s="28">
        <f>IF(('Activity data'!H15*EF!$H14)*kgtoGg=0,"NO",('Activity data'!H15*EF!$H14)*kgtoGg)</f>
        <v>4.1399999999999997</v>
      </c>
      <c r="I14" s="28">
        <f>IF(('Activity data'!I15*EF!$H14)*kgtoGg=0,"NO",('Activity data'!I15*EF!$H14)*kgtoGg)</f>
        <v>4.1399999999999997</v>
      </c>
      <c r="J14" s="28">
        <f>IF(('Activity data'!J15*EF!$H14)*kgtoGg=0,"NO",('Activity data'!J15*EF!$H14)*kgtoGg)</f>
        <v>4.1399999999999997</v>
      </c>
      <c r="K14" s="28">
        <f>IF(('Activity data'!K15*EF!$H14)*kgtoGg=0,"NO",('Activity data'!K15*EF!$H14)*kgtoGg)</f>
        <v>4.2299999999999995</v>
      </c>
      <c r="L14" s="28">
        <f>IF(('Activity data'!L15*EF!$H14)*kgtoGg=0,"NO",('Activity data'!L15*EF!$H14)*kgtoGg)</f>
        <v>4.3199999999999994</v>
      </c>
      <c r="M14" s="28">
        <f>IF(('Activity data'!M15*EF!$H14)*kgtoGg=0,"NO",('Activity data'!M15*EF!$H14)*kgtoGg)</f>
        <v>4.41</v>
      </c>
      <c r="N14" s="28">
        <f>IF(('Activity data'!N15*EF!$H14)*kgtoGg=0,"NO",('Activity data'!N15*EF!$H14)*kgtoGg)</f>
        <v>4.5</v>
      </c>
      <c r="O14" s="28">
        <f>IF(('Activity data'!O15*EF!$H14)*kgtoGg=0,"NO",('Activity data'!O15*EF!$H14)*kgtoGg)</f>
        <v>4.59</v>
      </c>
      <c r="P14" s="28">
        <f>IF(('Activity data'!P15*EF!$H14)*kgtoGg=0,"NO",('Activity data'!P15*EF!$H14)*kgtoGg)</f>
        <v>4.68</v>
      </c>
      <c r="Q14" s="28">
        <f>IF(('Activity data'!Q15*EF!$H14)*kgtoGg=0,"NO",('Activity data'!Q15*EF!$H14)*kgtoGg)</f>
        <v>4.6440000000000001</v>
      </c>
      <c r="R14" s="28">
        <f>IF(('Activity data'!R15*EF!$H14)*kgtoGg=0,"NO",('Activity data'!R15*EF!$H14)*kgtoGg)</f>
        <v>4.8599999999999994</v>
      </c>
      <c r="S14" s="28">
        <f>IF(('Activity data'!S15*EF!$H14)*kgtoGg=0,"NO",('Activity data'!S15*EF!$H14)*kgtoGg)</f>
        <v>4.8599999999999994</v>
      </c>
      <c r="T14" s="28">
        <f>IF(('Activity data'!T15*EF!$H14)*kgtoGg=0,"NO",('Activity data'!T15*EF!$H14)*kgtoGg)</f>
        <v>4.8599999999999994</v>
      </c>
      <c r="U14" s="28">
        <f>IF(('Activity data'!U15*EF!$H14)*kgtoGg=0,"NO",('Activity data'!U15*EF!$H14)*kgtoGg)</f>
        <v>4.8599999999999994</v>
      </c>
      <c r="V14" s="28">
        <f>IF(('Activity data'!V15*EF!$H14)*kgtoGg=0,"NO",('Activity data'!V15*EF!$H14)*kgtoGg)</f>
        <v>4.8599999999999994</v>
      </c>
      <c r="W14" s="28">
        <f>IF(('Activity data'!W15*EF!$H14)*kgtoGg=0,"NO",('Activity data'!W15*EF!$H14)*kgtoGg)</f>
        <v>4.8599999999999994</v>
      </c>
      <c r="X14" s="28">
        <f>IF(('Activity data'!X15*EF!$H14)*kgtoGg=0,"NO",('Activity data'!X15*EF!$H14)*kgtoGg)</f>
        <v>5.04</v>
      </c>
      <c r="Y14" s="28">
        <f>IF(('Activity data'!Y15*EF!$H14)*kgtoGg=0,"NO",('Activity data'!Y15*EF!$H14)*kgtoGg)</f>
        <v>5.22</v>
      </c>
      <c r="Z14" s="28">
        <f>IF(('Activity data'!Z15*EF!$H14)*kgtoGg=0,"NO",('Activity data'!Z15*EF!$H14)*kgtoGg)</f>
        <v>5.3639999999999999</v>
      </c>
      <c r="AA14" s="28">
        <f>IF(('Activity data'!AA15*EF!$H14)*kgtoGg=0,"NO",('Activity data'!AA15*EF!$H14)*kgtoGg)</f>
        <v>5.3999999999999995</v>
      </c>
      <c r="AB14" s="28">
        <f>IF(('Activity data'!AB15*EF!$H14)*kgtoGg=0,"NO",('Activity data'!AB15*EF!$H14)*kgtoGg)</f>
        <v>5.3999999999999995</v>
      </c>
      <c r="AC14" s="28">
        <f>IF(('Activity data'!AC15*EF!$H14)*kgtoGg=0,"NO",('Activity data'!AC15*EF!$H14)*kgtoGg)</f>
        <v>5.4899999999999993</v>
      </c>
      <c r="AD14" s="28">
        <f>IF(('Activity data'!AD15*EF!$H14)*kgtoGg=0,"NO",('Activity data'!AD15*EF!$H14)*kgtoGg)</f>
        <v>5.5630037713503686</v>
      </c>
      <c r="AE14" s="28">
        <f>IF(('Activity data'!AE15*EF!$H14)*kgtoGg=0,"NO",('Activity data'!AE15*EF!$H14)*kgtoGg)</f>
        <v>5.6049800773717822</v>
      </c>
      <c r="AF14" s="28">
        <f>IF(('Activity data'!AF15*EF!$H14)*kgtoGg=0,"NO",('Activity data'!AF15*EF!$H14)*kgtoGg)</f>
        <v>5.6162501945043211</v>
      </c>
      <c r="AG14" s="28">
        <f>IF(('Activity data'!AG15*EF!$H14)*kgtoGg=0,"NO",('Activity data'!AG15*EF!$H14)*kgtoGg)</f>
        <v>5.6027304853702935</v>
      </c>
      <c r="AH14" s="28">
        <f>IF(('Activity data'!AH15*EF!$H14)*kgtoGg=0,"NO",('Activity data'!AH15*EF!$H14)*kgtoGg)</f>
        <v>5.5730376712867882</v>
      </c>
      <c r="AI14" s="28">
        <f>IF(('Activity data'!AI15*EF!$H14)*kgtoGg=0,"NO",('Activity data'!AI15*EF!$H14)*kgtoGg)</f>
        <v>5.5523988810142972</v>
      </c>
      <c r="AJ14" s="28">
        <f>IF(('Activity data'!AJ15*EF!$H14)*kgtoGg=0,"NO",('Activity data'!AJ15*EF!$H14)*kgtoGg)</f>
        <v>5.5377865620175086</v>
      </c>
      <c r="AK14" s="28">
        <f>IF(('Activity data'!AK15*EF!$H14)*kgtoGg=0,"NO",('Activity data'!AK15*EF!$H14)*kgtoGg)</f>
        <v>5.5213001177810783</v>
      </c>
      <c r="AL14" s="28">
        <f>IF(('Activity data'!AL15*EF!$H14)*kgtoGg=0,"NO",('Activity data'!AL15*EF!$H14)*kgtoGg)</f>
        <v>5.1820903536644458</v>
      </c>
      <c r="AM14" s="28">
        <f>IF(('Activity data'!AM15*EF!$H14)*kgtoGg=0,"NO",('Activity data'!AM15*EF!$H14)*kgtoGg)</f>
        <v>5.2124805704989461</v>
      </c>
      <c r="AN14" s="28">
        <f>IF(('Activity data'!AN15*EF!$H14)*kgtoGg=0,"NO",('Activity data'!AN15*EF!$H14)*kgtoGg)</f>
        <v>5.2452683284855466</v>
      </c>
      <c r="AO14" s="28">
        <f>IF(('Activity data'!AO15*EF!$H14)*kgtoGg=0,"NO",('Activity data'!AO15*EF!$H14)*kgtoGg)</f>
        <v>5.2870672503175307</v>
      </c>
      <c r="AP14" s="28">
        <f>IF(('Activity data'!AP15*EF!$H14)*kgtoGg=0,"NO",('Activity data'!AP15*EF!$H14)*kgtoGg)</f>
        <v>5.3335735740499919</v>
      </c>
      <c r="AQ14" s="28">
        <f>IF(('Activity data'!AQ15*EF!$H14)*kgtoGg=0,"NO",('Activity data'!AQ15*EF!$H14)*kgtoGg)</f>
        <v>5.3789826118727797</v>
      </c>
      <c r="AR14" s="28">
        <f>IF(('Activity data'!AR15*EF!$H14)*kgtoGg=0,"NO",('Activity data'!AR15*EF!$H14)*kgtoGg)</f>
        <v>5.4355815953788431</v>
      </c>
      <c r="AS14" s="28">
        <f>IF(('Activity data'!AS15*EF!$H14)*kgtoGg=0,"NO",('Activity data'!AS15*EF!$H14)*kgtoGg)</f>
        <v>5.4951011869968731</v>
      </c>
      <c r="AT14" s="28">
        <f>IF(('Activity data'!AT15*EF!$H14)*kgtoGg=0,"NO",('Activity data'!AT15*EF!$H14)*kgtoGg)</f>
        <v>5.5591893485431472</v>
      </c>
      <c r="AU14" s="28">
        <f>IF(('Activity data'!AU15*EF!$H14)*kgtoGg=0,"NO",('Activity data'!AU15*EF!$H14)*kgtoGg)</f>
        <v>5.6258067338602773</v>
      </c>
      <c r="AV14" s="28">
        <f>IF(('Activity data'!AV15*EF!$H14)*kgtoGg=0,"NO",('Activity data'!AV15*EF!$H14)*kgtoGg)</f>
        <v>5.677493706780016</v>
      </c>
      <c r="AW14" s="28">
        <f>IF(('Activity data'!AW15*EF!$H14)*kgtoGg=0,"NO",('Activity data'!AW15*EF!$H14)*kgtoGg)</f>
        <v>5.7494706664433313</v>
      </c>
      <c r="AX14" s="28">
        <f>IF(('Activity data'!AX15*EF!$H14)*kgtoGg=0,"NO",('Activity data'!AX15*EF!$H14)*kgtoGg)</f>
        <v>5.8231546522763278</v>
      </c>
      <c r="AY14" s="28">
        <f>IF(('Activity data'!AY15*EF!$H14)*kgtoGg=0,"NO",('Activity data'!AY15*EF!$H14)*kgtoGg)</f>
        <v>5.8992142816503366</v>
      </c>
      <c r="AZ14" s="28">
        <f>IF(('Activity data'!AZ15*EF!$H14)*kgtoGg=0,"NO",('Activity data'!AZ15*EF!$H14)*kgtoGg)</f>
        <v>5.9707050050786297</v>
      </c>
      <c r="BA14" s="28">
        <f>IF(('Activity data'!BA15*EF!$H14)*kgtoGg=0,"NO",('Activity data'!BA15*EF!$H14)*kgtoGg)</f>
        <v>6.047376400371812</v>
      </c>
      <c r="BB14" s="28">
        <f>IF(('Activity data'!BB15*EF!$H14)*kgtoGg=0,"NO",('Activity data'!BB15*EF!$H14)*kgtoGg)</f>
        <v>6.1293380612133879</v>
      </c>
      <c r="BC14" s="28">
        <f>IF(('Activity data'!BC15*EF!$H14)*kgtoGg=0,"NO",('Activity data'!BC15*EF!$H14)*kgtoGg)</f>
        <v>6.2147337329682752</v>
      </c>
      <c r="BD14" s="28">
        <f>IF(('Activity data'!BD15*EF!$H14)*kgtoGg=0,"NO",('Activity data'!BD15*EF!$H14)*kgtoGg)</f>
        <v>6.2986587586762068</v>
      </c>
      <c r="BE14" s="28">
        <f>IF(('Activity data'!BE15*EF!$H14)*kgtoGg=0,"NO",('Activity data'!BE15*EF!$H14)*kgtoGg)</f>
        <v>6.3860409326219782</v>
      </c>
      <c r="BF14" s="28">
        <f>IF(('Activity data'!BF15*EF!$H14)*kgtoGg=0,"NO",('Activity data'!BF15*EF!$H14)*kgtoGg)</f>
        <v>6.4798659255643356</v>
      </c>
      <c r="BG14" s="28">
        <f>IF(('Activity data'!BG15*EF!$H14)*kgtoGg=0,"NO",('Activity data'!BG15*EF!$H14)*kgtoGg)</f>
        <v>6.5787478625340619</v>
      </c>
      <c r="BH14" s="28">
        <f>IF(('Activity data'!BH15*EF!$H14)*kgtoGg=0,"NO",('Activity data'!BH15*EF!$H14)*kgtoGg)</f>
        <v>6.6822652203195059</v>
      </c>
      <c r="BI14" s="28">
        <f>IF(('Activity data'!BI15*EF!$H14)*kgtoGg=0,"NO",('Activity data'!BI15*EF!$H14)*kgtoGg)</f>
        <v>6.7906379451902579</v>
      </c>
      <c r="BJ14" s="28">
        <f>IF(('Activity data'!BJ15*EF!$H14)*kgtoGg=0,"NO",('Activity data'!BJ15*EF!$H14)*kgtoGg)</f>
        <v>6.9039212466477577</v>
      </c>
      <c r="BK14" s="28">
        <f>IF(('Activity data'!BK15*EF!$H14)*kgtoGg=0,"NO",('Activity data'!BK15*EF!$H14)*kgtoGg)</f>
        <v>7.023317910756135</v>
      </c>
      <c r="BL14" s="28">
        <f>IF(('Activity data'!BL15*EF!$H14)*kgtoGg=0,"NO",('Activity data'!BL15*EF!$H14)*kgtoGg)</f>
        <v>7.134521621444498</v>
      </c>
      <c r="BM14" s="28">
        <f>IF(('Activity data'!BM15*EF!$H14)*kgtoGg=0,"NO",('Activity data'!BM15*EF!$H14)*kgtoGg)</f>
        <v>7.2513806887331782</v>
      </c>
      <c r="BN14" s="28">
        <f>IF(('Activity data'!BN15*EF!$H14)*kgtoGg=0,"NO",('Activity data'!BN15*EF!$H14)*kgtoGg)</f>
        <v>7.3750142820129136</v>
      </c>
      <c r="BO14" s="28">
        <f>IF(('Activity data'!BO15*EF!$H14)*kgtoGg=0,"NO",('Activity data'!BO15*EF!$H14)*kgtoGg)</f>
        <v>7.5060415056489402</v>
      </c>
      <c r="BP14" s="28">
        <f>IF(('Activity data'!BP15*EF!$H14)*kgtoGg=0,"NO",('Activity data'!BP15*EF!$H14)*kgtoGg)</f>
        <v>7.6478699078939032</v>
      </c>
    </row>
    <row r="15" spans="1:74" x14ac:dyDescent="0.25">
      <c r="A15" t="str">
        <f t="shared" si="1"/>
        <v>3A Livestock</v>
      </c>
      <c r="B15" t="str">
        <f t="shared" si="2"/>
        <v>3A1 Enteric fermentation (CH4)</v>
      </c>
      <c r="C15" t="str">
        <f>EF!C15</f>
        <v>3A1g Mules &amp; asses</v>
      </c>
      <c r="D15" t="str">
        <f>EF!D15</f>
        <v>Mules &amp; Asses</v>
      </c>
      <c r="E15" t="str">
        <f t="shared" si="3"/>
        <v>Enteric fermentation Emissions</v>
      </c>
      <c r="F15" t="str">
        <f t="shared" si="4"/>
        <v>CH4</v>
      </c>
      <c r="G15" t="str">
        <f t="shared" si="5"/>
        <v>Gg CH4</v>
      </c>
      <c r="H15" s="28">
        <f>IF(('Activity data'!H16*EF!$H15)*kgtoGg=0,"NO",('Activity data'!H16*EF!$H15)*kgtoGg)</f>
        <v>2.2399999999999998</v>
      </c>
      <c r="I15" s="28">
        <f>IF(('Activity data'!I16*EF!$H15)*kgtoGg=0,"NO",('Activity data'!I16*EF!$H15)*kgtoGg)</f>
        <v>2.2399999999999998</v>
      </c>
      <c r="J15" s="28">
        <f>IF(('Activity data'!J16*EF!$H15)*kgtoGg=0,"NO",('Activity data'!J16*EF!$H15)*kgtoGg)</f>
        <v>2.2399999999999998</v>
      </c>
      <c r="K15" s="28">
        <f>IF(('Activity data'!K16*EF!$H15)*kgtoGg=0,"NO",('Activity data'!K16*EF!$H15)*kgtoGg)</f>
        <v>2.2399999999999998</v>
      </c>
      <c r="L15" s="28">
        <f>IF(('Activity data'!L16*EF!$H15)*kgtoGg=0,"NO",('Activity data'!L16*EF!$H15)*kgtoGg)</f>
        <v>2.2399999999999998</v>
      </c>
      <c r="M15" s="28">
        <f>IF(('Activity data'!M16*EF!$H15)*kgtoGg=0,"NO",('Activity data'!M16*EF!$H15)*kgtoGg)</f>
        <v>2.2399999999999998</v>
      </c>
      <c r="N15" s="28">
        <f>IF(('Activity data'!N16*EF!$H15)*kgtoGg=0,"NO",('Activity data'!N16*EF!$H15)*kgtoGg)</f>
        <v>2.2399999999999998</v>
      </c>
      <c r="O15" s="28">
        <f>IF(('Activity data'!O16*EF!$H15)*kgtoGg=0,"NO",('Activity data'!O16*EF!$H15)*kgtoGg)</f>
        <v>2.2399999999999998</v>
      </c>
      <c r="P15" s="28">
        <f>IF(('Activity data'!P16*EF!$H15)*kgtoGg=0,"NO",('Activity data'!P16*EF!$H15)*kgtoGg)</f>
        <v>2.2399999999999998</v>
      </c>
      <c r="Q15" s="28">
        <f>IF(('Activity data'!Q16*EF!$H15)*kgtoGg=0,"NO",('Activity data'!Q16*EF!$H15)*kgtoGg)</f>
        <v>2.2399999999999998</v>
      </c>
      <c r="R15" s="28">
        <f>IF(('Activity data'!R16*EF!$H15)*kgtoGg=0,"NO",('Activity data'!R16*EF!$H15)*kgtoGg)</f>
        <v>1.64</v>
      </c>
      <c r="S15" s="28">
        <f>IF(('Activity data'!S16*EF!$H15)*kgtoGg=0,"NO",('Activity data'!S16*EF!$H15)*kgtoGg)</f>
        <v>1.64</v>
      </c>
      <c r="T15" s="28">
        <f>IF(('Activity data'!T16*EF!$H15)*kgtoGg=0,"NO",('Activity data'!T16*EF!$H15)*kgtoGg)</f>
        <v>1.64</v>
      </c>
      <c r="U15" s="28">
        <f>IF(('Activity data'!U16*EF!$H15)*kgtoGg=0,"NO",('Activity data'!U16*EF!$H15)*kgtoGg)</f>
        <v>1.64</v>
      </c>
      <c r="V15" s="28">
        <f>IF(('Activity data'!V16*EF!$H15)*kgtoGg=0,"NO",('Activity data'!V16*EF!$H15)*kgtoGg)</f>
        <v>1.64</v>
      </c>
      <c r="W15" s="28">
        <f>IF(('Activity data'!W16*EF!$H15)*kgtoGg=0,"NO",('Activity data'!W16*EF!$H15)*kgtoGg)</f>
        <v>1.64</v>
      </c>
      <c r="X15" s="28">
        <f>IF(('Activity data'!X16*EF!$H15)*kgtoGg=0,"NO",('Activity data'!X16*EF!$H15)*kgtoGg)</f>
        <v>1.6404999999999998</v>
      </c>
      <c r="Y15" s="28">
        <f>IF(('Activity data'!Y16*EF!$H15)*kgtoGg=0,"NO",('Activity data'!Y16*EF!$H15)*kgtoGg)</f>
        <v>1.6459999999999999</v>
      </c>
      <c r="Z15" s="28">
        <f>IF(('Activity data'!Z16*EF!$H15)*kgtoGg=0,"NO",('Activity data'!Z16*EF!$H15)*kgtoGg)</f>
        <v>1.647</v>
      </c>
      <c r="AA15" s="28">
        <f>IF(('Activity data'!AA16*EF!$H15)*kgtoGg=0,"NO",('Activity data'!AA16*EF!$H15)*kgtoGg)</f>
        <v>1.6479999999999999</v>
      </c>
      <c r="AB15" s="28">
        <f>IF(('Activity data'!AB16*EF!$H15)*kgtoGg=0,"NO",('Activity data'!AB16*EF!$H15)*kgtoGg)</f>
        <v>1.663</v>
      </c>
      <c r="AC15" s="28">
        <f>IF(('Activity data'!AC16*EF!$H15)*kgtoGg=0,"NO",('Activity data'!AC16*EF!$H15)*kgtoGg)</f>
        <v>1.67</v>
      </c>
      <c r="AD15" s="28">
        <f>IF(('Activity data'!AD16*EF!$H15)*kgtoGg=0,"NO",('Activity data'!AD16*EF!$H15)*kgtoGg)</f>
        <v>1.67</v>
      </c>
      <c r="AE15" s="28">
        <f>IF(('Activity data'!AE16*EF!$H15)*kgtoGg=0,"NO",('Activity data'!AE16*EF!$H15)*kgtoGg)</f>
        <v>1.67</v>
      </c>
      <c r="AF15" s="28">
        <f>IF(('Activity data'!AF16*EF!$H15)*kgtoGg=0,"NO",('Activity data'!AF16*EF!$H15)*kgtoGg)</f>
        <v>1.67</v>
      </c>
      <c r="AG15" s="28">
        <f>IF(('Activity data'!AG16*EF!$H15)*kgtoGg=0,"NO",('Activity data'!AG16*EF!$H15)*kgtoGg)</f>
        <v>1.67</v>
      </c>
      <c r="AH15" s="28">
        <f>IF(('Activity data'!AH16*EF!$H15)*kgtoGg=0,"NO",('Activity data'!AH16*EF!$H15)*kgtoGg)</f>
        <v>1.67</v>
      </c>
      <c r="AI15" s="28">
        <f>IF(('Activity data'!AI16*EF!$H15)*kgtoGg=0,"NO",('Activity data'!AI16*EF!$H15)*kgtoGg)</f>
        <v>1.67</v>
      </c>
      <c r="AJ15" s="28">
        <f>IF(('Activity data'!AJ16*EF!$H15)*kgtoGg=0,"NO",('Activity data'!AJ16*EF!$H15)*kgtoGg)</f>
        <v>1.67</v>
      </c>
      <c r="AK15" s="28">
        <f>IF(('Activity data'!AK16*EF!$H15)*kgtoGg=0,"NO",('Activity data'!AK16*EF!$H15)*kgtoGg)</f>
        <v>1.67</v>
      </c>
      <c r="AL15" s="28">
        <f>IF(('Activity data'!AL16*EF!$H15)*kgtoGg=0,"NO",('Activity data'!AL16*EF!$H15)*kgtoGg)</f>
        <v>1.67</v>
      </c>
      <c r="AM15" s="28">
        <f>IF(('Activity data'!AM16*EF!$H15)*kgtoGg=0,"NO",('Activity data'!AM16*EF!$H15)*kgtoGg)</f>
        <v>1.67</v>
      </c>
      <c r="AN15" s="28">
        <f>IF(('Activity data'!AN16*EF!$H15)*kgtoGg=0,"NO",('Activity data'!AN16*EF!$H15)*kgtoGg)</f>
        <v>1.67</v>
      </c>
      <c r="AO15" s="28">
        <f>IF(('Activity data'!AO16*EF!$H15)*kgtoGg=0,"NO",('Activity data'!AO16*EF!$H15)*kgtoGg)</f>
        <v>1.67</v>
      </c>
      <c r="AP15" s="28">
        <f>IF(('Activity data'!AP16*EF!$H15)*kgtoGg=0,"NO",('Activity data'!AP16*EF!$H15)*kgtoGg)</f>
        <v>1.67</v>
      </c>
      <c r="AQ15" s="28">
        <f>IF(('Activity data'!AQ16*EF!$H15)*kgtoGg=0,"NO",('Activity data'!AQ16*EF!$H15)*kgtoGg)</f>
        <v>1.67</v>
      </c>
      <c r="AR15" s="28">
        <f>IF(('Activity data'!AR16*EF!$H15)*kgtoGg=0,"NO",('Activity data'!AR16*EF!$H15)*kgtoGg)</f>
        <v>1.67</v>
      </c>
      <c r="AS15" s="28">
        <f>IF(('Activity data'!AS16*EF!$H15)*kgtoGg=0,"NO",('Activity data'!AS16*EF!$H15)*kgtoGg)</f>
        <v>1.67</v>
      </c>
      <c r="AT15" s="28">
        <f>IF(('Activity data'!AT16*EF!$H15)*kgtoGg=0,"NO",('Activity data'!AT16*EF!$H15)*kgtoGg)</f>
        <v>1.67</v>
      </c>
      <c r="AU15" s="28">
        <f>IF(('Activity data'!AU16*EF!$H15)*kgtoGg=0,"NO",('Activity data'!AU16*EF!$H15)*kgtoGg)</f>
        <v>1.67</v>
      </c>
      <c r="AV15" s="28">
        <f>IF(('Activity data'!AV16*EF!$H15)*kgtoGg=0,"NO",('Activity data'!AV16*EF!$H15)*kgtoGg)</f>
        <v>1.67</v>
      </c>
      <c r="AW15" s="28">
        <f>IF(('Activity data'!AW16*EF!$H15)*kgtoGg=0,"NO",('Activity data'!AW16*EF!$H15)*kgtoGg)</f>
        <v>1.67</v>
      </c>
      <c r="AX15" s="28">
        <f>IF(('Activity data'!AX16*EF!$H15)*kgtoGg=0,"NO",('Activity data'!AX16*EF!$H15)*kgtoGg)</f>
        <v>1.67</v>
      </c>
      <c r="AY15" s="28">
        <f>IF(('Activity data'!AY16*EF!$H15)*kgtoGg=0,"NO",('Activity data'!AY16*EF!$H15)*kgtoGg)</f>
        <v>1.67</v>
      </c>
      <c r="AZ15" s="28">
        <f>IF(('Activity data'!AZ16*EF!$H15)*kgtoGg=0,"NO",('Activity data'!AZ16*EF!$H15)*kgtoGg)</f>
        <v>1.67</v>
      </c>
      <c r="BA15" s="28">
        <f>IF(('Activity data'!BA16*EF!$H15)*kgtoGg=0,"NO",('Activity data'!BA16*EF!$H15)*kgtoGg)</f>
        <v>1.67</v>
      </c>
      <c r="BB15" s="28">
        <f>IF(('Activity data'!BB16*EF!$H15)*kgtoGg=0,"NO",('Activity data'!BB16*EF!$H15)*kgtoGg)</f>
        <v>1.67</v>
      </c>
      <c r="BC15" s="28">
        <f>IF(('Activity data'!BC16*EF!$H15)*kgtoGg=0,"NO",('Activity data'!BC16*EF!$H15)*kgtoGg)</f>
        <v>1.67</v>
      </c>
      <c r="BD15" s="28">
        <f>IF(('Activity data'!BD16*EF!$H15)*kgtoGg=0,"NO",('Activity data'!BD16*EF!$H15)*kgtoGg)</f>
        <v>1.67</v>
      </c>
      <c r="BE15" s="28">
        <f>IF(('Activity data'!BE16*EF!$H15)*kgtoGg=0,"NO",('Activity data'!BE16*EF!$H15)*kgtoGg)</f>
        <v>1.67</v>
      </c>
      <c r="BF15" s="28">
        <f>IF(('Activity data'!BF16*EF!$H15)*kgtoGg=0,"NO",('Activity data'!BF16*EF!$H15)*kgtoGg)</f>
        <v>1.67</v>
      </c>
      <c r="BG15" s="28">
        <f>IF(('Activity data'!BG16*EF!$H15)*kgtoGg=0,"NO",('Activity data'!BG16*EF!$H15)*kgtoGg)</f>
        <v>1.67</v>
      </c>
      <c r="BH15" s="28">
        <f>IF(('Activity data'!BH16*EF!$H15)*kgtoGg=0,"NO",('Activity data'!BH16*EF!$H15)*kgtoGg)</f>
        <v>1.67</v>
      </c>
      <c r="BI15" s="28">
        <f>IF(('Activity data'!BI16*EF!$H15)*kgtoGg=0,"NO",('Activity data'!BI16*EF!$H15)*kgtoGg)</f>
        <v>1.67</v>
      </c>
      <c r="BJ15" s="28">
        <f>IF(('Activity data'!BJ16*EF!$H15)*kgtoGg=0,"NO",('Activity data'!BJ16*EF!$H15)*kgtoGg)</f>
        <v>1.67</v>
      </c>
      <c r="BK15" s="28">
        <f>IF(('Activity data'!BK16*EF!$H15)*kgtoGg=0,"NO",('Activity data'!BK16*EF!$H15)*kgtoGg)</f>
        <v>1.67</v>
      </c>
      <c r="BL15" s="28">
        <f>IF(('Activity data'!BL16*EF!$H15)*kgtoGg=0,"NO",('Activity data'!BL16*EF!$H15)*kgtoGg)</f>
        <v>1.67</v>
      </c>
      <c r="BM15" s="28">
        <f>IF(('Activity data'!BM16*EF!$H15)*kgtoGg=0,"NO",('Activity data'!BM16*EF!$H15)*kgtoGg)</f>
        <v>1.67</v>
      </c>
      <c r="BN15" s="28">
        <f>IF(('Activity data'!BN16*EF!$H15)*kgtoGg=0,"NO",('Activity data'!BN16*EF!$H15)*kgtoGg)</f>
        <v>1.67</v>
      </c>
      <c r="BO15" s="28">
        <f>IF(('Activity data'!BO16*EF!$H15)*kgtoGg=0,"NO",('Activity data'!BO16*EF!$H15)*kgtoGg)</f>
        <v>1.67</v>
      </c>
      <c r="BP15" s="28">
        <f>IF(('Activity data'!BP16*EF!$H15)*kgtoGg=0,"NO",('Activity data'!BP16*EF!$H15)*kgtoGg)</f>
        <v>1.67</v>
      </c>
    </row>
    <row r="16" spans="1:74" x14ac:dyDescent="0.25">
      <c r="A16" t="str">
        <f t="shared" si="1"/>
        <v>3A Livestock</v>
      </c>
      <c r="B16" t="str">
        <f t="shared" si="2"/>
        <v>3A1 Enteric fermentation (CH4)</v>
      </c>
      <c r="C16" t="str">
        <f>EF!C16</f>
        <v>3A1h Swine</v>
      </c>
      <c r="D16" t="str">
        <f>EF!D16</f>
        <v>Commercial</v>
      </c>
      <c r="E16" t="str">
        <f t="shared" si="3"/>
        <v>Enteric fermentation Emissions</v>
      </c>
      <c r="F16" t="str">
        <f t="shared" si="4"/>
        <v>CH4</v>
      </c>
      <c r="G16" t="str">
        <f t="shared" si="5"/>
        <v>Gg CH4</v>
      </c>
      <c r="H16" s="28">
        <f>IF(('Activity data'!H17*EF!$H16)*kgtoGg=0,"NO",('Activity data'!H17*EF!$H16)*kgtoGg)</f>
        <v>1.6933773600000002</v>
      </c>
      <c r="I16" s="28">
        <f>IF(('Activity data'!I17*EF!$H16)*kgtoGg=0,"NO",('Activity data'!I17*EF!$H16)*kgtoGg)</f>
        <v>1.8500481000000002</v>
      </c>
      <c r="J16" s="28">
        <f>IF(('Activity data'!J17*EF!$H16)*kgtoGg=0,"NO",('Activity data'!J17*EF!$H16)*kgtoGg)</f>
        <v>1.8378255600000002</v>
      </c>
      <c r="K16" s="28">
        <f>IF(('Activity data'!K17*EF!$H16)*kgtoGg=0,"NO",('Activity data'!K17*EF!$H16)*kgtoGg)</f>
        <v>1.8367144200000003</v>
      </c>
      <c r="L16" s="28">
        <f>IF(('Activity data'!L17*EF!$H16)*kgtoGg=0,"NO",('Activity data'!L17*EF!$H16)*kgtoGg)</f>
        <v>1.7444898000000002</v>
      </c>
      <c r="M16" s="28">
        <f>IF(('Activity data'!M17*EF!$H16)*kgtoGg=0,"NO",('Activity data'!M17*EF!$H16)*kgtoGg)</f>
        <v>1.7611569000000002</v>
      </c>
      <c r="N16" s="28">
        <f>IF(('Activity data'!N17*EF!$H16)*kgtoGg=0,"NO",('Activity data'!N17*EF!$H16)*kgtoGg)</f>
        <v>1.8967159800000004</v>
      </c>
      <c r="O16" s="28">
        <f>IF(('Activity data'!O17*EF!$H16)*kgtoGg=0,"NO",('Activity data'!O17*EF!$H16)*kgtoGg)</f>
        <v>1.8878268600000003</v>
      </c>
      <c r="P16" s="28">
        <f>IF(('Activity data'!P17*EF!$H16)*kgtoGg=0,"NO",('Activity data'!P17*EF!$H16)*kgtoGg)</f>
        <v>1.9289390400000004</v>
      </c>
      <c r="Q16" s="28">
        <f>IF(('Activity data'!Q17*EF!$H16)*kgtoGg=0,"NO",('Activity data'!Q17*EF!$H16)*kgtoGg)</f>
        <v>1.9778292000000004</v>
      </c>
      <c r="R16" s="28">
        <f>IF(('Activity data'!R17*EF!$H16)*kgtoGg=0,"NO",('Activity data'!R17*EF!$H16)*kgtoGg)</f>
        <v>1.8300475800000002</v>
      </c>
      <c r="S16" s="28">
        <f>IF(('Activity data'!S17*EF!$H16)*kgtoGg=0,"NO",('Activity data'!S17*EF!$H16)*kgtoGg)</f>
        <v>1.8644929200000002</v>
      </c>
      <c r="T16" s="28">
        <f>IF(('Activity data'!T17*EF!$H16)*kgtoGg=0,"NO",('Activity data'!T17*EF!$H16)*kgtoGg)</f>
        <v>1.9000494000000003</v>
      </c>
      <c r="U16" s="28">
        <f>IF(('Activity data'!U17*EF!$H16)*kgtoGg=0,"NO",('Activity data'!U17*EF!$H16)*kgtoGg)</f>
        <v>1.8478258200000002</v>
      </c>
      <c r="V16" s="28">
        <f>IF(('Activity data'!V17*EF!$H16)*kgtoGg=0,"NO",('Activity data'!V17*EF!$H16)*kgtoGg)</f>
        <v>1.8478258200000002</v>
      </c>
      <c r="W16" s="28">
        <f>IF(('Activity data'!W17*EF!$H16)*kgtoGg=0,"NO",('Activity data'!W17*EF!$H16)*kgtoGg)</f>
        <v>1.8344921400000003</v>
      </c>
      <c r="X16" s="28">
        <f>IF(('Activity data'!X17*EF!$H16)*kgtoGg=0,"NO",('Activity data'!X17*EF!$H16)*kgtoGg)</f>
        <v>1.8022690800000003</v>
      </c>
      <c r="Y16" s="28">
        <f>IF(('Activity data'!Y17*EF!$H16)*kgtoGg=0,"NO",('Activity data'!Y17*EF!$H16)*kgtoGg)</f>
        <v>1.8344921400000003</v>
      </c>
      <c r="Z16" s="28">
        <f>IF(('Activity data'!Z17*EF!$H16)*kgtoGg=0,"NO",('Activity data'!Z17*EF!$H16)*kgtoGg)</f>
        <v>1.7944911000000003</v>
      </c>
      <c r="AA16" s="28">
        <f>IF(('Activity data'!AA17*EF!$H16)*kgtoGg=0,"NO",('Activity data'!AA17*EF!$H16)*kgtoGg)</f>
        <v>1.7922688200000003</v>
      </c>
      <c r="AB16" s="28">
        <f>IF(('Activity data'!AB17*EF!$H16)*kgtoGg=0,"NO",('Activity data'!AB17*EF!$H16)*kgtoGg)</f>
        <v>1.7711571600000002</v>
      </c>
      <c r="AC16" s="28">
        <f>IF(('Activity data'!AC17*EF!$H16)*kgtoGg=0,"NO",('Activity data'!AC17*EF!$H16)*kgtoGg)</f>
        <v>1.7600457600000003</v>
      </c>
      <c r="AD16" s="28">
        <f>IF(('Activity data'!AD17*EF!$H16)*kgtoGg=0,"NO",('Activity data'!AD17*EF!$H16)*kgtoGg)</f>
        <v>1.8489004865447365</v>
      </c>
      <c r="AE16" s="28">
        <f>IF(('Activity data'!AE17*EF!$H16)*kgtoGg=0,"NO",('Activity data'!AE17*EF!$H16)*kgtoGg)</f>
        <v>1.8488294588259846</v>
      </c>
      <c r="AF16" s="28">
        <f>IF(('Activity data'!AF17*EF!$H16)*kgtoGg=0,"NO",('Activity data'!AF17*EF!$H16)*kgtoGg)</f>
        <v>1.8314433873786711</v>
      </c>
      <c r="AG16" s="28">
        <f>IF(('Activity data'!AG17*EF!$H16)*kgtoGg=0,"NO",('Activity data'!AG17*EF!$H16)*kgtoGg)</f>
        <v>1.8009030774051107</v>
      </c>
      <c r="AH16" s="28">
        <f>IF(('Activity data'!AH17*EF!$H16)*kgtoGg=0,"NO",('Activity data'!AH17*EF!$H16)*kgtoGg)</f>
        <v>1.762780539113969</v>
      </c>
      <c r="AI16" s="28">
        <f>IF(('Activity data'!AI17*EF!$H16)*kgtoGg=0,"NO",('Activity data'!AI17*EF!$H16)*kgtoGg)</f>
        <v>1.7325394108325005</v>
      </c>
      <c r="AJ16" s="28">
        <f>IF(('Activity data'!AJ17*EF!$H16)*kgtoGg=0,"NO",('Activity data'!AJ17*EF!$H16)*kgtoGg)</f>
        <v>1.7073731768321889</v>
      </c>
      <c r="AK16" s="28">
        <f>IF(('Activity data'!AK17*EF!$H16)*kgtoGg=0,"NO",('Activity data'!AK17*EF!$H16)*kgtoGg)</f>
        <v>1.68236247599362</v>
      </c>
      <c r="AL16" s="28">
        <f>IF(('Activity data'!AL17*EF!$H16)*kgtoGg=0,"NO",('Activity data'!AL17*EF!$H16)*kgtoGg)</f>
        <v>1.465954510175804</v>
      </c>
      <c r="AM16" s="28">
        <f>IF(('Activity data'!AM17*EF!$H16)*kgtoGg=0,"NO",('Activity data'!AM17*EF!$H16)*kgtoGg)</f>
        <v>1.468387933400185</v>
      </c>
      <c r="AN16" s="28">
        <f>IF(('Activity data'!AN17*EF!$H16)*kgtoGg=0,"NO",('Activity data'!AN17*EF!$H16)*kgtoGg)</f>
        <v>1.4714121228629189</v>
      </c>
      <c r="AO16" s="28">
        <f>IF(('Activity data'!AO17*EF!$H16)*kgtoGg=0,"NO",('Activity data'!AO17*EF!$H16)*kgtoGg)</f>
        <v>1.4787488750123237</v>
      </c>
      <c r="AP16" s="28">
        <f>IF(('Activity data'!AP17*EF!$H16)*kgtoGg=0,"NO",('Activity data'!AP17*EF!$H16)*kgtoGg)</f>
        <v>1.4885368833620476</v>
      </c>
      <c r="AQ16" s="28">
        <f>IF(('Activity data'!AQ17*EF!$H16)*kgtoGg=0,"NO",('Activity data'!AQ17*EF!$H16)*kgtoGg)</f>
        <v>1.4973641983632411</v>
      </c>
      <c r="AR16" s="28">
        <f>IF(('Activity data'!AR17*EF!$H16)*kgtoGg=0,"NO",('Activity data'!AR17*EF!$H16)*kgtoGg)</f>
        <v>1.5120970999247993</v>
      </c>
      <c r="AS16" s="28">
        <f>IF(('Activity data'!AS17*EF!$H16)*kgtoGg=0,"NO",('Activity data'!AS17*EF!$H16)*kgtoGg)</f>
        <v>1.5279189544445664</v>
      </c>
      <c r="AT16" s="28">
        <f>IF(('Activity data'!AT17*EF!$H16)*kgtoGg=0,"NO",('Activity data'!AT17*EF!$H16)*kgtoGg)</f>
        <v>1.5456509191382708</v>
      </c>
      <c r="AU16" s="28">
        <f>IF(('Activity data'!AU17*EF!$H16)*kgtoGg=0,"NO",('Activity data'!AU17*EF!$H16)*kgtoGg)</f>
        <v>1.5641832319875988</v>
      </c>
      <c r="AV16" s="28">
        <f>IF(('Activity data'!AV17*EF!$H16)*kgtoGg=0,"NO",('Activity data'!AV17*EF!$H16)*kgtoGg)</f>
        <v>1.5740905338939835</v>
      </c>
      <c r="AW16" s="28">
        <f>IF(('Activity data'!AW17*EF!$H16)*kgtoGg=0,"NO",('Activity data'!AW17*EF!$H16)*kgtoGg)</f>
        <v>1.5942880938712385</v>
      </c>
      <c r="AX16" s="28">
        <f>IF(('Activity data'!AX17*EF!$H16)*kgtoGg=0,"NO",('Activity data'!AX17*EF!$H16)*kgtoGg)</f>
        <v>1.6146558542816174</v>
      </c>
      <c r="AY16" s="28">
        <f>IF(('Activity data'!AY17*EF!$H16)*kgtoGg=0,"NO",('Activity data'!AY17*EF!$H16)*kgtoGg)</f>
        <v>1.6354925314631275</v>
      </c>
      <c r="AZ16" s="28">
        <f>IF(('Activity data'!AZ17*EF!$H16)*kgtoGg=0,"NO",('Activity data'!AZ17*EF!$H16)*kgtoGg)</f>
        <v>1.6532108633821074</v>
      </c>
      <c r="BA16" s="28">
        <f>IF(('Activity data'!BA17*EF!$H16)*kgtoGg=0,"NO",('Activity data'!BA17*EF!$H16)*kgtoGg)</f>
        <v>1.6728162538097151</v>
      </c>
      <c r="BB16" s="28">
        <f>IF(('Activity data'!BB17*EF!$H16)*kgtoGg=0,"NO",('Activity data'!BB17*EF!$H16)*kgtoGg)</f>
        <v>1.6942588540678605</v>
      </c>
      <c r="BC16" s="28">
        <f>IF(('Activity data'!BC17*EF!$H16)*kgtoGg=0,"NO",('Activity data'!BC17*EF!$H16)*kgtoGg)</f>
        <v>1.716513713374294</v>
      </c>
      <c r="BD16" s="28">
        <f>IF(('Activity data'!BD17*EF!$H16)*kgtoGg=0,"NO",('Activity data'!BD17*EF!$H16)*kgtoGg)</f>
        <v>1.7371075255076347</v>
      </c>
      <c r="BE16" s="28">
        <f>IF(('Activity data'!BE17*EF!$H16)*kgtoGg=0,"NO",('Activity data'!BE17*EF!$H16)*kgtoGg)</f>
        <v>1.7584711980494223</v>
      </c>
      <c r="BF16" s="28">
        <f>IF(('Activity data'!BF17*EF!$H16)*kgtoGg=0,"NO",('Activity data'!BF17*EF!$H16)*kgtoGg)</f>
        <v>1.7819610709878226</v>
      </c>
      <c r="BG16" s="28">
        <f>IF(('Activity data'!BG17*EF!$H16)*kgtoGg=0,"NO",('Activity data'!BG17*EF!$H16)*kgtoGg)</f>
        <v>1.8068012822130708</v>
      </c>
      <c r="BH16" s="28">
        <f>IF(('Activity data'!BH17*EF!$H16)*kgtoGg=0,"NO",('Activity data'!BH17*EF!$H16)*kgtoGg)</f>
        <v>1.8326982270501098</v>
      </c>
      <c r="BI16" s="28">
        <f>IF(('Activity data'!BI17*EF!$H16)*kgtoGg=0,"NO",('Activity data'!BI17*EF!$H16)*kgtoGg)</f>
        <v>1.8596639805245141</v>
      </c>
      <c r="BJ16" s="28">
        <f>IF(('Activity data'!BJ17*EF!$H16)*kgtoGg=0,"NO",('Activity data'!BJ17*EF!$H16)*kgtoGg)</f>
        <v>1.8876325587767464</v>
      </c>
      <c r="BK16" s="28">
        <f>IF(('Activity data'!BK17*EF!$H16)*kgtoGg=0,"NO",('Activity data'!BK17*EF!$H16)*kgtoGg)</f>
        <v>1.9170511125886405</v>
      </c>
      <c r="BL16" s="28">
        <f>IF(('Activity data'!BL17*EF!$H16)*kgtoGg=0,"NO",('Activity data'!BL17*EF!$H16)*kgtoGg)</f>
        <v>1.9414629826287682</v>
      </c>
      <c r="BM16" s="28">
        <f>IF(('Activity data'!BM17*EF!$H16)*kgtoGg=0,"NO",('Activity data'!BM17*EF!$H16)*kgtoGg)</f>
        <v>1.9670628652243818</v>
      </c>
      <c r="BN16" s="28">
        <f>IF(('Activity data'!BN17*EF!$H16)*kgtoGg=0,"NO",('Activity data'!BN17*EF!$H16)*kgtoGg)</f>
        <v>1.9942295342746599</v>
      </c>
      <c r="BO16" s="28">
        <f>IF(('Activity data'!BO17*EF!$H16)*kgtoGg=0,"NO",('Activity data'!BO17*EF!$H16)*kgtoGg)</f>
        <v>2.0230979599435917</v>
      </c>
      <c r="BP16" s="28">
        <f>IF(('Activity data'!BP17*EF!$H16)*kgtoGg=0,"NO",('Activity data'!BP17*EF!$H16)*kgtoGg)</f>
        <v>2.0549661024379393</v>
      </c>
    </row>
    <row r="17" spans="1:68" x14ac:dyDescent="0.25">
      <c r="A17" t="str">
        <f t="shared" si="1"/>
        <v>3A Livestock</v>
      </c>
      <c r="B17" t="str">
        <f t="shared" si="2"/>
        <v>3A1 Enteric fermentation (CH4)</v>
      </c>
      <c r="C17" t="str">
        <f>EF!C17</f>
        <v>3A1h Swine</v>
      </c>
      <c r="D17" t="str">
        <f>EF!D17</f>
        <v>Subsistence</v>
      </c>
      <c r="E17" t="str">
        <f t="shared" si="3"/>
        <v>Enteric fermentation Emissions</v>
      </c>
      <c r="F17" t="str">
        <f t="shared" si="4"/>
        <v>CH4</v>
      </c>
      <c r="G17" t="str">
        <f t="shared" si="5"/>
        <v>Gg CH4</v>
      </c>
      <c r="H17" s="28">
        <f>IF(('Activity data'!H18*EF!$H17)*kgtoGg=0,"NO",('Activity data'!H18*EF!$H17)*kgtoGg)</f>
        <v>0.22469223109375691</v>
      </c>
      <c r="I17" s="28">
        <f>IF(('Activity data'!I18*EF!$H17)*kgtoGg=0,"NO",('Activity data'!I18*EF!$H17)*kgtoGg)</f>
        <v>0.24548068554534469</v>
      </c>
      <c r="J17" s="28">
        <f>IF(('Activity data'!J18*EF!$H17)*kgtoGg=0,"NO",('Activity data'!J18*EF!$H17)*kgtoGg)</f>
        <v>0.24385889122642646</v>
      </c>
      <c r="K17" s="28">
        <f>IF(('Activity data'!K18*EF!$H17)*kgtoGg=0,"NO",('Activity data'!K18*EF!$H17)*kgtoGg)</f>
        <v>0.2437114553792521</v>
      </c>
      <c r="L17" s="28">
        <f>IF(('Activity data'!L18*EF!$H17)*kgtoGg=0,"NO",('Activity data'!L18*EF!$H17)*kgtoGg)</f>
        <v>0.23147428006377843</v>
      </c>
      <c r="M17" s="28">
        <f>IF(('Activity data'!M18*EF!$H17)*kgtoGg=0,"NO",('Activity data'!M18*EF!$H17)*kgtoGg)</f>
        <v>0.23368581777139416</v>
      </c>
      <c r="N17" s="28">
        <f>IF(('Activity data'!N18*EF!$H17)*kgtoGg=0,"NO",('Activity data'!N18*EF!$H17)*kgtoGg)</f>
        <v>0.25167299112666869</v>
      </c>
      <c r="O17" s="28">
        <f>IF(('Activity data'!O18*EF!$H17)*kgtoGg=0,"NO",('Activity data'!O18*EF!$H17)*kgtoGg)</f>
        <v>0.25049350434927364</v>
      </c>
      <c r="P17" s="28">
        <f>IF(('Activity data'!P18*EF!$H17)*kgtoGg=0,"NO",('Activity data'!P18*EF!$H17)*kgtoGg)</f>
        <v>0.25594863069472573</v>
      </c>
      <c r="Q17" s="28">
        <f>IF(('Activity data'!Q18*EF!$H17)*kgtoGg=0,"NO",('Activity data'!Q18*EF!$H17)*kgtoGg)</f>
        <v>0.2624358079703985</v>
      </c>
      <c r="R17" s="28">
        <f>IF(('Activity data'!R18*EF!$H17)*kgtoGg=0,"NO",('Activity data'!R18*EF!$H17)*kgtoGg)</f>
        <v>0.24282684029620583</v>
      </c>
      <c r="S17" s="28">
        <f>IF(('Activity data'!S18*EF!$H17)*kgtoGg=0,"NO",('Activity data'!S18*EF!$H17)*kgtoGg)</f>
        <v>0.24739735155861162</v>
      </c>
      <c r="T17" s="28">
        <f>IF(('Activity data'!T18*EF!$H17)*kgtoGg=0,"NO",('Activity data'!T18*EF!$H17)*kgtoGg)</f>
        <v>0.25211529866819182</v>
      </c>
      <c r="U17" s="28">
        <f>IF(('Activity data'!U18*EF!$H17)*kgtoGg=0,"NO",('Activity data'!U18*EF!$H17)*kgtoGg)</f>
        <v>0.24518581385099592</v>
      </c>
      <c r="V17" s="28">
        <f>IF(('Activity data'!V18*EF!$H17)*kgtoGg=0,"NO",('Activity data'!V18*EF!$H17)*kgtoGg)</f>
        <v>0.24518581385099592</v>
      </c>
      <c r="W17" s="28">
        <f>IF(('Activity data'!W18*EF!$H17)*kgtoGg=0,"NO",('Activity data'!W18*EF!$H17)*kgtoGg)</f>
        <v>0.24341658368490332</v>
      </c>
      <c r="X17" s="28">
        <f>IF(('Activity data'!X18*EF!$H17)*kgtoGg=0,"NO",('Activity data'!X18*EF!$H17)*kgtoGg)</f>
        <v>0.23914094411684628</v>
      </c>
      <c r="Y17" s="28">
        <f>IF(('Activity data'!Y18*EF!$H17)*kgtoGg=0,"NO",('Activity data'!Y18*EF!$H17)*kgtoGg)</f>
        <v>0.24341658368490332</v>
      </c>
      <c r="Z17" s="28">
        <f>IF(('Activity data'!Z18*EF!$H17)*kgtoGg=0,"NO",('Activity data'!Z18*EF!$H17)*kgtoGg)</f>
        <v>0.23810889318662562</v>
      </c>
      <c r="AA17" s="28">
        <f>IF(('Activity data'!AA18*EF!$H17)*kgtoGg=0,"NO",('Activity data'!AA18*EF!$H17)*kgtoGg)</f>
        <v>0.23781402149227684</v>
      </c>
      <c r="AB17" s="28">
        <f>IF(('Activity data'!AB18*EF!$H17)*kgtoGg=0,"NO",('Activity data'!AB18*EF!$H17)*kgtoGg)</f>
        <v>0.23501274039596362</v>
      </c>
      <c r="AC17" s="28">
        <f>IF(('Activity data'!AC18*EF!$H17)*kgtoGg=0,"NO",('Activity data'!AC18*EF!$H17)*kgtoGg)</f>
        <v>0.2335383819242198</v>
      </c>
      <c r="AD17" s="28">
        <f>IF(('Activity data'!AD18*EF!$H17)*kgtoGg=0,"NO",('Activity data'!AD18*EF!$H17)*kgtoGg)</f>
        <v>0.25618665526969042</v>
      </c>
      <c r="AE17" s="28">
        <f>IF(('Activity data'!AE18*EF!$H17)*kgtoGg=0,"NO",('Activity data'!AE18*EF!$H17)*kgtoGg)</f>
        <v>0.25617681355358352</v>
      </c>
      <c r="AF17" s="28">
        <f>IF(('Activity data'!AF18*EF!$H17)*kgtoGg=0,"NO",('Activity data'!AF18*EF!$H17)*kgtoGg)</f>
        <v>0.25376777124720662</v>
      </c>
      <c r="AG17" s="28">
        <f>IF(('Activity data'!AG18*EF!$H17)*kgtoGg=0,"NO",('Activity data'!AG18*EF!$H17)*kgtoGg)</f>
        <v>0.24953605627932979</v>
      </c>
      <c r="AH17" s="28">
        <f>IF(('Activity data'!AH18*EF!$H17)*kgtoGg=0,"NO",('Activity data'!AH18*EF!$H17)*kgtoGg)</f>
        <v>0.2442537354371464</v>
      </c>
      <c r="AI17" s="28">
        <f>IF(('Activity data'!AI18*EF!$H17)*kgtoGg=0,"NO",('Activity data'!AI18*EF!$H17)*kgtoGg)</f>
        <v>0.24006347557059757</v>
      </c>
      <c r="AJ17" s="28">
        <f>IF(('Activity data'!AJ18*EF!$H17)*kgtoGg=0,"NO",('Activity data'!AJ18*EF!$H17)*kgtoGg)</f>
        <v>0.23657640130067681</v>
      </c>
      <c r="AK17" s="28">
        <f>IF(('Activity data'!AK18*EF!$H17)*kgtoGg=0,"NO",('Activity data'!AK18*EF!$H17)*kgtoGg)</f>
        <v>0.23311087795833718</v>
      </c>
      <c r="AL17" s="28">
        <f>IF(('Activity data'!AL18*EF!$H17)*kgtoGg=0,"NO",('Activity data'!AL18*EF!$H17)*kgtoGg)</f>
        <v>0.20312503862298564</v>
      </c>
      <c r="AM17" s="28">
        <f>IF(('Activity data'!AM18*EF!$H17)*kgtoGg=0,"NO",('Activity data'!AM18*EF!$H17)*kgtoGg)</f>
        <v>0.20346221769846679</v>
      </c>
      <c r="AN17" s="28">
        <f>IF(('Activity data'!AN18*EF!$H17)*kgtoGg=0,"NO",('Activity data'!AN18*EF!$H17)*kgtoGg)</f>
        <v>0.20388125430373455</v>
      </c>
      <c r="AO17" s="28">
        <f>IF(('Activity data'!AO18*EF!$H17)*kgtoGg=0,"NO",('Activity data'!AO18*EF!$H17)*kgtoGg)</f>
        <v>0.20489784660136076</v>
      </c>
      <c r="AP17" s="28">
        <f>IF(('Activity data'!AP18*EF!$H17)*kgtoGg=0,"NO",('Activity data'!AP18*EF!$H17)*kgtoGg)</f>
        <v>0.20625408894058675</v>
      </c>
      <c r="AQ17" s="28">
        <f>IF(('Activity data'!AQ18*EF!$H17)*kgtoGg=0,"NO",('Activity data'!AQ18*EF!$H17)*kgtoGg)</f>
        <v>0.20747721604863026</v>
      </c>
      <c r="AR17" s="28">
        <f>IF(('Activity data'!AR18*EF!$H17)*kgtoGg=0,"NO",('Activity data'!AR18*EF!$H17)*kgtoGg)</f>
        <v>0.20951863082511016</v>
      </c>
      <c r="AS17" s="28">
        <f>IF(('Activity data'!AS18*EF!$H17)*kgtoGg=0,"NO",('Activity data'!AS18*EF!$H17)*kgtoGg)</f>
        <v>0.21171093269266913</v>
      </c>
      <c r="AT17" s="28">
        <f>IF(('Activity data'!AT18*EF!$H17)*kgtoGg=0,"NO",('Activity data'!AT18*EF!$H17)*kgtoGg)</f>
        <v>0.21416790252922849</v>
      </c>
      <c r="AU17" s="28">
        <f>IF(('Activity data'!AU18*EF!$H17)*kgtoGg=0,"NO",('Activity data'!AU18*EF!$H17)*kgtoGg)</f>
        <v>0.21673576990653315</v>
      </c>
      <c r="AV17" s="28">
        <f>IF(('Activity data'!AV18*EF!$H17)*kgtoGg=0,"NO",('Activity data'!AV18*EF!$H17)*kgtoGg)</f>
        <v>0.21810854175478281</v>
      </c>
      <c r="AW17" s="28">
        <f>IF(('Activity data'!AW18*EF!$H17)*kgtoGg=0,"NO",('Activity data'!AW18*EF!$H17)*kgtoGg)</f>
        <v>0.22090714847961082</v>
      </c>
      <c r="AX17" s="28">
        <f>IF(('Activity data'!AX18*EF!$H17)*kgtoGg=0,"NO",('Activity data'!AX18*EF!$H17)*kgtoGg)</f>
        <v>0.22372933845297208</v>
      </c>
      <c r="AY17" s="28">
        <f>IF(('Activity data'!AY18*EF!$H17)*kgtoGg=0,"NO",('Activity data'!AY18*EF!$H17)*kgtoGg)</f>
        <v>0.22661650229597657</v>
      </c>
      <c r="AZ17" s="28">
        <f>IF(('Activity data'!AZ18*EF!$H17)*kgtoGg=0,"NO",('Activity data'!AZ18*EF!$H17)*kgtoGg)</f>
        <v>0.2290715831531214</v>
      </c>
      <c r="BA17" s="28">
        <f>IF(('Activity data'!BA18*EF!$H17)*kgtoGg=0,"NO",('Activity data'!BA18*EF!$H17)*kgtoGg)</f>
        <v>0.23178813790306987</v>
      </c>
      <c r="BB17" s="28">
        <f>IF(('Activity data'!BB18*EF!$H17)*kgtoGg=0,"NO",('Activity data'!BB18*EF!$H17)*kgtoGg)</f>
        <v>0.2347592594319983</v>
      </c>
      <c r="BC17" s="28">
        <f>IF(('Activity data'!BC18*EF!$H17)*kgtoGg=0,"NO",('Activity data'!BC18*EF!$H17)*kgtoGg)</f>
        <v>0.2378429288943108</v>
      </c>
      <c r="BD17" s="28">
        <f>IF(('Activity data'!BD18*EF!$H17)*kgtoGg=0,"NO",('Activity data'!BD18*EF!$H17)*kgtoGg)</f>
        <v>0.24069644096166523</v>
      </c>
      <c r="BE17" s="28">
        <f>IF(('Activity data'!BE18*EF!$H17)*kgtoGg=0,"NO",('Activity data'!BE18*EF!$H17)*kgtoGg)</f>
        <v>0.24365662613798358</v>
      </c>
      <c r="BF17" s="28">
        <f>IF(('Activity data'!BF18*EF!$H17)*kgtoGg=0,"NO",('Activity data'!BF18*EF!$H17)*kgtoGg)</f>
        <v>0.24691142109563161</v>
      </c>
      <c r="BG17" s="28">
        <f>IF(('Activity data'!BG18*EF!$H17)*kgtoGg=0,"NO",('Activity data'!BG18*EF!$H17)*kgtoGg)</f>
        <v>0.25035332112016007</v>
      </c>
      <c r="BH17" s="28">
        <f>IF(('Activity data'!BH18*EF!$H17)*kgtoGg=0,"NO",('Activity data'!BH18*EF!$H17)*kgtoGg)</f>
        <v>0.25394164387078211</v>
      </c>
      <c r="BI17" s="28">
        <f>IF(('Activity data'!BI18*EF!$H17)*kgtoGg=0,"NO",('Activity data'!BI18*EF!$H17)*kgtoGg)</f>
        <v>0.25767806248265934</v>
      </c>
      <c r="BJ17" s="28">
        <f>IF(('Activity data'!BJ18*EF!$H17)*kgtoGg=0,"NO",('Activity data'!BJ18*EF!$H17)*kgtoGg)</f>
        <v>0.26155343412501231</v>
      </c>
      <c r="BK17" s="28">
        <f>IF(('Activity data'!BK18*EF!$H17)*kgtoGg=0,"NO",('Activity data'!BK18*EF!$H17)*kgtoGg)</f>
        <v>0.26562971673664443</v>
      </c>
      <c r="BL17" s="28">
        <f>IF(('Activity data'!BL18*EF!$H17)*kgtoGg=0,"NO",('Activity data'!BL18*EF!$H17)*kgtoGg)</f>
        <v>0.26901226511064935</v>
      </c>
      <c r="BM17" s="28">
        <f>IF(('Activity data'!BM18*EF!$H17)*kgtoGg=0,"NO",('Activity data'!BM18*EF!$H17)*kgtoGg)</f>
        <v>0.27255942643447117</v>
      </c>
      <c r="BN17" s="28">
        <f>IF(('Activity data'!BN18*EF!$H17)*kgtoGg=0,"NO",('Activity data'!BN18*EF!$H17)*kgtoGg)</f>
        <v>0.27632368423496317</v>
      </c>
      <c r="BO17" s="28">
        <f>IF(('Activity data'!BO18*EF!$H17)*kgtoGg=0,"NO",('Activity data'!BO18*EF!$H17)*kgtoGg)</f>
        <v>0.28032374019732947</v>
      </c>
      <c r="BP17" s="28">
        <f>IF(('Activity data'!BP18*EF!$H17)*kgtoGg=0,"NO",('Activity data'!BP18*EF!$H17)*kgtoGg)</f>
        <v>0.28473944179657684</v>
      </c>
    </row>
    <row r="18" spans="1:68" x14ac:dyDescent="0.25">
      <c r="A18" t="str">
        <f t="shared" si="1"/>
        <v>3A Livestock</v>
      </c>
      <c r="B18" t="str">
        <f>'IPCC Categories'!B12</f>
        <v>3A2 Manure management (CH4)</v>
      </c>
      <c r="C18" t="str">
        <f>EF!C18</f>
        <v>3A1ai Dairy cattle</v>
      </c>
      <c r="D18" t="str">
        <f>EF!D18</f>
        <v>TMR</v>
      </c>
      <c r="E18" t="str">
        <f>'IPCC Categories'!F6&amp;" Emissions"</f>
        <v>Manure management Emissions</v>
      </c>
      <c r="F18" t="str">
        <f t="shared" si="4"/>
        <v>CH4</v>
      </c>
      <c r="G18" t="str">
        <f t="shared" si="5"/>
        <v>Gg CH4</v>
      </c>
      <c r="H18" s="28">
        <f>IF(('Activity data'!H5*EF!$H18)*kgtoGg=0,"NO",('Activity data'!H5*EF!$H18)*kgtoGg)</f>
        <v>6.0766424349879422</v>
      </c>
      <c r="I18" s="28">
        <f>IF(('Activity data'!I5*EF!$H18)*kgtoGg=0,"NO",('Activity data'!I5*EF!$H18)*kgtoGg)</f>
        <v>6.9957938304816798</v>
      </c>
      <c r="J18" s="28">
        <f>IF(('Activity data'!J5*EF!$H18)*kgtoGg=0,"NO",('Activity data'!J5*EF!$H18)*kgtoGg)</f>
        <v>6.0522668467284246</v>
      </c>
      <c r="K18" s="28">
        <f>IF(('Activity data'!K5*EF!$H18)*kgtoGg=0,"NO",('Activity data'!K5*EF!$H18)*kgtoGg)</f>
        <v>6.4189962026778016</v>
      </c>
      <c r="L18" s="28">
        <f>IF(('Activity data'!L5*EF!$H18)*kgtoGg=0,"NO",('Activity data'!L5*EF!$H18)*kgtoGg)</f>
        <v>5.9547644936903517</v>
      </c>
      <c r="M18" s="28">
        <f>IF(('Activity data'!M5*EF!$H18)*kgtoGg=0,"NO",('Activity data'!M5*EF!$H18)*kgtoGg)</f>
        <v>6.3702450261587664</v>
      </c>
      <c r="N18" s="28">
        <f>IF(('Activity data'!N5*EF!$H18)*kgtoGg=0,"NO",('Activity data'!N5*EF!$H18)*kgtoGg)</f>
        <v>6.3946206144182849</v>
      </c>
      <c r="O18" s="28">
        <f>IF(('Activity data'!O5*EF!$H18)*kgtoGg=0,"NO",('Activity data'!O5*EF!$H18)*kgtoGg)</f>
        <v>6.1648327655448512</v>
      </c>
      <c r="P18" s="28">
        <f>IF(('Activity data'!P5*EF!$H18)*kgtoGg=0,"NO",('Activity data'!P5*EF!$H18)*kgtoGg)</f>
        <v>6.0917060007662966</v>
      </c>
      <c r="Q18" s="28">
        <f>IF(('Activity data'!Q5*EF!$H18)*kgtoGg=0,"NO",('Activity data'!Q5*EF!$H18)*kgtoGg)</f>
        <v>5.9837960931904526</v>
      </c>
      <c r="R18" s="28">
        <f>IF(('Activity data'!R5*EF!$H18)*kgtoGg=0,"NO",('Activity data'!R5*EF!$H18)*kgtoGg)</f>
        <v>7.7048769541209179</v>
      </c>
      <c r="S18" s="28">
        <f>IF(('Activity data'!S5*EF!$H18)*kgtoGg=0,"NO",('Activity data'!S5*EF!$H18)*kgtoGg)</f>
        <v>7.6805013658613994</v>
      </c>
      <c r="T18" s="28">
        <f>IF(('Activity data'!T5*EF!$H18)*kgtoGg=0,"NO",('Activity data'!T5*EF!$H18)*kgtoGg)</f>
        <v>6.697535228070274</v>
      </c>
      <c r="U18" s="28">
        <f>IF(('Activity data'!U5*EF!$H18)*kgtoGg=0,"NO",('Activity data'!U5*EF!$H18)*kgtoGg)</f>
        <v>6.0917060007662966</v>
      </c>
      <c r="V18" s="28">
        <f>IF(('Activity data'!V5*EF!$H18)*kgtoGg=0,"NO",('Activity data'!V5*EF!$H18)*kgtoGg)</f>
        <v>5.881637728911798</v>
      </c>
      <c r="W18" s="28">
        <f>IF(('Activity data'!W5*EF!$H18)*kgtoGg=0,"NO",('Activity data'!W5*EF!$H18)*kgtoGg)</f>
        <v>6.2971182613802119</v>
      </c>
      <c r="X18" s="28">
        <f>IF(('Activity data'!X5*EF!$H18)*kgtoGg=0,"NO",('Activity data'!X5*EF!$H18)*kgtoGg)</f>
        <v>6.1601767543042687</v>
      </c>
      <c r="Y18" s="28">
        <f>IF(('Activity data'!Y5*EF!$H18)*kgtoGg=0,"NO",('Activity data'!Y5*EF!$H18)*kgtoGg)</f>
        <v>6.1160815890258151</v>
      </c>
      <c r="Z18" s="28">
        <f>IF(('Activity data'!Z5*EF!$H18)*kgtoGg=0,"NO",('Activity data'!Z5*EF!$H18)*kgtoGg)</f>
        <v>7.4901526710258377</v>
      </c>
      <c r="AA18" s="28">
        <f>IF(('Activity data'!AA5*EF!$H18)*kgtoGg=0,"NO",('Activity data'!AA5*EF!$H18)*kgtoGg)</f>
        <v>7.6758453546208179</v>
      </c>
      <c r="AB18" s="28">
        <f>IF(('Activity data'!AB5*EF!$H18)*kgtoGg=0,"NO",('Activity data'!AB5*EF!$H18)*kgtoGg)</f>
        <v>7.6758453546208179</v>
      </c>
      <c r="AC18" s="28">
        <f>IF(('Activity data'!AC5*EF!$H18)*kgtoGg=0,"NO",('Activity data'!AC5*EF!$H18)*kgtoGg)</f>
        <v>7.3973063292283463</v>
      </c>
      <c r="AD18" s="28">
        <f>IF(('Activity data'!AD5*EF!$H18)*kgtoGg=0,"NO",('Activity data'!AD5*EF!$H18)*kgtoGg)</f>
        <v>7.3591327429905729</v>
      </c>
      <c r="AE18" s="28">
        <f>IF(('Activity data'!AE5*EF!$H18)*kgtoGg=0,"NO",('Activity data'!AE5*EF!$H18)*kgtoGg)</f>
        <v>7.4124837526804042</v>
      </c>
      <c r="AF18" s="28">
        <f>IF(('Activity data'!AF5*EF!$H18)*kgtoGg=0,"NO",('Activity data'!AF5*EF!$H18)*kgtoGg)</f>
        <v>7.4466331018208596</v>
      </c>
      <c r="AG18" s="28">
        <f>IF(('Activity data'!AG5*EF!$H18)*kgtoGg=0,"NO",('Activity data'!AG5*EF!$H18)*kgtoGg)</f>
        <v>7.4656828432131643</v>
      </c>
      <c r="AH18" s="28">
        <f>IF(('Activity data'!AH5*EF!$H18)*kgtoGg=0,"NO",('Activity data'!AH5*EF!$H18)*kgtoGg)</f>
        <v>7.476096315363387</v>
      </c>
      <c r="AI18" s="28">
        <f>IF(('Activity data'!AI5*EF!$H18)*kgtoGg=0,"NO",('Activity data'!AI5*EF!$H18)*kgtoGg)</f>
        <v>7.4985201760579168</v>
      </c>
      <c r="AJ18" s="28">
        <f>IF(('Activity data'!AJ5*EF!$H18)*kgtoGg=0,"NO",('Activity data'!AJ5*EF!$H18)*kgtoGg)</f>
        <v>7.5282542164037904</v>
      </c>
      <c r="AK18" s="28">
        <f>IF(('Activity data'!AK5*EF!$H18)*kgtoGg=0,"NO",('Activity data'!AK5*EF!$H18)*kgtoGg)</f>
        <v>7.5587617227895825</v>
      </c>
      <c r="AL18" s="28">
        <f>IF(('Activity data'!AL5*EF!$H18)*kgtoGg=0,"NO",('Activity data'!AL5*EF!$H18)*kgtoGg)</f>
        <v>7.3122895131370109</v>
      </c>
      <c r="AM18" s="28">
        <f>IF(('Activity data'!AM5*EF!$H18)*kgtoGg=0,"NO",('Activity data'!AM5*EF!$H18)*kgtoGg)</f>
        <v>7.3692779944991882</v>
      </c>
      <c r="AN18" s="28">
        <f>IF(('Activity data'!AN5*EF!$H18)*kgtoGg=0,"NO",('Activity data'!AN5*EF!$H18)*kgtoGg)</f>
        <v>7.4254259909481606</v>
      </c>
      <c r="AO18" s="28">
        <f>IF(('Activity data'!AO5*EF!$H18)*kgtoGg=0,"NO",('Activity data'!AO5*EF!$H18)*kgtoGg)</f>
        <v>7.4863483302545015</v>
      </c>
      <c r="AP18" s="28">
        <f>IF(('Activity data'!AP5*EF!$H18)*kgtoGg=0,"NO",('Activity data'!AP5*EF!$H18)*kgtoGg)</f>
        <v>7.5515586335971259</v>
      </c>
      <c r="AQ18" s="28">
        <f>IF(('Activity data'!AQ5*EF!$H18)*kgtoGg=0,"NO",('Activity data'!AQ5*EF!$H18)*kgtoGg)</f>
        <v>7.615820493810987</v>
      </c>
      <c r="AR18" s="28">
        <f>IF(('Activity data'!AR5*EF!$H18)*kgtoGg=0,"NO",('Activity data'!AR5*EF!$H18)*kgtoGg)</f>
        <v>7.6900204557029488</v>
      </c>
      <c r="AS18" s="28">
        <f>IF(('Activity data'!AS5*EF!$H18)*kgtoGg=0,"NO",('Activity data'!AS5*EF!$H18)*kgtoGg)</f>
        <v>7.7667422318570427</v>
      </c>
      <c r="AT18" s="28">
        <f>IF(('Activity data'!AT5*EF!$H18)*kgtoGg=0,"NO",('Activity data'!AT5*EF!$H18)*kgtoGg)</f>
        <v>7.8474035274096252</v>
      </c>
      <c r="AU18" s="28">
        <f>IF(('Activity data'!AU5*EF!$H18)*kgtoGg=0,"NO",('Activity data'!AU5*EF!$H18)*kgtoGg)</f>
        <v>7.9305347222157785</v>
      </c>
      <c r="AV18" s="28">
        <f>IF(('Activity data'!AV5*EF!$H18)*kgtoGg=0,"NO",('Activity data'!AV5*EF!$H18)*kgtoGg)</f>
        <v>8.0000974782944674</v>
      </c>
      <c r="AW18" s="28">
        <f>IF(('Activity data'!AW5*EF!$H18)*kgtoGg=0,"NO",('Activity data'!AW5*EF!$H18)*kgtoGg)</f>
        <v>8.0881913743911653</v>
      </c>
      <c r="AX18" s="28">
        <f>IF(('Activity data'!AX5*EF!$H18)*kgtoGg=0,"NO",('Activity data'!AX5*EF!$H18)*kgtoGg)</f>
        <v>8.177821451083382</v>
      </c>
      <c r="AY18" s="28">
        <f>IF(('Activity data'!AY5*EF!$H18)*kgtoGg=0,"NO",('Activity data'!AY5*EF!$H18)*kgtoGg)</f>
        <v>8.269538958975561</v>
      </c>
      <c r="AZ18" s="28">
        <f>IF(('Activity data'!AZ5*EF!$H18)*kgtoGg=0,"NO",('Activity data'!AZ5*EF!$H18)*kgtoGg)</f>
        <v>8.3569482928289069</v>
      </c>
      <c r="BA18" s="28">
        <f>IF(('Activity data'!BA5*EF!$H18)*kgtoGg=0,"NO",('Activity data'!BA5*EF!$H18)*kgtoGg)</f>
        <v>8.4490320061840283</v>
      </c>
      <c r="BB18" s="28">
        <f>IF(('Activity data'!BB5*EF!$H18)*kgtoGg=0,"NO",('Activity data'!BB5*EF!$H18)*kgtoGg)</f>
        <v>8.5458699358044488</v>
      </c>
      <c r="BC18" s="28">
        <f>IF(('Activity data'!BC5*EF!$H18)*kgtoGg=0,"NO",('Activity data'!BC5*EF!$H18)*kgtoGg)</f>
        <v>8.6456886534815727</v>
      </c>
      <c r="BD18" s="28">
        <f>IF(('Activity data'!BD5*EF!$H18)*kgtoGg=0,"NO",('Activity data'!BD5*EF!$H18)*kgtoGg)</f>
        <v>8.7438049828682196</v>
      </c>
      <c r="BE18" s="28">
        <f>IF(('Activity data'!BE5*EF!$H18)*kgtoGg=0,"NO",('Activity data'!BE5*EF!$H18)*kgtoGg)</f>
        <v>8.8449453082637906</v>
      </c>
      <c r="BF18" s="28">
        <f>IF(('Activity data'!BF5*EF!$H18)*kgtoGg=0,"NO",('Activity data'!BF5*EF!$H18)*kgtoGg)</f>
        <v>8.9519087046777308</v>
      </c>
      <c r="BG18" s="28">
        <f>IF(('Activity data'!BG5*EF!$H18)*kgtoGg=0,"NO",('Activity data'!BG5*EF!$H18)*kgtoGg)</f>
        <v>9.0633544670763548</v>
      </c>
      <c r="BH18" s="28">
        <f>IF(('Activity data'!BH5*EF!$H18)*kgtoGg=0,"NO",('Activity data'!BH5*EF!$H18)*kgtoGg)</f>
        <v>9.1788448229392205</v>
      </c>
      <c r="BI18" s="28">
        <f>IF(('Activity data'!BI5*EF!$H18)*kgtoGg=0,"NO",('Activity data'!BI5*EF!$H18)*kgtoGg)</f>
        <v>9.2985494549743208</v>
      </c>
      <c r="BJ18" s="28">
        <f>IF(('Activity data'!BJ5*EF!$H18)*kgtoGg=0,"NO",('Activity data'!BJ5*EF!$H18)*kgtoGg)</f>
        <v>9.4224844830148573</v>
      </c>
      <c r="BK18" s="28">
        <f>IF(('Activity data'!BK5*EF!$H18)*kgtoGg=0,"NO",('Activity data'!BK5*EF!$H18)*kgtoGg)</f>
        <v>9.5517635767636957</v>
      </c>
      <c r="BL18" s="28">
        <f>IF(('Activity data'!BL5*EF!$H18)*kgtoGg=0,"NO",('Activity data'!BL5*EF!$H18)*kgtoGg)</f>
        <v>9.6725096473944223</v>
      </c>
      <c r="BM18" s="28">
        <f>IF(('Activity data'!BM5*EF!$H18)*kgtoGg=0,"NO",('Activity data'!BM5*EF!$H18)*kgtoGg)</f>
        <v>9.7980059805720092</v>
      </c>
      <c r="BN18" s="28">
        <f>IF(('Activity data'!BN5*EF!$H18)*kgtoGg=0,"NO",('Activity data'!BN5*EF!$H18)*kgtoGg)</f>
        <v>9.9292893968204332</v>
      </c>
      <c r="BO18" s="28">
        <f>IF(('Activity data'!BO5*EF!$H18)*kgtoGg=0,"NO",('Activity data'!BO5*EF!$H18)*kgtoGg)</f>
        <v>10.066890083947595</v>
      </c>
      <c r="BP18" s="28">
        <f>IF(('Activity data'!BP5*EF!$H18)*kgtoGg=0,"NO",('Activity data'!BP5*EF!$H18)*kgtoGg)</f>
        <v>10.214073987703783</v>
      </c>
    </row>
    <row r="19" spans="1:68" x14ac:dyDescent="0.25">
      <c r="A19" t="str">
        <f t="shared" si="1"/>
        <v>3A Livestock</v>
      </c>
      <c r="B19" t="str">
        <f>B18</f>
        <v>3A2 Manure management (CH4)</v>
      </c>
      <c r="C19" t="str">
        <f>EF!C19</f>
        <v>3A1ai Dairy cattle</v>
      </c>
      <c r="D19" t="str">
        <f>EF!D19</f>
        <v>Pasture</v>
      </c>
      <c r="E19" t="str">
        <f>E18</f>
        <v>Manure management Emissions</v>
      </c>
      <c r="F19" t="str">
        <f t="shared" ref="F19:F35" si="6">F18</f>
        <v>CH4</v>
      </c>
      <c r="G19" t="str">
        <f t="shared" ref="G19:G35" si="7">G18</f>
        <v>Gg CH4</v>
      </c>
      <c r="H19" s="28">
        <f>IF(('Activity data'!H6*EF!$H19)*kgtoGg=0,"NO",('Activity data'!H6*EF!$H19)*kgtoGg)</f>
        <v>1.7124372347402925</v>
      </c>
      <c r="I19" s="28">
        <f>IF(('Activity data'!I6*EF!$H19)*kgtoGg=0,"NO",('Activity data'!I6*EF!$H19)*kgtoGg)</f>
        <v>1.9714600571042187</v>
      </c>
      <c r="J19" s="28">
        <f>IF(('Activity data'!J6*EF!$H19)*kgtoGg=0,"NO",('Activity data'!J6*EF!$H19)*kgtoGg)</f>
        <v>1.7055680359350514</v>
      </c>
      <c r="K19" s="28">
        <f>IF(('Activity data'!K6*EF!$H19)*kgtoGg=0,"NO",('Activity data'!K6*EF!$H19)*kgtoGg)</f>
        <v>1.8089147460498598</v>
      </c>
      <c r="L19" s="28">
        <f>IF(('Activity data'!L6*EF!$H19)*kgtoGg=0,"NO",('Activity data'!L6*EF!$H19)*kgtoGg)</f>
        <v>1.6780912407140869</v>
      </c>
      <c r="M19" s="28">
        <f>IF(('Activity data'!M6*EF!$H19)*kgtoGg=0,"NO",('Activity data'!M6*EF!$H19)*kgtoGg)</f>
        <v>1.7951763484393775</v>
      </c>
      <c r="N19" s="28">
        <f>IF(('Activity data'!N6*EF!$H19)*kgtoGg=0,"NO",('Activity data'!N6*EF!$H19)*kgtoGg)</f>
        <v>1.8020455472446186</v>
      </c>
      <c r="O19" s="28">
        <f>IF(('Activity data'!O6*EF!$H19)*kgtoGg=0,"NO",('Activity data'!O6*EF!$H19)*kgtoGg)</f>
        <v>1.7372898416536373</v>
      </c>
      <c r="P19" s="28">
        <f>IF(('Activity data'!P6*EF!$H19)*kgtoGg=0,"NO",('Activity data'!P6*EF!$H19)*kgtoGg)</f>
        <v>1.7166822452379138</v>
      </c>
      <c r="Q19" s="28">
        <f>IF(('Activity data'!Q6*EF!$H19)*kgtoGg=0,"NO",('Activity data'!Q6*EF!$H19)*kgtoGg)</f>
        <v>1.6862725336731379</v>
      </c>
      <c r="R19" s="28">
        <f>IF(('Activity data'!R6*EF!$H19)*kgtoGg=0,"NO",('Activity data'!R6*EF!$H19)*kgtoGg)</f>
        <v>2.1712842785285944</v>
      </c>
      <c r="S19" s="28">
        <f>IF(('Activity data'!S6*EF!$H19)*kgtoGg=0,"NO",('Activity data'!S6*EF!$H19)*kgtoGg)</f>
        <v>2.1644150797233528</v>
      </c>
      <c r="T19" s="28">
        <f>IF(('Activity data'!T6*EF!$H19)*kgtoGg=0,"NO",('Activity data'!T6*EF!$H19)*kgtoGg)</f>
        <v>1.8874088492513235</v>
      </c>
      <c r="U19" s="28">
        <f>IF(('Activity data'!U6*EF!$H19)*kgtoGg=0,"NO",('Activity data'!U6*EF!$H19)*kgtoGg)</f>
        <v>1.7166822452379138</v>
      </c>
      <c r="V19" s="28">
        <f>IF(('Activity data'!V6*EF!$H19)*kgtoGg=0,"NO",('Activity data'!V6*EF!$H19)*kgtoGg)</f>
        <v>1.6574836442983631</v>
      </c>
      <c r="W19" s="28">
        <f>IF(('Activity data'!W6*EF!$H19)*kgtoGg=0,"NO",('Activity data'!W6*EF!$H19)*kgtoGg)</f>
        <v>1.7745687520236539</v>
      </c>
      <c r="X19" s="28">
        <f>IF(('Activity data'!X6*EF!$H19)*kgtoGg=0,"NO",('Activity data'!X6*EF!$H19)*kgtoGg)</f>
        <v>1.735977747499827</v>
      </c>
      <c r="Y19" s="28">
        <f>IF(('Activity data'!Y6*EF!$H19)*kgtoGg=0,"NO",('Activity data'!Y6*EF!$H19)*kgtoGg)</f>
        <v>1.723551444043155</v>
      </c>
      <c r="Z19" s="28">
        <f>IF(('Activity data'!Z6*EF!$H19)*kgtoGg=0,"NO",('Activity data'!Z6*EF!$H19)*kgtoGg)</f>
        <v>2.1107735834352335</v>
      </c>
      <c r="AA19" s="28">
        <f>IF(('Activity data'!AA6*EF!$H19)*kgtoGg=0,"NO",('Activity data'!AA6*EF!$H19)*kgtoGg)</f>
        <v>2.1631029855695427</v>
      </c>
      <c r="AB19" s="28">
        <f>IF(('Activity data'!AB6*EF!$H19)*kgtoGg=0,"NO",('Activity data'!AB6*EF!$H19)*kgtoGg)</f>
        <v>2.1631029855695427</v>
      </c>
      <c r="AC19" s="28">
        <f>IF(('Activity data'!AC6*EF!$H19)*kgtoGg=0,"NO",('Activity data'!AC6*EF!$H19)*kgtoGg)</f>
        <v>2.0846088823680784</v>
      </c>
      <c r="AD19" s="28">
        <f>IF(('Activity data'!AD6*EF!$H19)*kgtoGg=0,"NO",('Activity data'!AD6*EF!$H19)*kgtoGg)</f>
        <v>2.0966719628342263</v>
      </c>
      <c r="AE19" s="28">
        <f>IF(('Activity data'!AE6*EF!$H19)*kgtoGg=0,"NO",('Activity data'!AE6*EF!$H19)*kgtoGg)</f>
        <v>2.1118720645462266</v>
      </c>
      <c r="AF19" s="28">
        <f>IF(('Activity data'!AF6*EF!$H19)*kgtoGg=0,"NO",('Activity data'!AF6*EF!$H19)*kgtoGg)</f>
        <v>2.1216014695443932</v>
      </c>
      <c r="AG19" s="28">
        <f>IF(('Activity data'!AG6*EF!$H19)*kgtoGg=0,"NO",('Activity data'!AG6*EF!$H19)*kgtoGg)</f>
        <v>2.127028883354062</v>
      </c>
      <c r="AH19" s="28">
        <f>IF(('Activity data'!AH6*EF!$H19)*kgtoGg=0,"NO",('Activity data'!AH6*EF!$H19)*kgtoGg)</f>
        <v>2.1299957594596632</v>
      </c>
      <c r="AI19" s="28">
        <f>IF(('Activity data'!AI6*EF!$H19)*kgtoGg=0,"NO",('Activity data'!AI6*EF!$H19)*kgtoGg)</f>
        <v>2.1363844850960509</v>
      </c>
      <c r="AJ19" s="28">
        <f>IF(('Activity data'!AJ6*EF!$H19)*kgtoGg=0,"NO",('Activity data'!AJ6*EF!$H19)*kgtoGg)</f>
        <v>2.1448559355933057</v>
      </c>
      <c r="AK19" s="28">
        <f>IF(('Activity data'!AK6*EF!$H19)*kgtoGg=0,"NO",('Activity data'!AK6*EF!$H19)*kgtoGg)</f>
        <v>2.1535477523506539</v>
      </c>
      <c r="AL19" s="28">
        <f>IF(('Activity data'!AL6*EF!$H19)*kgtoGg=0,"NO",('Activity data'!AL6*EF!$H19)*kgtoGg)</f>
        <v>2.0833259762740419</v>
      </c>
      <c r="AM19" s="28">
        <f>IF(('Activity data'!AM6*EF!$H19)*kgtoGg=0,"NO",('Activity data'!AM6*EF!$H19)*kgtoGg)</f>
        <v>2.0995624208728145</v>
      </c>
      <c r="AN19" s="28">
        <f>IF(('Activity data'!AN6*EF!$H19)*kgtoGg=0,"NO",('Activity data'!AN6*EF!$H19)*kgtoGg)</f>
        <v>2.1155594050332112</v>
      </c>
      <c r="AO19" s="28">
        <f>IF(('Activity data'!AO6*EF!$H19)*kgtoGg=0,"NO",('Activity data'!AO6*EF!$H19)*kgtoGg)</f>
        <v>2.1329166351844866</v>
      </c>
      <c r="AP19" s="28">
        <f>IF(('Activity data'!AP6*EF!$H19)*kgtoGg=0,"NO",('Activity data'!AP6*EF!$H19)*kgtoGg)</f>
        <v>2.1514955383625312</v>
      </c>
      <c r="AQ19" s="28">
        <f>IF(('Activity data'!AQ6*EF!$H19)*kgtoGg=0,"NO",('Activity data'!AQ6*EF!$H19)*kgtoGg)</f>
        <v>2.1698042229990882</v>
      </c>
      <c r="AR19" s="28">
        <f>IF(('Activity data'!AR6*EF!$H19)*kgtoGg=0,"NO",('Activity data'!AR6*EF!$H19)*kgtoGg)</f>
        <v>2.1909443471380943</v>
      </c>
      <c r="AS19" s="28">
        <f>IF(('Activity data'!AS6*EF!$H19)*kgtoGg=0,"NO",('Activity data'!AS6*EF!$H19)*kgtoGg)</f>
        <v>2.2128029550228816</v>
      </c>
      <c r="AT19" s="28">
        <f>IF(('Activity data'!AT6*EF!$H19)*kgtoGg=0,"NO",('Activity data'!AT6*EF!$H19)*kgtoGg)</f>
        <v>2.2357839614508559</v>
      </c>
      <c r="AU19" s="28">
        <f>IF(('Activity data'!AU6*EF!$H19)*kgtoGg=0,"NO",('Activity data'!AU6*EF!$H19)*kgtoGg)</f>
        <v>2.2594686606503629</v>
      </c>
      <c r="AV19" s="28">
        <f>IF(('Activity data'!AV6*EF!$H19)*kgtoGg=0,"NO",('Activity data'!AV6*EF!$H19)*kgtoGg)</f>
        <v>2.2792876101681006</v>
      </c>
      <c r="AW19" s="28">
        <f>IF(('Activity data'!AW6*EF!$H19)*kgtoGg=0,"NO",('Activity data'!AW6*EF!$H19)*kgtoGg)</f>
        <v>2.3043862200849703</v>
      </c>
      <c r="AX19" s="28">
        <f>IF(('Activity data'!AX6*EF!$H19)*kgtoGg=0,"NO",('Activity data'!AX6*EF!$H19)*kgtoGg)</f>
        <v>2.3299224993437244</v>
      </c>
      <c r="AY19" s="28">
        <f>IF(('Activity data'!AY6*EF!$H19)*kgtoGg=0,"NO",('Activity data'!AY6*EF!$H19)*kgtoGg)</f>
        <v>2.3560535033647785</v>
      </c>
      <c r="AZ19" s="28">
        <f>IF(('Activity data'!AZ6*EF!$H19)*kgtoGg=0,"NO",('Activity data'!AZ6*EF!$H19)*kgtoGg)</f>
        <v>2.3809570763781731</v>
      </c>
      <c r="BA19" s="28">
        <f>IF(('Activity data'!BA6*EF!$H19)*kgtoGg=0,"NO",('Activity data'!BA6*EF!$H19)*kgtoGg)</f>
        <v>2.4071924150747392</v>
      </c>
      <c r="BB19" s="28">
        <f>IF(('Activity data'!BB6*EF!$H19)*kgtoGg=0,"NO",('Activity data'!BB6*EF!$H19)*kgtoGg)</f>
        <v>2.4347822655455622</v>
      </c>
      <c r="BC19" s="28">
        <f>IF(('Activity data'!BC6*EF!$H19)*kgtoGg=0,"NO",('Activity data'!BC6*EF!$H19)*kgtoGg)</f>
        <v>2.4632213648292431</v>
      </c>
      <c r="BD19" s="28">
        <f>IF(('Activity data'!BD6*EF!$H19)*kgtoGg=0,"NO",('Activity data'!BD6*EF!$H19)*kgtoGg)</f>
        <v>2.4911754409555544</v>
      </c>
      <c r="BE19" s="28">
        <f>IF(('Activity data'!BE6*EF!$H19)*kgtoGg=0,"NO",('Activity data'!BE6*EF!$H19)*kgtoGg)</f>
        <v>2.5199910761634943</v>
      </c>
      <c r="BF19" s="28">
        <f>IF(('Activity data'!BF6*EF!$H19)*kgtoGg=0,"NO",('Activity data'!BF6*EF!$H19)*kgtoGg)</f>
        <v>2.5504657478595907</v>
      </c>
      <c r="BG19" s="28">
        <f>IF(('Activity data'!BG6*EF!$H19)*kgtoGg=0,"NO",('Activity data'!BG6*EF!$H19)*kgtoGg)</f>
        <v>2.5822174791516299</v>
      </c>
      <c r="BH19" s="28">
        <f>IF(('Activity data'!BH6*EF!$H19)*kgtoGg=0,"NO",('Activity data'!BH6*EF!$H19)*kgtoGg)</f>
        <v>2.6151215453741146</v>
      </c>
      <c r="BI19" s="28">
        <f>IF(('Activity data'!BI6*EF!$H19)*kgtoGg=0,"NO",('Activity data'!BI6*EF!$H19)*kgtoGg)</f>
        <v>2.6492262903997341</v>
      </c>
      <c r="BJ19" s="28">
        <f>IF(('Activity data'!BJ6*EF!$H19)*kgtoGg=0,"NO",('Activity data'!BJ6*EF!$H19)*kgtoGg)</f>
        <v>2.68453630688954</v>
      </c>
      <c r="BK19" s="28">
        <f>IF(('Activity data'!BK6*EF!$H19)*kgtoGg=0,"NO",('Activity data'!BK6*EF!$H19)*kgtoGg)</f>
        <v>2.7213688876718316</v>
      </c>
      <c r="BL19" s="28">
        <f>IF(('Activity data'!BL6*EF!$H19)*kgtoGg=0,"NO",('Activity data'!BL6*EF!$H19)*kgtoGg)</f>
        <v>2.7557703463430285</v>
      </c>
      <c r="BM19" s="28">
        <f>IF(('Activity data'!BM6*EF!$H19)*kgtoGg=0,"NO",('Activity data'!BM6*EF!$H19)*kgtoGg)</f>
        <v>2.7915251903445268</v>
      </c>
      <c r="BN19" s="28">
        <f>IF(('Activity data'!BN6*EF!$H19)*kgtoGg=0,"NO",('Activity data'!BN6*EF!$H19)*kgtoGg)</f>
        <v>2.8289288175987504</v>
      </c>
      <c r="BO19" s="28">
        <f>IF(('Activity data'!BO6*EF!$H19)*kgtoGg=0,"NO",('Activity data'!BO6*EF!$H19)*kgtoGg)</f>
        <v>2.8681322825778319</v>
      </c>
      <c r="BP19" s="28">
        <f>IF(('Activity data'!BP6*EF!$H19)*kgtoGg=0,"NO",('Activity data'!BP6*EF!$H19)*kgtoGg)</f>
        <v>2.9100660776544358</v>
      </c>
    </row>
    <row r="20" spans="1:68" x14ac:dyDescent="0.25">
      <c r="A20" t="str">
        <f t="shared" si="1"/>
        <v>3A Livestock</v>
      </c>
      <c r="B20" t="str">
        <f t="shared" ref="B20:B35" si="8">B19</f>
        <v>3A2 Manure management (CH4)</v>
      </c>
      <c r="C20" t="str">
        <f>EF!C20</f>
        <v>3A1aii Other cattle</v>
      </c>
      <c r="D20" t="str">
        <f>EF!D20</f>
        <v>Non-lactating</v>
      </c>
      <c r="E20" t="str">
        <f>E19</f>
        <v>Manure management Emissions</v>
      </c>
      <c r="F20" t="str">
        <f t="shared" si="6"/>
        <v>CH4</v>
      </c>
      <c r="G20" t="str">
        <f t="shared" si="7"/>
        <v>Gg CH4</v>
      </c>
      <c r="H20" s="28">
        <f>IF(('Activity data'!H7*EF!$H20)*kgtoGg=0,"NO",('Activity data'!H7*EF!$H20)*kgtoGg)</f>
        <v>0.41752621472755574</v>
      </c>
      <c r="I20" s="28">
        <f>IF(('Activity data'!I7*EF!$H20)*kgtoGg=0,"NO",('Activity data'!I7*EF!$H20)*kgtoGg)</f>
        <v>0.47458519205570593</v>
      </c>
      <c r="J20" s="28">
        <f>IF(('Activity data'!J7*EF!$H20)*kgtoGg=0,"NO",('Activity data'!J7*EF!$H20)*kgtoGg)</f>
        <v>0.41051742697229299</v>
      </c>
      <c r="K20" s="28">
        <f>IF(('Activity data'!K7*EF!$H20)*kgtoGg=0,"NO",('Activity data'!K7*EF!$H20)*kgtoGg)</f>
        <v>0.42961947568884723</v>
      </c>
      <c r="L20" s="28">
        <f>IF(('Activity data'!L7*EF!$H20)*kgtoGg=0,"NO",('Activity data'!L7*EF!$H20)*kgtoGg)</f>
        <v>0.38248227595124251</v>
      </c>
      <c r="M20" s="28">
        <f>IF(('Activity data'!M7*EF!$H20)*kgtoGg=0,"NO",('Activity data'!M7*EF!$H20)*kgtoGg)</f>
        <v>0.41560190017832183</v>
      </c>
      <c r="N20" s="28">
        <f>IF(('Activity data'!N7*EF!$H20)*kgtoGg=0,"NO",('Activity data'!N7*EF!$H20)*kgtoGg)</f>
        <v>0.42261068793358447</v>
      </c>
      <c r="O20" s="28">
        <f>IF(('Activity data'!O7*EF!$H20)*kgtoGg=0,"NO",('Activity data'!O7*EF!$H20)*kgtoGg)</f>
        <v>0.40834594360154697</v>
      </c>
      <c r="P20" s="28">
        <f>IF(('Activity data'!P7*EF!$H20)*kgtoGg=0,"NO",('Activity data'!P7*EF!$H20)*kgtoGg)</f>
        <v>0.38731958033575903</v>
      </c>
      <c r="Q20" s="28">
        <f>IF(('Activity data'!Q7*EF!$H20)*kgtoGg=0,"NO",('Activity data'!Q7*EF!$H20)*kgtoGg)</f>
        <v>0.40809877478003481</v>
      </c>
      <c r="R20" s="28">
        <f>IF(('Activity data'!R7*EF!$H20)*kgtoGg=0,"NO",('Activity data'!R7*EF!$H20)*kgtoGg)</f>
        <v>0.50578050173355138</v>
      </c>
      <c r="S20" s="28">
        <f>IF(('Activity data'!S7*EF!$H20)*kgtoGg=0,"NO",('Activity data'!S7*EF!$H20)*kgtoGg)</f>
        <v>0.49877171397828873</v>
      </c>
      <c r="T20" s="28">
        <f>IF(('Activity data'!T7*EF!$H20)*kgtoGg=0,"NO",('Activity data'!T7*EF!$H20)*kgtoGg)</f>
        <v>0.45790179553141008</v>
      </c>
      <c r="U20" s="28">
        <f>IF(('Activity data'!U7*EF!$H20)*kgtoGg=0,"NO",('Activity data'!U7*EF!$H20)*kgtoGg)</f>
        <v>0.38731958033575903</v>
      </c>
      <c r="V20" s="28">
        <f>IF(('Activity data'!V7*EF!$H20)*kgtoGg=0,"NO",('Activity data'!V7*EF!$H20)*kgtoGg)</f>
        <v>0.36145591268545452</v>
      </c>
      <c r="W20" s="28">
        <f>IF(('Activity data'!W7*EF!$H20)*kgtoGg=0,"NO",('Activity data'!W7*EF!$H20)*kgtoGg)</f>
        <v>0.39457553691253394</v>
      </c>
      <c r="X20" s="28">
        <f>IF(('Activity data'!X7*EF!$H20)*kgtoGg=0,"NO",('Activity data'!X7*EF!$H20)*kgtoGg)</f>
        <v>0.38973823252801737</v>
      </c>
      <c r="Y20" s="28">
        <f>IF(('Activity data'!Y7*EF!$H20)*kgtoGg=0,"NO",('Activity data'!Y7*EF!$H20)*kgtoGg)</f>
        <v>0.39432836809102173</v>
      </c>
      <c r="Z20" s="28">
        <f>IF(('Activity data'!Z7*EF!$H20)*kgtoGg=0,"NO",('Activity data'!Z7*EF!$H20)*kgtoGg)</f>
        <v>0.46130912300971733</v>
      </c>
      <c r="AA20" s="28">
        <f>IF(('Activity data'!AA7*EF!$H20)*kgtoGg=0,"NO",('Activity data'!AA7*EF!$H20)*kgtoGg)</f>
        <v>0.48016400290475908</v>
      </c>
      <c r="AB20" s="28">
        <f>IF(('Activity data'!AB7*EF!$H20)*kgtoGg=0,"NO",('Activity data'!AB7*EF!$H20)*kgtoGg)</f>
        <v>0.48016400290475908</v>
      </c>
      <c r="AC20" s="28">
        <f>IF(('Activity data'!AC7*EF!$H20)*kgtoGg=0,"NO",('Activity data'!AC7*EF!$H20)*kgtoGg)</f>
        <v>0.45188168306219634</v>
      </c>
      <c r="AD20" s="28">
        <f>IF(('Activity data'!AD7*EF!$H20)*kgtoGg=0,"NO",('Activity data'!AD7*EF!$H20)*kgtoGg)</f>
        <v>0.43304288036422733</v>
      </c>
      <c r="AE20" s="28">
        <f>IF(('Activity data'!AE7*EF!$H20)*kgtoGg=0,"NO",('Activity data'!AE7*EF!$H20)*kgtoGg)</f>
        <v>0.4361822822086131</v>
      </c>
      <c r="AF20" s="28">
        <f>IF(('Activity data'!AF7*EF!$H20)*kgtoGg=0,"NO",('Activity data'!AF7*EF!$H20)*kgtoGg)</f>
        <v>0.43819177613008525</v>
      </c>
      <c r="AG20" s="28">
        <f>IF(('Activity data'!AG7*EF!$H20)*kgtoGg=0,"NO",('Activity data'!AG7*EF!$H20)*kgtoGg)</f>
        <v>0.43931274447932112</v>
      </c>
      <c r="AH20" s="28">
        <f>IF(('Activity data'!AH7*EF!$H20)*kgtoGg=0,"NO",('Activity data'!AH7*EF!$H20)*kgtoGg)</f>
        <v>0.43992551776824157</v>
      </c>
      <c r="AI20" s="28">
        <f>IF(('Activity data'!AI7*EF!$H20)*kgtoGg=0,"NO",('Activity data'!AI7*EF!$H20)*kgtoGg)</f>
        <v>0.44124503374426405</v>
      </c>
      <c r="AJ20" s="28">
        <f>IF(('Activity data'!AJ7*EF!$H20)*kgtoGg=0,"NO",('Activity data'!AJ7*EF!$H20)*kgtoGg)</f>
        <v>0.44299471199113449</v>
      </c>
      <c r="AK20" s="28">
        <f>IF(('Activity data'!AK7*EF!$H20)*kgtoGg=0,"NO",('Activity data'!AK7*EF!$H20)*kgtoGg)</f>
        <v>0.44478990429156101</v>
      </c>
      <c r="AL20" s="28">
        <f>IF(('Activity data'!AL7*EF!$H20)*kgtoGg=0,"NO",('Activity data'!AL7*EF!$H20)*kgtoGg)</f>
        <v>0.43028642414991713</v>
      </c>
      <c r="AM20" s="28">
        <f>IF(('Activity data'!AM7*EF!$H20)*kgtoGg=0,"NO",('Activity data'!AM7*EF!$H20)*kgtoGg)</f>
        <v>0.43363987040214924</v>
      </c>
      <c r="AN20" s="28">
        <f>IF(('Activity data'!AN7*EF!$H20)*kgtoGg=0,"NO",('Activity data'!AN7*EF!$H20)*kgtoGg)</f>
        <v>0.43694385892336496</v>
      </c>
      <c r="AO20" s="28">
        <f>IF(('Activity data'!AO7*EF!$H20)*kgtoGg=0,"NO",('Activity data'!AO7*EF!$H20)*kgtoGg)</f>
        <v>0.44052879022072089</v>
      </c>
      <c r="AP20" s="28">
        <f>IF(('Activity data'!AP7*EF!$H20)*kgtoGg=0,"NO",('Activity data'!AP7*EF!$H20)*kgtoGg)</f>
        <v>0.44436604368184546</v>
      </c>
      <c r="AQ20" s="28">
        <f>IF(('Activity data'!AQ7*EF!$H20)*kgtoGg=0,"NO",('Activity data'!AQ7*EF!$H20)*kgtoGg)</f>
        <v>0.44814748668830284</v>
      </c>
      <c r="AR20" s="28">
        <f>IF(('Activity data'!AR7*EF!$H20)*kgtoGg=0,"NO",('Activity data'!AR7*EF!$H20)*kgtoGg)</f>
        <v>0.45251373014969654</v>
      </c>
      <c r="AS20" s="28">
        <f>IF(('Activity data'!AS7*EF!$H20)*kgtoGg=0,"NO",('Activity data'!AS7*EF!$H20)*kgtoGg)</f>
        <v>0.45702836795998397</v>
      </c>
      <c r="AT20" s="28">
        <f>IF(('Activity data'!AT7*EF!$H20)*kgtoGg=0,"NO",('Activity data'!AT7*EF!$H20)*kgtoGg)</f>
        <v>0.46177482395960839</v>
      </c>
      <c r="AU20" s="28">
        <f>IF(('Activity data'!AU7*EF!$H20)*kgtoGg=0,"NO",('Activity data'!AU7*EF!$H20)*kgtoGg)</f>
        <v>0.46666661940673698</v>
      </c>
      <c r="AV20" s="28">
        <f>IF(('Activity data'!AV7*EF!$H20)*kgtoGg=0,"NO",('Activity data'!AV7*EF!$H20)*kgtoGg)</f>
        <v>0.47075998982284767</v>
      </c>
      <c r="AW20" s="28">
        <f>IF(('Activity data'!AW7*EF!$H20)*kgtoGg=0,"NO",('Activity data'!AW7*EF!$H20)*kgtoGg)</f>
        <v>0.47594381186282347</v>
      </c>
      <c r="AX20" s="28">
        <f>IF(('Activity data'!AX7*EF!$H20)*kgtoGg=0,"NO",('Activity data'!AX7*EF!$H20)*kgtoGg)</f>
        <v>0.48121802934653896</v>
      </c>
      <c r="AY20" s="28">
        <f>IF(('Activity data'!AY7*EF!$H20)*kgtoGg=0,"NO",('Activity data'!AY7*EF!$H20)*kgtoGg)</f>
        <v>0.486615080219862</v>
      </c>
      <c r="AZ20" s="28">
        <f>IF(('Activity data'!AZ7*EF!$H20)*kgtoGg=0,"NO",('Activity data'!AZ7*EF!$H20)*kgtoGg)</f>
        <v>0.49175861968633311</v>
      </c>
      <c r="BA20" s="28">
        <f>IF(('Activity data'!BA7*EF!$H20)*kgtoGg=0,"NO",('Activity data'!BA7*EF!$H20)*kgtoGg)</f>
        <v>0.497177219657086</v>
      </c>
      <c r="BB20" s="28">
        <f>IF(('Activity data'!BB7*EF!$H20)*kgtoGg=0,"NO",('Activity data'!BB7*EF!$H20)*kgtoGg)</f>
        <v>0.50287557806912542</v>
      </c>
      <c r="BC20" s="28">
        <f>IF(('Activity data'!BC7*EF!$H20)*kgtoGg=0,"NO",('Activity data'!BC7*EF!$H20)*kgtoGg)</f>
        <v>0.50874933881332962</v>
      </c>
      <c r="BD20" s="28">
        <f>IF(('Activity data'!BD7*EF!$H20)*kgtoGg=0,"NO",('Activity data'!BD7*EF!$H20)*kgtoGg)</f>
        <v>0.51452292374136732</v>
      </c>
      <c r="BE20" s="28">
        <f>IF(('Activity data'!BE7*EF!$H20)*kgtoGg=0,"NO",('Activity data'!BE7*EF!$H20)*kgtoGg)</f>
        <v>0.52047445354248278</v>
      </c>
      <c r="BF20" s="28">
        <f>IF(('Activity data'!BF7*EF!$H20)*kgtoGg=0,"NO",('Activity data'!BF7*EF!$H20)*kgtoGg)</f>
        <v>0.52676863777509519</v>
      </c>
      <c r="BG20" s="28">
        <f>IF(('Activity data'!BG7*EF!$H20)*kgtoGg=0,"NO",('Activity data'!BG7*EF!$H20)*kgtoGg)</f>
        <v>0.53332658361449525</v>
      </c>
      <c r="BH20" s="28">
        <f>IF(('Activity data'!BH7*EF!$H20)*kgtoGg=0,"NO",('Activity data'!BH7*EF!$H20)*kgtoGg)</f>
        <v>0.54012253065115934</v>
      </c>
      <c r="BI20" s="28">
        <f>IF(('Activity data'!BI7*EF!$H20)*kgtoGg=0,"NO",('Activity data'!BI7*EF!$H20)*kgtoGg)</f>
        <v>0.54716646374216038</v>
      </c>
      <c r="BJ20" s="28">
        <f>IF(('Activity data'!BJ7*EF!$H20)*kgtoGg=0,"NO",('Activity data'!BJ7*EF!$H20)*kgtoGg)</f>
        <v>0.55445933144750426</v>
      </c>
      <c r="BK20" s="28">
        <f>IF(('Activity data'!BK7*EF!$H20)*kgtoGg=0,"NO",('Activity data'!BK7*EF!$H20)*kgtoGg)</f>
        <v>0.56206666686093287</v>
      </c>
      <c r="BL20" s="28">
        <f>IF(('Activity data'!BL7*EF!$H20)*kgtoGg=0,"NO",('Activity data'!BL7*EF!$H20)*kgtoGg)</f>
        <v>0.56917188265805185</v>
      </c>
      <c r="BM20" s="28">
        <f>IF(('Activity data'!BM7*EF!$H20)*kgtoGg=0,"NO",('Activity data'!BM7*EF!$H20)*kgtoGg)</f>
        <v>0.57655662424273557</v>
      </c>
      <c r="BN20" s="28">
        <f>IF(('Activity data'!BN7*EF!$H20)*kgtoGg=0,"NO",('Activity data'!BN7*EF!$H20)*kgtoGg)</f>
        <v>0.58428190257399326</v>
      </c>
      <c r="BO20" s="28">
        <f>IF(('Activity data'!BO7*EF!$H20)*kgtoGg=0,"NO",('Activity data'!BO7*EF!$H20)*kgtoGg)</f>
        <v>0.59237891617255878</v>
      </c>
      <c r="BP20" s="28">
        <f>IF(('Activity data'!BP7*EF!$H20)*kgtoGg=0,"NO",('Activity data'!BP7*EF!$H20)*kgtoGg)</f>
        <v>0.60103984727025339</v>
      </c>
    </row>
    <row r="21" spans="1:68" x14ac:dyDescent="0.25">
      <c r="A21" t="str">
        <f t="shared" si="1"/>
        <v>3A Livestock</v>
      </c>
      <c r="B21" t="str">
        <f t="shared" si="8"/>
        <v>3A2 Manure management (CH4)</v>
      </c>
      <c r="C21" t="str">
        <f>EF!C21</f>
        <v>3A1aii Other cattle</v>
      </c>
      <c r="D21" t="str">
        <f>EF!D21</f>
        <v>Commercial</v>
      </c>
      <c r="E21" t="str">
        <f>E19</f>
        <v>Manure management Emissions</v>
      </c>
      <c r="F21" t="str">
        <f>F19</f>
        <v>CH4</v>
      </c>
      <c r="G21" t="str">
        <f>G19</f>
        <v>Gg CH4</v>
      </c>
      <c r="H21" s="28">
        <f>IF(('Activity data'!H8*EF!$H21)*kgtoGg=0,"NO",('Activity data'!H8*EF!$H21)*kgtoGg)</f>
        <v>0.10860830449259461</v>
      </c>
      <c r="I21" s="28">
        <f>IF(('Activity data'!I8*EF!$H21)*kgtoGg=0,"NO",('Activity data'!I8*EF!$H21)*kgtoGg)</f>
        <v>0.10392054759979548</v>
      </c>
      <c r="J21" s="28">
        <f>IF(('Activity data'!J8*EF!$H21)*kgtoGg=0,"NO",('Activity data'!J8*EF!$H21)*kgtoGg)</f>
        <v>0.10388278936218015</v>
      </c>
      <c r="K21" s="28">
        <f>IF(('Activity data'!K8*EF!$H21)*kgtoGg=0,"NO",('Activity data'!K8*EF!$H21)*kgtoGg)</f>
        <v>9.7186039320312306E-2</v>
      </c>
      <c r="L21" s="28">
        <f>IF(('Activity data'!L8*EF!$H21)*kgtoGg=0,"NO",('Activity data'!L8*EF!$H21)*kgtoGg)</f>
        <v>0.10011588737831177</v>
      </c>
      <c r="M21" s="28">
        <f>IF(('Activity data'!M8*EF!$H21)*kgtoGg=0,"NO",('Activity data'!M8*EF!$H21)*kgtoGg)</f>
        <v>0.10239221522239531</v>
      </c>
      <c r="N21" s="28">
        <f>IF(('Activity data'!N8*EF!$H21)*kgtoGg=0,"NO",('Activity data'!N8*EF!$H21)*kgtoGg)</f>
        <v>0.10663977797793223</v>
      </c>
      <c r="O21" s="28">
        <f>IF(('Activity data'!O8*EF!$H21)*kgtoGg=0,"NO",('Activity data'!O8*EF!$H21)*kgtoGg)</f>
        <v>0.11067943145039739</v>
      </c>
      <c r="P21" s="28">
        <f>IF(('Activity data'!P8*EF!$H21)*kgtoGg=0,"NO",('Activity data'!P8*EF!$H21)*kgtoGg)</f>
        <v>0.11163804459694349</v>
      </c>
      <c r="Q21" s="28">
        <f>IF(('Activity data'!Q8*EF!$H21)*kgtoGg=0,"NO",('Activity data'!Q8*EF!$H21)*kgtoGg)</f>
        <v>0.10983154393736459</v>
      </c>
      <c r="R21" s="28">
        <f>IF(('Activity data'!R8*EF!$H21)*kgtoGg=0,"NO",('Activity data'!R8*EF!$H21)*kgtoGg)</f>
        <v>0.10237054804806753</v>
      </c>
      <c r="S21" s="28">
        <f>IF(('Activity data'!S8*EF!$H21)*kgtoGg=0,"NO",('Activity data'!S8*EF!$H21)*kgtoGg)</f>
        <v>0.10290250904130627</v>
      </c>
      <c r="T21" s="28">
        <f>IF(('Activity data'!T8*EF!$H21)*kgtoGg=0,"NO",('Activity data'!T8*EF!$H21)*kgtoGg)</f>
        <v>9.5906082860390207E-2</v>
      </c>
      <c r="U21" s="28">
        <f>IF(('Activity data'!U8*EF!$H21)*kgtoGg=0,"NO",('Activity data'!U8*EF!$H21)*kgtoGg)</f>
        <v>9.8414695558664236E-2</v>
      </c>
      <c r="V21" s="28">
        <f>IF(('Activity data'!V8*EF!$H21)*kgtoGg=0,"NO",('Activity data'!V8*EF!$H21)*kgtoGg)</f>
        <v>9.9322008483640145E-2</v>
      </c>
      <c r="W21" s="28">
        <f>IF(('Activity data'!W8*EF!$H21)*kgtoGg=0,"NO",('Activity data'!W8*EF!$H21)*kgtoGg)</f>
        <v>0.100164479203091</v>
      </c>
      <c r="X21" s="28">
        <f>IF(('Activity data'!X8*EF!$H21)*kgtoGg=0,"NO",('Activity data'!X8*EF!$H21)*kgtoGg)</f>
        <v>9.7882734565425497E-2</v>
      </c>
      <c r="Y21" s="28">
        <f>IF(('Activity data'!Y8*EF!$H21)*kgtoGg=0,"NO",('Activity data'!Y8*EF!$H21)*kgtoGg)</f>
        <v>0.10075044881469088</v>
      </c>
      <c r="Z21" s="28">
        <f>IF(('Activity data'!Z8*EF!$H21)*kgtoGg=0,"NO",('Activity data'!Z8*EF!$H21)*kgtoGg)</f>
        <v>9.7950798966544531E-2</v>
      </c>
      <c r="AA21" s="28">
        <f>IF(('Activity data'!AA8*EF!$H21)*kgtoGg=0,"NO",('Activity data'!AA8*EF!$H21)*kgtoGg)</f>
        <v>9.6306138291681109E-2</v>
      </c>
      <c r="AB21" s="28">
        <f>IF(('Activity data'!AB8*EF!$H21)*kgtoGg=0,"NO",('Activity data'!AB8*EF!$H21)*kgtoGg)</f>
        <v>9.6003388653333327E-2</v>
      </c>
      <c r="AC21" s="28">
        <f>IF(('Activity data'!AC8*EF!$H21)*kgtoGg=0,"NO",('Activity data'!AC8*EF!$H21)*kgtoGg)</f>
        <v>9.5658660192370931E-2</v>
      </c>
      <c r="AD21" s="28">
        <f>IF(('Activity data'!AD8*EF!$H21)*kgtoGg=0,"NO",('Activity data'!AD8*EF!$H21)*kgtoGg)</f>
        <v>9.5392298664336336E-2</v>
      </c>
      <c r="AE21" s="28">
        <f>IF(('Activity data'!AE8*EF!$H21)*kgtoGg=0,"NO",('Activity data'!AE8*EF!$H21)*kgtoGg)</f>
        <v>9.5054402109154529E-2</v>
      </c>
      <c r="AF21" s="28">
        <f>IF(('Activity data'!AF8*EF!$H21)*kgtoGg=0,"NO",('Activity data'!AF8*EF!$H21)*kgtoGg)</f>
        <v>9.3811034930034745E-2</v>
      </c>
      <c r="AG21" s="28">
        <f>IF(('Activity data'!AG8*EF!$H21)*kgtoGg=0,"NO",('Activity data'!AG8*EF!$H21)*kgtoGg)</f>
        <v>9.1887869924281176E-2</v>
      </c>
      <c r="AH21" s="28">
        <f>IF(('Activity data'!AH8*EF!$H21)*kgtoGg=0,"NO",('Activity data'!AH8*EF!$H21)*kgtoGg)</f>
        <v>8.9575172839363462E-2</v>
      </c>
      <c r="AI21" s="28">
        <f>IF(('Activity data'!AI8*EF!$H21)*kgtoGg=0,"NO",('Activity data'!AI8*EF!$H21)*kgtoGg)</f>
        <v>8.763615483797485E-2</v>
      </c>
      <c r="AJ21" s="28">
        <f>IF(('Activity data'!AJ8*EF!$H21)*kgtoGg=0,"NO",('Activity data'!AJ8*EF!$H21)*kgtoGg)</f>
        <v>8.5922135316790285E-2</v>
      </c>
      <c r="AK21" s="28">
        <f>IF(('Activity data'!AK8*EF!$H21)*kgtoGg=0,"NO",('Activity data'!AK8*EF!$H21)*kgtoGg)</f>
        <v>8.4195670338958847E-2</v>
      </c>
      <c r="AL21" s="28">
        <f>IF(('Activity data'!AL8*EF!$H21)*kgtoGg=0,"NO",('Activity data'!AL8*EF!$H21)*kgtoGg)</f>
        <v>7.3396350277059139E-2</v>
      </c>
      <c r="AM21" s="28">
        <f>IF(('Activity data'!AM8*EF!$H21)*kgtoGg=0,"NO",('Activity data'!AM8*EF!$H21)*kgtoGg)</f>
        <v>7.3815905412834643E-2</v>
      </c>
      <c r="AN21" s="28">
        <f>IF(('Activity data'!AN8*EF!$H21)*kgtoGg=0,"NO",('Activity data'!AN8*EF!$H21)*kgtoGg)</f>
        <v>7.4235281826757912E-2</v>
      </c>
      <c r="AO21" s="28">
        <f>IF(('Activity data'!AO8*EF!$H21)*kgtoGg=0,"NO",('Activity data'!AO8*EF!$H21)*kgtoGg)</f>
        <v>7.4832765200068471E-2</v>
      </c>
      <c r="AP21" s="28">
        <f>IF(('Activity data'!AP8*EF!$H21)*kgtoGg=0,"NO",('Activity data'!AP8*EF!$H21)*kgtoGg)</f>
        <v>7.5532388209221604E-2</v>
      </c>
      <c r="AQ21" s="28">
        <f>IF(('Activity data'!AQ8*EF!$H21)*kgtoGg=0,"NO",('Activity data'!AQ8*EF!$H21)*kgtoGg)</f>
        <v>7.6172373293777559E-2</v>
      </c>
      <c r="AR21" s="28">
        <f>IF(('Activity data'!AR8*EF!$H21)*kgtoGg=0,"NO",('Activity data'!AR8*EF!$H21)*kgtoGg)</f>
        <v>7.7081376260494536E-2</v>
      </c>
      <c r="AS21" s="28">
        <f>IF(('Activity data'!AS8*EF!$H21)*kgtoGg=0,"NO",('Activity data'!AS8*EF!$H21)*kgtoGg)</f>
        <v>7.8030423819011679E-2</v>
      </c>
      <c r="AT21" s="28">
        <f>IF(('Activity data'!AT8*EF!$H21)*kgtoGg=0,"NO",('Activity data'!AT8*EF!$H21)*kgtoGg)</f>
        <v>7.9059493965394148E-2</v>
      </c>
      <c r="AU21" s="28">
        <f>IF(('Activity data'!AU8*EF!$H21)*kgtoGg=0,"NO",('Activity data'!AU8*EF!$H21)*kgtoGg)</f>
        <v>8.011721639993008E-2</v>
      </c>
      <c r="AV21" s="28">
        <f>IF(('Activity data'!AV8*EF!$H21)*kgtoGg=0,"NO",('Activity data'!AV8*EF!$H21)*kgtoGg)</f>
        <v>8.0750790771899381E-2</v>
      </c>
      <c r="AW21" s="28">
        <f>IF(('Activity data'!AW8*EF!$H21)*kgtoGg=0,"NO",('Activity data'!AW8*EF!$H21)*kgtoGg)</f>
        <v>8.1181628162236674E-2</v>
      </c>
      <c r="AX21" s="28">
        <f>IF(('Activity data'!AX8*EF!$H21)*kgtoGg=0,"NO",('Activity data'!AX8*EF!$H21)*kgtoGg)</f>
        <v>8.1581331375890076E-2</v>
      </c>
      <c r="AY21" s="28">
        <f>IF(('Activity data'!AY8*EF!$H21)*kgtoGg=0,"NO",('Activity data'!AY8*EF!$H21)*kgtoGg)</f>
        <v>8.1963404639034135E-2</v>
      </c>
      <c r="AZ21" s="28">
        <f>IF(('Activity data'!AZ8*EF!$H21)*kgtoGg=0,"NO",('Activity data'!AZ8*EF!$H21)*kgtoGg)</f>
        <v>8.215996304748277E-2</v>
      </c>
      <c r="BA21" s="28">
        <f>IF(('Activity data'!BA8*EF!$H21)*kgtoGg=0,"NO",('Activity data'!BA8*EF!$H21)*kgtoGg)</f>
        <v>8.240564997053719E-2</v>
      </c>
      <c r="BB21" s="28">
        <f>IF(('Activity data'!BB8*EF!$H21)*kgtoGg=0,"NO",('Activity data'!BB8*EF!$H21)*kgtoGg)</f>
        <v>8.2695519023556693E-2</v>
      </c>
      <c r="BC21" s="28">
        <f>IF(('Activity data'!BC8*EF!$H21)*kgtoGg=0,"NO",('Activity data'!BC8*EF!$H21)*kgtoGg)</f>
        <v>8.2980255008347145E-2</v>
      </c>
      <c r="BD21" s="28">
        <f>IF(('Activity data'!BD8*EF!$H21)*kgtoGg=0,"NO",('Activity data'!BD8*EF!$H21)*kgtoGg)</f>
        <v>8.3146941670457594E-2</v>
      </c>
      <c r="BE21" s="28">
        <f>IF(('Activity data'!BE8*EF!$H21)*kgtoGg=0,"NO",('Activity data'!BE8*EF!$H21)*kgtoGg)</f>
        <v>8.330573741072321E-2</v>
      </c>
      <c r="BF21" s="28">
        <f>IF(('Activity data'!BF8*EF!$H21)*kgtoGg=0,"NO",('Activity data'!BF8*EF!$H21)*kgtoGg)</f>
        <v>8.3514821361344416E-2</v>
      </c>
      <c r="BG21" s="28">
        <f>IF(('Activity data'!BG8*EF!$H21)*kgtoGg=0,"NO",('Activity data'!BG8*EF!$H21)*kgtoGg)</f>
        <v>8.4163927904186739E-2</v>
      </c>
      <c r="BH21" s="28">
        <f>IF(('Activity data'!BH8*EF!$H21)*kgtoGg=0,"NO",('Activity data'!BH8*EF!$H21)*kgtoGg)</f>
        <v>8.4830522711457745E-2</v>
      </c>
      <c r="BI21" s="28">
        <f>IF(('Activity data'!BI8*EF!$H21)*kgtoGg=0,"NO",('Activity data'!BI8*EF!$H21)*kgtoGg)</f>
        <v>8.5513912525717634E-2</v>
      </c>
      <c r="BJ21" s="28">
        <f>IF(('Activity data'!BJ8*EF!$H21)*kgtoGg=0,"NO",('Activity data'!BJ8*EF!$H21)*kgtoGg)</f>
        <v>8.6209966817977698E-2</v>
      </c>
      <c r="BK21" s="28">
        <f>IF(('Activity data'!BK8*EF!$H21)*kgtoGg=0,"NO",('Activity data'!BK8*EF!$H21)*kgtoGg)</f>
        <v>8.6936551017506011E-2</v>
      </c>
      <c r="BL21" s="28">
        <f>IF(('Activity data'!BL8*EF!$H21)*kgtoGg=0,"NO",('Activity data'!BL8*EF!$H21)*kgtoGg)</f>
        <v>8.7416733961684645E-2</v>
      </c>
      <c r="BM21" s="28">
        <f>IF(('Activity data'!BM8*EF!$H21)*kgtoGg=0,"NO",('Activity data'!BM8*EF!$H21)*kgtoGg)</f>
        <v>8.7916337224156565E-2</v>
      </c>
      <c r="BN21" s="28">
        <f>IF(('Activity data'!BN8*EF!$H21)*kgtoGg=0,"NO",('Activity data'!BN8*EF!$H21)*kgtoGg)</f>
        <v>8.8449733018695256E-2</v>
      </c>
      <c r="BO21" s="28">
        <f>IF(('Activity data'!BO8*EF!$H21)*kgtoGg=0,"NO",('Activity data'!BO8*EF!$H21)*kgtoGg)</f>
        <v>8.9020556610960103E-2</v>
      </c>
      <c r="BP21" s="28">
        <f>IF(('Activity data'!BP8*EF!$H21)*kgtoGg=0,"NO",('Activity data'!BP8*EF!$H21)*kgtoGg)</f>
        <v>8.968045158633603E-2</v>
      </c>
    </row>
    <row r="22" spans="1:68" x14ac:dyDescent="0.25">
      <c r="A22" t="str">
        <f t="shared" si="1"/>
        <v>3A Livestock</v>
      </c>
      <c r="B22" t="str">
        <f t="shared" si="8"/>
        <v>3A2 Manure management (CH4)</v>
      </c>
      <c r="C22" t="str">
        <f>EF!C22</f>
        <v>3A1aii Other cattle</v>
      </c>
      <c r="D22" t="str">
        <f>EF!D22</f>
        <v>Subsistence</v>
      </c>
      <c r="E22" t="str">
        <f t="shared" ref="E22:E53" si="9">E21</f>
        <v>Manure management Emissions</v>
      </c>
      <c r="F22" t="str">
        <f t="shared" si="6"/>
        <v>CH4</v>
      </c>
      <c r="G22" t="str">
        <f t="shared" si="7"/>
        <v>Gg CH4</v>
      </c>
      <c r="H22" s="28">
        <f>IF(('Activity data'!H9*EF!$H22)*kgtoGg=0,"NO",('Activity data'!H9*EF!$H22)*kgtoGg)</f>
        <v>6.0573784267535902E-2</v>
      </c>
      <c r="I22" s="28">
        <f>IF(('Activity data'!I9*EF!$H22)*kgtoGg=0,"NO",('Activity data'!I9*EF!$H22)*kgtoGg)</f>
        <v>6.4268917076884494E-2</v>
      </c>
      <c r="J22" s="28">
        <f>IF(('Activity data'!J9*EF!$H22)*kgtoGg=0,"NO",('Activity data'!J9*EF!$H22)*kgtoGg)</f>
        <v>6.7304204741706564E-2</v>
      </c>
      <c r="K22" s="28">
        <f>IF(('Activity data'!K9*EF!$H22)*kgtoGg=0,"NO",('Activity data'!K9*EF!$H22)*kgtoGg)</f>
        <v>6.651239056827471E-2</v>
      </c>
      <c r="L22" s="28">
        <f>IF(('Activity data'!L9*EF!$H22)*kgtoGg=0,"NO",('Activity data'!L9*EF!$H22)*kgtoGg)</f>
        <v>5.7934403689429759E-2</v>
      </c>
      <c r="M22" s="28">
        <f>IF(('Activity data'!M9*EF!$H22)*kgtoGg=0,"NO",('Activity data'!M9*EF!$H22)*kgtoGg)</f>
        <v>5.5954868255850158E-2</v>
      </c>
      <c r="N22" s="28">
        <f>IF(('Activity data'!N9*EF!$H22)*kgtoGg=0,"NO",('Activity data'!N9*EF!$H22)*kgtoGg)</f>
        <v>5.7538496602713839E-2</v>
      </c>
      <c r="O22" s="28">
        <f>IF(('Activity data'!O9*EF!$H22)*kgtoGg=0,"NO",('Activity data'!O9*EF!$H22)*kgtoGg)</f>
        <v>6.0177877180819982E-2</v>
      </c>
      <c r="P22" s="28">
        <f>IF(('Activity data'!P9*EF!$H22)*kgtoGg=0,"NO",('Activity data'!P9*EF!$H22)*kgtoGg)</f>
        <v>6.3873009990168567E-2</v>
      </c>
      <c r="Q22" s="28">
        <f>IF(('Activity data'!Q9*EF!$H22)*kgtoGg=0,"NO",('Activity data'!Q9*EF!$H22)*kgtoGg)</f>
        <v>6.651239056827471E-2</v>
      </c>
      <c r="R22" s="28">
        <f>IF(('Activity data'!R9*EF!$H22)*kgtoGg=0,"NO",('Activity data'!R9*EF!$H22)*kgtoGg)</f>
        <v>6.4928762221411029E-2</v>
      </c>
      <c r="S22" s="28">
        <f>IF(('Activity data'!S9*EF!$H22)*kgtoGg=0,"NO",('Activity data'!S9*EF!$H22)*kgtoGg)</f>
        <v>6.3345133874547349E-2</v>
      </c>
      <c r="T22" s="28">
        <f>IF(('Activity data'!T9*EF!$H22)*kgtoGg=0,"NO",('Activity data'!T9*EF!$H22)*kgtoGg)</f>
        <v>7.1791151724486982E-2</v>
      </c>
      <c r="U22" s="28">
        <f>IF(('Activity data'!U9*EF!$H22)*kgtoGg=0,"NO",('Activity data'!U9*EF!$H22)*kgtoGg)</f>
        <v>7.350674910025598E-2</v>
      </c>
      <c r="V22" s="28">
        <f>IF(('Activity data'!V9*EF!$H22)*kgtoGg=0,"NO",('Activity data'!V9*EF!$H22)*kgtoGg)</f>
        <v>7.2319027840108213E-2</v>
      </c>
      <c r="W22" s="28">
        <f>IF(('Activity data'!W9*EF!$H22)*kgtoGg=0,"NO",('Activity data'!W9*EF!$H22)*kgtoGg)</f>
        <v>7.0207523377623302E-2</v>
      </c>
      <c r="X22" s="28">
        <f>IF(('Activity data'!X9*EF!$H22)*kgtoGg=0,"NO",('Activity data'!X9*EF!$H22)*kgtoGg)</f>
        <v>7.2450996869013531E-2</v>
      </c>
      <c r="Y22" s="28">
        <f>IF(('Activity data'!Y9*EF!$H22)*kgtoGg=0,"NO",('Activity data'!Y9*EF!$H22)*kgtoGg)</f>
        <v>7.5354315504930283E-2</v>
      </c>
      <c r="Z22" s="28">
        <f>IF(('Activity data'!Z9*EF!$H22)*kgtoGg=0,"NO",('Activity data'!Z9*EF!$H22)*kgtoGg)</f>
        <v>7.4166594244782516E-2</v>
      </c>
      <c r="AA22" s="28">
        <f>IF(('Activity data'!AA9*EF!$H22)*kgtoGg=0,"NO",('Activity data'!AA9*EF!$H22)*kgtoGg)</f>
        <v>7.3374780071350676E-2</v>
      </c>
      <c r="AB22" s="28">
        <f>IF(('Activity data'!AB9*EF!$H22)*kgtoGg=0,"NO",('Activity data'!AB9*EF!$H22)*kgtoGg)</f>
        <v>7.2319027840108213E-2</v>
      </c>
      <c r="AC22" s="28">
        <f>IF(('Activity data'!AC9*EF!$H22)*kgtoGg=0,"NO",('Activity data'!AC9*EF!$H22)*kgtoGg)</f>
        <v>7.2846903955729445E-2</v>
      </c>
      <c r="AD22" s="28">
        <f>IF(('Activity data'!AD9*EF!$H22)*kgtoGg=0,"NO",('Activity data'!AD9*EF!$H22)*kgtoGg)</f>
        <v>7.0071909785372102E-2</v>
      </c>
      <c r="AE22" s="28">
        <f>IF(('Activity data'!AE9*EF!$H22)*kgtoGg=0,"NO",('Activity data'!AE9*EF!$H22)*kgtoGg)</f>
        <v>6.9823702568825183E-2</v>
      </c>
      <c r="AF22" s="28">
        <f>IF(('Activity data'!AF9*EF!$H22)*kgtoGg=0,"NO",('Activity data'!AF9*EF!$H22)*kgtoGg)</f>
        <v>6.8910367697716274E-2</v>
      </c>
      <c r="AG22" s="28">
        <f>IF(('Activity data'!AG9*EF!$H22)*kgtoGg=0,"NO",('Activity data'!AG9*EF!$H22)*kgtoGg)</f>
        <v>6.7497676666339226E-2</v>
      </c>
      <c r="AH22" s="28">
        <f>IF(('Activity data'!AH9*EF!$H22)*kgtoGg=0,"NO",('Activity data'!AH9*EF!$H22)*kgtoGg)</f>
        <v>6.5798848734060528E-2</v>
      </c>
      <c r="AI22" s="28">
        <f>IF(('Activity data'!AI9*EF!$H22)*kgtoGg=0,"NO",('Activity data'!AI9*EF!$H22)*kgtoGg)</f>
        <v>6.4374512635990255E-2</v>
      </c>
      <c r="AJ22" s="28">
        <f>IF(('Activity data'!AJ9*EF!$H22)*kgtoGg=0,"NO",('Activity data'!AJ9*EF!$H22)*kgtoGg)</f>
        <v>6.3115452702007177E-2</v>
      </c>
      <c r="AK22" s="28">
        <f>IF(('Activity data'!AK9*EF!$H22)*kgtoGg=0,"NO",('Activity data'!AK9*EF!$H22)*kgtoGg)</f>
        <v>6.1847250762562395E-2</v>
      </c>
      <c r="AL22" s="28">
        <f>IF(('Activity data'!AL9*EF!$H22)*kgtoGg=0,"NO",('Activity data'!AL9*EF!$H22)*kgtoGg)</f>
        <v>5.3914440758858088E-2</v>
      </c>
      <c r="AM22" s="28">
        <f>IF(('Activity data'!AM9*EF!$H22)*kgtoGg=0,"NO",('Activity data'!AM9*EF!$H22)*kgtoGg)</f>
        <v>5.4222631567085698E-2</v>
      </c>
      <c r="AN22" s="28">
        <f>IF(('Activity data'!AN9*EF!$H22)*kgtoGg=0,"NO",('Activity data'!AN9*EF!$H22)*kgtoGg)</f>
        <v>5.4530691092372401E-2</v>
      </c>
      <c r="AO22" s="28">
        <f>IF(('Activity data'!AO9*EF!$H22)*kgtoGg=0,"NO",('Activity data'!AO9*EF!$H22)*kgtoGg)</f>
        <v>5.4969581879355092E-2</v>
      </c>
      <c r="AP22" s="28">
        <f>IF(('Activity data'!AP9*EF!$H22)*kgtoGg=0,"NO",('Activity data'!AP9*EF!$H22)*kgtoGg)</f>
        <v>5.548350093851994E-2</v>
      </c>
      <c r="AQ22" s="28">
        <f>IF(('Activity data'!AQ9*EF!$H22)*kgtoGg=0,"NO",('Activity data'!AQ9*EF!$H22)*kgtoGg)</f>
        <v>5.5953612024392689E-2</v>
      </c>
      <c r="AR22" s="28">
        <f>IF(('Activity data'!AR9*EF!$H22)*kgtoGg=0,"NO",('Activity data'!AR9*EF!$H22)*kgtoGg)</f>
        <v>5.6621334416769011E-2</v>
      </c>
      <c r="AS22" s="28">
        <f>IF(('Activity data'!AS9*EF!$H22)*kgtoGg=0,"NO",('Activity data'!AS9*EF!$H22)*kgtoGg)</f>
        <v>5.7318472192392243E-2</v>
      </c>
      <c r="AT22" s="28">
        <f>IF(('Activity data'!AT9*EF!$H22)*kgtoGg=0,"NO",('Activity data'!AT9*EF!$H22)*kgtoGg)</f>
        <v>5.8074391815567145E-2</v>
      </c>
      <c r="AU22" s="28">
        <f>IF(('Activity data'!AU9*EF!$H22)*kgtoGg=0,"NO",('Activity data'!AU9*EF!$H22)*kgtoGg)</f>
        <v>5.8851358426588486E-2</v>
      </c>
      <c r="AV22" s="28">
        <f>IF(('Activity data'!AV9*EF!$H22)*kgtoGg=0,"NO",('Activity data'!AV9*EF!$H22)*kgtoGg)</f>
        <v>5.9316760422940151E-2</v>
      </c>
      <c r="AW22" s="28">
        <f>IF(('Activity data'!AW9*EF!$H22)*kgtoGg=0,"NO",('Activity data'!AW9*EF!$H22)*kgtoGg)</f>
        <v>5.9633238788286067E-2</v>
      </c>
      <c r="AX22" s="28">
        <f>IF(('Activity data'!AX9*EF!$H22)*kgtoGg=0,"NO",('Activity data'!AX9*EF!$H22)*kgtoGg)</f>
        <v>5.9926847055622193E-2</v>
      </c>
      <c r="AY22" s="28">
        <f>IF(('Activity data'!AY9*EF!$H22)*kgtoGg=0,"NO",('Activity data'!AY9*EF!$H22)*kgtoGg)</f>
        <v>6.0207504966179944E-2</v>
      </c>
      <c r="AZ22" s="28">
        <f>IF(('Activity data'!AZ9*EF!$H22)*kgtoGg=0,"NO",('Activity data'!AZ9*EF!$H22)*kgtoGg)</f>
        <v>6.0351890029305778E-2</v>
      </c>
      <c r="BA22" s="28">
        <f>IF(('Activity data'!BA9*EF!$H22)*kgtoGg=0,"NO",('Activity data'!BA9*EF!$H22)*kgtoGg)</f>
        <v>6.0532363213711304E-2</v>
      </c>
      <c r="BB22" s="28">
        <f>IF(('Activity data'!BB9*EF!$H22)*kgtoGg=0,"NO",('Activity data'!BB9*EF!$H22)*kgtoGg)</f>
        <v>6.074529107494489E-2</v>
      </c>
      <c r="BC22" s="28">
        <f>IF(('Activity data'!BC9*EF!$H22)*kgtoGg=0,"NO",('Activity data'!BC9*EF!$H22)*kgtoGg)</f>
        <v>6.0954448360367813E-2</v>
      </c>
      <c r="BD22" s="28">
        <f>IF(('Activity data'!BD9*EF!$H22)*kgtoGg=0,"NO",('Activity data'!BD9*EF!$H22)*kgtoGg)</f>
        <v>6.1076890663503094E-2</v>
      </c>
      <c r="BE22" s="28">
        <f>IF(('Activity data'!BE9*EF!$H22)*kgtoGg=0,"NO",('Activity data'!BE9*EF!$H22)*kgtoGg)</f>
        <v>6.1193536566180706E-2</v>
      </c>
      <c r="BF22" s="28">
        <f>IF(('Activity data'!BF9*EF!$H22)*kgtoGg=0,"NO",('Activity data'!BF9*EF!$H22)*kgtoGg)</f>
        <v>6.1347122462847792E-2</v>
      </c>
      <c r="BG22" s="28">
        <f>IF(('Activity data'!BG9*EF!$H22)*kgtoGg=0,"NO",('Activity data'!BG9*EF!$H22)*kgtoGg)</f>
        <v>6.1823933859029685E-2</v>
      </c>
      <c r="BH22" s="28">
        <f>IF(('Activity data'!BH9*EF!$H22)*kgtoGg=0,"NO",('Activity data'!BH9*EF!$H22)*kgtoGg)</f>
        <v>6.2313591534256196E-2</v>
      </c>
      <c r="BI22" s="28">
        <f>IF(('Activity data'!BI9*EF!$H22)*kgtoGg=0,"NO",('Activity data'!BI9*EF!$H22)*kgtoGg)</f>
        <v>6.2815586245396987E-2</v>
      </c>
      <c r="BJ22" s="28">
        <f>IF(('Activity data'!BJ9*EF!$H22)*kgtoGg=0,"NO",('Activity data'!BJ9*EF!$H22)*kgtoGg)</f>
        <v>6.3326883847571278E-2</v>
      </c>
      <c r="BK22" s="28">
        <f>IF(('Activity data'!BK9*EF!$H22)*kgtoGg=0,"NO",('Activity data'!BK9*EF!$H22)*kgtoGg)</f>
        <v>6.3860607672174524E-2</v>
      </c>
      <c r="BL22" s="28">
        <f>IF(('Activity data'!BL9*EF!$H22)*kgtoGg=0,"NO",('Activity data'!BL9*EF!$H22)*kgtoGg)</f>
        <v>6.4213333588376192E-2</v>
      </c>
      <c r="BM22" s="28">
        <f>IF(('Activity data'!BM9*EF!$H22)*kgtoGg=0,"NO",('Activity data'!BM9*EF!$H22)*kgtoGg)</f>
        <v>6.4580325004104558E-2</v>
      </c>
      <c r="BN22" s="28">
        <f>IF(('Activity data'!BN9*EF!$H22)*kgtoGg=0,"NO",('Activity data'!BN9*EF!$H22)*kgtoGg)</f>
        <v>6.4972139254501557E-2</v>
      </c>
      <c r="BO22" s="28">
        <f>IF(('Activity data'!BO9*EF!$H22)*kgtoGg=0,"NO",('Activity data'!BO9*EF!$H22)*kgtoGg)</f>
        <v>6.5391446680998222E-2</v>
      </c>
      <c r="BP22" s="28">
        <f>IF(('Activity data'!BP9*EF!$H22)*kgtoGg=0,"NO",('Activity data'!BP9*EF!$H22)*kgtoGg)</f>
        <v>6.5876182889579069E-2</v>
      </c>
    </row>
    <row r="23" spans="1:68" x14ac:dyDescent="0.25">
      <c r="A23" t="str">
        <f t="shared" si="1"/>
        <v>3A Livestock</v>
      </c>
      <c r="B23" t="str">
        <f t="shared" si="8"/>
        <v>3A2 Manure management (CH4)</v>
      </c>
      <c r="C23" t="str">
        <f>EF!C23</f>
        <v>3A1aii Other cattle</v>
      </c>
      <c r="D23" t="str">
        <f>EF!D23</f>
        <v>Feedlot</v>
      </c>
      <c r="E23" t="str">
        <f t="shared" si="9"/>
        <v>Manure management Emissions</v>
      </c>
      <c r="F23" t="str">
        <f t="shared" si="6"/>
        <v>CH4</v>
      </c>
      <c r="G23" t="str">
        <f t="shared" si="7"/>
        <v>Gg CH4</v>
      </c>
      <c r="H23" s="28">
        <f>IF(('Activity data'!H10*EF!$H23)*kgtoGg=0,"NO",('Activity data'!H10*EF!$H23)*kgtoGg)</f>
        <v>0.3654</v>
      </c>
      <c r="I23" s="28">
        <f>IF(('Activity data'!I10*EF!$H23)*kgtoGg=0,"NO",('Activity data'!I10*EF!$H23)*kgtoGg)</f>
        <v>0.3654</v>
      </c>
      <c r="J23" s="28">
        <f>IF(('Activity data'!J10*EF!$H23)*kgtoGg=0,"NO",('Activity data'!J10*EF!$H23)*kgtoGg)</f>
        <v>0.3654</v>
      </c>
      <c r="K23" s="28">
        <f>IF(('Activity data'!K10*EF!$H23)*kgtoGg=0,"NO",('Activity data'!K10*EF!$H23)*kgtoGg)</f>
        <v>0.3654</v>
      </c>
      <c r="L23" s="28">
        <f>IF(('Activity data'!L10*EF!$H23)*kgtoGg=0,"NO",('Activity data'!L10*EF!$H23)*kgtoGg)</f>
        <v>0.3654</v>
      </c>
      <c r="M23" s="28">
        <f>IF(('Activity data'!M10*EF!$H23)*kgtoGg=0,"NO",('Activity data'!M10*EF!$H23)*kgtoGg)</f>
        <v>0.3654</v>
      </c>
      <c r="N23" s="28">
        <f>IF(('Activity data'!N10*EF!$H23)*kgtoGg=0,"NO",('Activity data'!N10*EF!$H23)*kgtoGg)</f>
        <v>0.3654</v>
      </c>
      <c r="O23" s="28">
        <f>IF(('Activity data'!O10*EF!$H23)*kgtoGg=0,"NO",('Activity data'!O10*EF!$H23)*kgtoGg)</f>
        <v>0.3654</v>
      </c>
      <c r="P23" s="28">
        <f>IF(('Activity data'!P10*EF!$H23)*kgtoGg=0,"NO",('Activity data'!P10*EF!$H23)*kgtoGg)</f>
        <v>0.3654</v>
      </c>
      <c r="Q23" s="28">
        <f>IF(('Activity data'!Q10*EF!$H23)*kgtoGg=0,"NO",('Activity data'!Q10*EF!$H23)*kgtoGg)</f>
        <v>0.3654</v>
      </c>
      <c r="R23" s="28">
        <f>IF(('Activity data'!R10*EF!$H23)*kgtoGg=0,"NO",('Activity data'!R10*EF!$H23)*kgtoGg)</f>
        <v>0.3654</v>
      </c>
      <c r="S23" s="28">
        <f>IF(('Activity data'!S10*EF!$H23)*kgtoGg=0,"NO",('Activity data'!S10*EF!$H23)*kgtoGg)</f>
        <v>0.3654</v>
      </c>
      <c r="T23" s="28">
        <f>IF(('Activity data'!T10*EF!$H23)*kgtoGg=0,"NO",('Activity data'!T10*EF!$H23)*kgtoGg)</f>
        <v>0.3654</v>
      </c>
      <c r="U23" s="28">
        <f>IF(('Activity data'!U10*EF!$H23)*kgtoGg=0,"NO",('Activity data'!U10*EF!$H23)*kgtoGg)</f>
        <v>0.3654</v>
      </c>
      <c r="V23" s="28">
        <f>IF(('Activity data'!V10*EF!$H23)*kgtoGg=0,"NO",('Activity data'!V10*EF!$H23)*kgtoGg)</f>
        <v>0.3654</v>
      </c>
      <c r="W23" s="28">
        <f>IF(('Activity data'!W10*EF!$H23)*kgtoGg=0,"NO",('Activity data'!W10*EF!$H23)*kgtoGg)</f>
        <v>0.3654</v>
      </c>
      <c r="X23" s="28">
        <f>IF(('Activity data'!X10*EF!$H23)*kgtoGg=0,"NO",('Activity data'!X10*EF!$H23)*kgtoGg)</f>
        <v>0.3654</v>
      </c>
      <c r="Y23" s="28">
        <f>IF(('Activity data'!Y10*EF!$H23)*kgtoGg=0,"NO",('Activity data'!Y10*EF!$H23)*kgtoGg)</f>
        <v>0.3654</v>
      </c>
      <c r="Z23" s="28">
        <f>IF(('Activity data'!Z10*EF!$H23)*kgtoGg=0,"NO",('Activity data'!Z10*EF!$H23)*kgtoGg)</f>
        <v>0.34029854249999997</v>
      </c>
      <c r="AA23" s="28">
        <f>IF(('Activity data'!AA10*EF!$H23)*kgtoGg=0,"NO",('Activity data'!AA10*EF!$H23)*kgtoGg)</f>
        <v>0.34871289249999998</v>
      </c>
      <c r="AB23" s="28">
        <f>IF(('Activity data'!AB10*EF!$H23)*kgtoGg=0,"NO",('Activity data'!AB10*EF!$H23)*kgtoGg)</f>
        <v>0.34784542999999996</v>
      </c>
      <c r="AC23" s="28">
        <f>IF(('Activity data'!AC10*EF!$H23)*kgtoGg=0,"NO",('Activity data'!AC10*EF!$H23)*kgtoGg)</f>
        <v>0.40176614500000002</v>
      </c>
      <c r="AD23" s="28">
        <f>IF(('Activity data'!AD10*EF!$H23)*kgtoGg=0,"NO",('Activity data'!AD10*EF!$H23)*kgtoGg)</f>
        <v>0.47263102433279253</v>
      </c>
      <c r="AE23" s="28">
        <f>IF(('Activity data'!AE10*EF!$H23)*kgtoGg=0,"NO",('Activity data'!AE10*EF!$H23)*kgtoGg)</f>
        <v>0.49102184876074706</v>
      </c>
      <c r="AF23" s="28">
        <f>IF(('Activity data'!AF10*EF!$H23)*kgtoGg=0,"NO",('Activity data'!AF10*EF!$H23)*kgtoGg)</f>
        <v>0.50496799719964935</v>
      </c>
      <c r="AG23" s="28">
        <f>IF(('Activity data'!AG10*EF!$H23)*kgtoGg=0,"NO",('Activity data'!AG10*EF!$H23)*kgtoGg)</f>
        <v>0.51517129106420423</v>
      </c>
      <c r="AH23" s="28">
        <f>IF(('Activity data'!AH10*EF!$H23)*kgtoGg=0,"NO",('Activity data'!AH10*EF!$H23)*kgtoGg)</f>
        <v>0.52288006367129769</v>
      </c>
      <c r="AI23" s="28">
        <f>IF(('Activity data'!AI10*EF!$H23)*kgtoGg=0,"NO",('Activity data'!AI10*EF!$H23)*kgtoGg)</f>
        <v>0.53246020626726798</v>
      </c>
      <c r="AJ23" s="28">
        <f>IF(('Activity data'!AJ10*EF!$H23)*kgtoGg=0,"NO",('Activity data'!AJ10*EF!$H23)*kgtoGg)</f>
        <v>0.54324341386475228</v>
      </c>
      <c r="AK23" s="28">
        <f>IF(('Activity data'!AK10*EF!$H23)*kgtoGg=0,"NO",('Activity data'!AK10*EF!$H23)*kgtoGg)</f>
        <v>0.55384203400259358</v>
      </c>
      <c r="AL23" s="28">
        <f>IF(('Activity data'!AL10*EF!$H23)*kgtoGg=0,"NO",('Activity data'!AL10*EF!$H23)*kgtoGg)</f>
        <v>0.5022517151076602</v>
      </c>
      <c r="AM23" s="28">
        <f>IF(('Activity data'!AM10*EF!$H23)*kgtoGg=0,"NO",('Activity data'!AM10*EF!$H23)*kgtoGg)</f>
        <v>0.51722684510584727</v>
      </c>
      <c r="AN23" s="28">
        <f>IF(('Activity data'!AN10*EF!$H23)*kgtoGg=0,"NO",('Activity data'!AN10*EF!$H23)*kgtoGg)</f>
        <v>0.53245894812049344</v>
      </c>
      <c r="AO23" s="28">
        <f>IF(('Activity data'!AO10*EF!$H23)*kgtoGg=0,"NO",('Activity data'!AO10*EF!$H23)*kgtoGg)</f>
        <v>0.54926872233130164</v>
      </c>
      <c r="AP23" s="28">
        <f>IF(('Activity data'!AP10*EF!$H23)*kgtoGg=0,"NO",('Activity data'!AP10*EF!$H23)*kgtoGg)</f>
        <v>0.56718812626700066</v>
      </c>
      <c r="AQ23" s="28">
        <f>IF(('Activity data'!AQ10*EF!$H23)*kgtoGg=0,"NO",('Activity data'!AQ10*EF!$H23)*kgtoGg)</f>
        <v>0.58504003869844501</v>
      </c>
      <c r="AR23" s="28">
        <f>IF(('Activity data'!AR10*EF!$H23)*kgtoGg=0,"NO",('Activity data'!AR10*EF!$H23)*kgtoGg)</f>
        <v>0.6053882653983802</v>
      </c>
      <c r="AS23" s="28">
        <f>IF(('Activity data'!AS10*EF!$H23)*kgtoGg=0,"NO",('Activity data'!AS10*EF!$H23)*kgtoGg)</f>
        <v>0.62654935557066571</v>
      </c>
      <c r="AT23" s="28">
        <f>IF(('Activity data'!AT10*EF!$H23)*kgtoGg=0,"NO",('Activity data'!AT10*EF!$H23)*kgtoGg)</f>
        <v>0.64888821325444279</v>
      </c>
      <c r="AU23" s="28">
        <f>IF(('Activity data'!AU10*EF!$H23)*kgtoGg=0,"NO",('Activity data'!AU10*EF!$H23)*kgtoGg)</f>
        <v>0.67203328313690613</v>
      </c>
      <c r="AV23" s="28">
        <f>IF(('Activity data'!AV10*EF!$H23)*kgtoGg=0,"NO",('Activity data'!AV10*EF!$H23)*kgtoGg)</f>
        <v>0.69213623833438953</v>
      </c>
      <c r="AW23" s="28">
        <f>IF(('Activity data'!AW10*EF!$H23)*kgtoGg=0,"NO",('Activity data'!AW10*EF!$H23)*kgtoGg)</f>
        <v>0.71882364980593194</v>
      </c>
      <c r="AX23" s="28">
        <f>IF(('Activity data'!AX10*EF!$H23)*kgtoGg=0,"NO",('Activity data'!AX10*EF!$H23)*kgtoGg)</f>
        <v>0.74628089906610162</v>
      </c>
      <c r="AY23" s="28">
        <f>IF(('Activity data'!AY10*EF!$H23)*kgtoGg=0,"NO",('Activity data'!AY10*EF!$H23)*kgtoGg)</f>
        <v>0.77466605368152475</v>
      </c>
      <c r="AZ23" s="28">
        <f>IF(('Activity data'!AZ10*EF!$H23)*kgtoGg=0,"NO",('Activity data'!AZ10*EF!$H23)*kgtoGg)</f>
        <v>0.80238468664027263</v>
      </c>
      <c r="BA23" s="28">
        <f>IF(('Activity data'!BA10*EF!$H23)*kgtoGg=0,"NO",('Activity data'!BA10*EF!$H23)*kgtoGg)</f>
        <v>0.83168879268071838</v>
      </c>
      <c r="BB23" s="28">
        <f>IF(('Activity data'!BB10*EF!$H23)*kgtoGg=0,"NO",('Activity data'!BB10*EF!$H23)*kgtoGg)</f>
        <v>0.8626400707219618</v>
      </c>
      <c r="BC23" s="28">
        <f>IF(('Activity data'!BC10*EF!$H23)*kgtoGg=0,"NO",('Activity data'!BC10*EF!$H23)*kgtoGg)</f>
        <v>0.89482331074617738</v>
      </c>
      <c r="BD23" s="28">
        <f>IF(('Activity data'!BD10*EF!$H23)*kgtoGg=0,"NO",('Activity data'!BD10*EF!$H23)*kgtoGg)</f>
        <v>0.92705093070643285</v>
      </c>
      <c r="BE23" s="28">
        <f>IF(('Activity data'!BE10*EF!$H23)*kgtoGg=0,"NO",('Activity data'!BE10*EF!$H23)*kgtoGg)</f>
        <v>0.96054096577796311</v>
      </c>
      <c r="BF23" s="28">
        <f>IF(('Activity data'!BF10*EF!$H23)*kgtoGg=0,"NO",('Activity data'!BF10*EF!$H23)*kgtoGg)</f>
        <v>0.99606159594370458</v>
      </c>
      <c r="BG23" s="28">
        <f>IF(('Activity data'!BG10*EF!$H23)*kgtoGg=0,"NO",('Activity data'!BG10*EF!$H23)*kgtoGg)</f>
        <v>1.0320172829582486</v>
      </c>
      <c r="BH23" s="28">
        <f>IF(('Activity data'!BH10*EF!$H23)*kgtoGg=0,"NO",('Activity data'!BH10*EF!$H23)*kgtoGg)</f>
        <v>1.0695297710382781</v>
      </c>
      <c r="BI23" s="28">
        <f>IF(('Activity data'!BI10*EF!$H23)*kgtoGg=0,"NO",('Activity data'!BI10*EF!$H23)*kgtoGg)</f>
        <v>1.1086745039258685</v>
      </c>
      <c r="BJ23" s="28">
        <f>IF(('Activity data'!BJ10*EF!$H23)*kgtoGg=0,"NO",('Activity data'!BJ10*EF!$H23)*kgtoGg)</f>
        <v>1.1494854469928861</v>
      </c>
      <c r="BK23" s="28">
        <f>IF(('Activity data'!BK10*EF!$H23)*kgtoGg=0,"NO",('Activity data'!BK10*EF!$H23)*kgtoGg)</f>
        <v>1.1922977049543702</v>
      </c>
      <c r="BL23" s="28">
        <f>IF(('Activity data'!BL10*EF!$H23)*kgtoGg=0,"NO",('Activity data'!BL10*EF!$H23)*kgtoGg)</f>
        <v>1.2333213225288262</v>
      </c>
      <c r="BM23" s="28">
        <f>IF(('Activity data'!BM10*EF!$H23)*kgtoGg=0,"NO",('Activity data'!BM10*EF!$H23)*kgtoGg)</f>
        <v>1.2762014205427894</v>
      </c>
      <c r="BN23" s="28">
        <f>IF(('Activity data'!BN10*EF!$H23)*kgtoGg=0,"NO",('Activity data'!BN10*EF!$H23)*kgtoGg)</f>
        <v>1.3212603379420718</v>
      </c>
      <c r="BO23" s="28">
        <f>IF(('Activity data'!BO10*EF!$H23)*kgtoGg=0,"NO",('Activity data'!BO10*EF!$H23)*kgtoGg)</f>
        <v>1.3686879333211341</v>
      </c>
      <c r="BP23" s="28">
        <f>IF(('Activity data'!BP10*EF!$H23)*kgtoGg=0,"NO",('Activity data'!BP10*EF!$H23)*kgtoGg)</f>
        <v>1.4194500387838058</v>
      </c>
    </row>
    <row r="24" spans="1:68" x14ac:dyDescent="0.25">
      <c r="A24" t="str">
        <f t="shared" si="1"/>
        <v>3A Livestock</v>
      </c>
      <c r="B24" t="str">
        <f t="shared" si="8"/>
        <v>3A2 Manure management (CH4)</v>
      </c>
      <c r="C24" t="str">
        <f>EF!C24</f>
        <v>3A1c Sheep</v>
      </c>
      <c r="D24" t="str">
        <f>EF!D24</f>
        <v>Commercial</v>
      </c>
      <c r="E24" t="str">
        <f t="shared" si="9"/>
        <v>Manure management Emissions</v>
      </c>
      <c r="F24" t="str">
        <f t="shared" si="6"/>
        <v>CH4</v>
      </c>
      <c r="G24" t="str">
        <f t="shared" si="7"/>
        <v>Gg CH4</v>
      </c>
      <c r="H24" s="28">
        <f>IF(('Activity data'!H11*EF!$H24)*kgtoGg=0,"NO",('Activity data'!H11*EF!$H24)*kgtoGg)</f>
        <v>5.683257382813009E-2</v>
      </c>
      <c r="I24" s="28">
        <f>IF(('Activity data'!I11*EF!$H24)*kgtoGg=0,"NO",('Activity data'!I11*EF!$H24)*kgtoGg)</f>
        <v>5.427710801805239E-2</v>
      </c>
      <c r="J24" s="28">
        <f>IF(('Activity data'!J11*EF!$H24)*kgtoGg=0,"NO",('Activity data'!J11*EF!$H24)*kgtoGg)</f>
        <v>5.2034440322709721E-2</v>
      </c>
      <c r="K24" s="28">
        <f>IF(('Activity data'!K11*EF!$H24)*kgtoGg=0,"NO",('Activity data'!K11*EF!$H24)*kgtoGg)</f>
        <v>4.8663803668171031E-2</v>
      </c>
      <c r="L24" s="28">
        <f>IF(('Activity data'!L11*EF!$H24)*kgtoGg=0,"NO",('Activity data'!L11*EF!$H24)*kgtoGg)</f>
        <v>4.9006933721304616E-2</v>
      </c>
      <c r="M24" s="28">
        <f>IF(('Activity data'!M11*EF!$H24)*kgtoGg=0,"NO",('Activity data'!M11*EF!$H24)*kgtoGg)</f>
        <v>4.8305507645838179E-2</v>
      </c>
      <c r="N24" s="28">
        <f>IF(('Activity data'!N11*EF!$H24)*kgtoGg=0,"NO",('Activity data'!N11*EF!$H24)*kgtoGg)</f>
        <v>4.846664606858047E-2</v>
      </c>
      <c r="O24" s="28">
        <f>IF(('Activity data'!O11*EF!$H24)*kgtoGg=0,"NO",('Activity data'!O11*EF!$H24)*kgtoGg)</f>
        <v>4.7412611209230918E-2</v>
      </c>
      <c r="P24" s="28">
        <f>IF(('Activity data'!P11*EF!$H24)*kgtoGg=0,"NO",('Activity data'!P11*EF!$H24)*kgtoGg)</f>
        <v>4.7543417693574654E-2</v>
      </c>
      <c r="Q24" s="28">
        <f>IF(('Activity data'!Q11*EF!$H24)*kgtoGg=0,"NO",('Activity data'!Q11*EF!$H24)*kgtoGg)</f>
        <v>4.637563806523054E-2</v>
      </c>
      <c r="R24" s="28">
        <f>IF(('Activity data'!R11*EF!$H24)*kgtoGg=0,"NO",('Activity data'!R11*EF!$H24)*kgtoGg)</f>
        <v>4.4713068691760109E-2</v>
      </c>
      <c r="S24" s="28">
        <f>IF(('Activity data'!S11*EF!$H24)*kgtoGg=0,"NO",('Activity data'!S11*EF!$H24)*kgtoGg)</f>
        <v>4.3598369955613454E-2</v>
      </c>
      <c r="T24" s="28">
        <f>IF(('Activity data'!T11*EF!$H24)*kgtoGg=0,"NO",('Activity data'!T11*EF!$H24)*kgtoGg)</f>
        <v>4.2870403434048299E-2</v>
      </c>
      <c r="U24" s="28">
        <f>IF(('Activity data'!U11*EF!$H24)*kgtoGg=0,"NO",('Activity data'!U11*EF!$H24)*kgtoGg)</f>
        <v>4.3020167379891124E-2</v>
      </c>
      <c r="V24" s="28">
        <f>IF(('Activity data'!V11*EF!$H24)*kgtoGg=0,"NO",('Activity data'!V11*EF!$H24)*kgtoGg)</f>
        <v>4.2254285935327783E-2</v>
      </c>
      <c r="W24" s="28">
        <f>IF(('Activity data'!W11*EF!$H24)*kgtoGg=0,"NO",('Activity data'!W11*EF!$H24)*kgtoGg)</f>
        <v>4.2153811389382595E-2</v>
      </c>
      <c r="X24" s="28">
        <f>IF(('Activity data'!X11*EF!$H24)*kgtoGg=0,"NO",('Activity data'!X11*EF!$H24)*kgtoGg)</f>
        <v>4.1602149259758997E-2</v>
      </c>
      <c r="Y24" s="28">
        <f>IF(('Activity data'!Y11*EF!$H24)*kgtoGg=0,"NO",('Activity data'!Y11*EF!$H24)*kgtoGg)</f>
        <v>4.1562338590610905E-2</v>
      </c>
      <c r="Z24" s="28">
        <f>IF(('Activity data'!Z11*EF!$H24)*kgtoGg=0,"NO",('Activity data'!Z11*EF!$H24)*kgtoGg)</f>
        <v>4.1696936567254456E-2</v>
      </c>
      <c r="AA24" s="28">
        <f>IF(('Activity data'!AA11*EF!$H24)*kgtoGg=0,"NO",('Activity data'!AA11*EF!$H24)*kgtoGg)</f>
        <v>4.1549068367561531E-2</v>
      </c>
      <c r="AB24" s="28">
        <f>IF(('Activity data'!AB11*EF!$H24)*kgtoGg=0,"NO",('Activity data'!AB11*EF!$H24)*kgtoGg)</f>
        <v>4.0745272000000006E-2</v>
      </c>
      <c r="AC24" s="28">
        <f>IF(('Activity data'!AC11*EF!$H24)*kgtoGg=0,"NO",('Activity data'!AC11*EF!$H24)*kgtoGg)</f>
        <v>4.042678664681524E-2</v>
      </c>
      <c r="AD24" s="28">
        <f>IF(('Activity data'!AD11*EF!$H24)*kgtoGg=0,"NO",('Activity data'!AD11*EF!$H24)*kgtoGg)</f>
        <v>3.6053182146557283E-2</v>
      </c>
      <c r="AE24" s="28">
        <f>IF(('Activity data'!AE11*EF!$H24)*kgtoGg=0,"NO",('Activity data'!AE11*EF!$H24)*kgtoGg)</f>
        <v>3.6073453542641354E-2</v>
      </c>
      <c r="AF24" s="28">
        <f>IF(('Activity data'!AF11*EF!$H24)*kgtoGg=0,"NO",('Activity data'!AF11*EF!$H24)*kgtoGg)</f>
        <v>3.6117747155613319E-2</v>
      </c>
      <c r="AG24" s="28">
        <f>IF(('Activity data'!AG11*EF!$H24)*kgtoGg=0,"NO",('Activity data'!AG11*EF!$H24)*kgtoGg)</f>
        <v>3.6184879396743592E-2</v>
      </c>
      <c r="AH24" s="28">
        <f>IF(('Activity data'!AH11*EF!$H24)*kgtoGg=0,"NO",('Activity data'!AH11*EF!$H24)*kgtoGg)</f>
        <v>3.6274183131142189E-2</v>
      </c>
      <c r="AI24" s="28">
        <f>IF(('Activity data'!AI11*EF!$H24)*kgtoGg=0,"NO",('Activity data'!AI11*EF!$H24)*kgtoGg)</f>
        <v>3.6386410841246414E-2</v>
      </c>
      <c r="AJ24" s="28">
        <f>IF(('Activity data'!AJ11*EF!$H24)*kgtoGg=0,"NO",('Activity data'!AJ11*EF!$H24)*kgtoGg)</f>
        <v>3.6511608317401745E-2</v>
      </c>
      <c r="AK24" s="28">
        <f>IF(('Activity data'!AK11*EF!$H24)*kgtoGg=0,"NO",('Activity data'!AK11*EF!$H24)*kgtoGg)</f>
        <v>3.6649431127172366E-2</v>
      </c>
      <c r="AL24" s="28">
        <f>IF(('Activity data'!AL11*EF!$H24)*kgtoGg=0,"NO",('Activity data'!AL11*EF!$H24)*kgtoGg)</f>
        <v>3.6776491737741127E-2</v>
      </c>
      <c r="AM24" s="28">
        <f>IF(('Activity data'!AM11*EF!$H24)*kgtoGg=0,"NO",('Activity data'!AM11*EF!$H24)*kgtoGg)</f>
        <v>3.6871929742726892E-2</v>
      </c>
      <c r="AN24" s="28">
        <f>IF(('Activity data'!AN11*EF!$H24)*kgtoGg=0,"NO",('Activity data'!AN11*EF!$H24)*kgtoGg)</f>
        <v>3.6954681647567773E-2</v>
      </c>
      <c r="AO24" s="28">
        <f>IF(('Activity data'!AO11*EF!$H24)*kgtoGg=0,"NO",('Activity data'!AO11*EF!$H24)*kgtoGg)</f>
        <v>3.7024237962476426E-2</v>
      </c>
      <c r="AP24" s="28">
        <f>IF(('Activity data'!AP11*EF!$H24)*kgtoGg=0,"NO",('Activity data'!AP11*EF!$H24)*kgtoGg)</f>
        <v>3.7094077526641747E-2</v>
      </c>
      <c r="AQ24" s="28">
        <f>IF(('Activity data'!AQ11*EF!$H24)*kgtoGg=0,"NO",('Activity data'!AQ11*EF!$H24)*kgtoGg)</f>
        <v>3.7163211359178071E-2</v>
      </c>
      <c r="AR24" s="28">
        <f>IF(('Activity data'!AR11*EF!$H24)*kgtoGg=0,"NO",('Activity data'!AR11*EF!$H24)*kgtoGg)</f>
        <v>3.7232011568512677E-2</v>
      </c>
      <c r="AS24" s="28">
        <f>IF(('Activity data'!AS11*EF!$H24)*kgtoGg=0,"NO",('Activity data'!AS11*EF!$H24)*kgtoGg)</f>
        <v>3.7299399038224219E-2</v>
      </c>
      <c r="AT24" s="28">
        <f>IF(('Activity data'!AT11*EF!$H24)*kgtoGg=0,"NO",('Activity data'!AT11*EF!$H24)*kgtoGg)</f>
        <v>3.7365051034955264E-2</v>
      </c>
      <c r="AU24" s="28">
        <f>IF(('Activity data'!AU11*EF!$H24)*kgtoGg=0,"NO",('Activity data'!AU11*EF!$H24)*kgtoGg)</f>
        <v>3.743019913576634E-2</v>
      </c>
      <c r="AV24" s="28">
        <f>IF(('Activity data'!AV11*EF!$H24)*kgtoGg=0,"NO",('Activity data'!AV11*EF!$H24)*kgtoGg)</f>
        <v>3.7493184891663728E-2</v>
      </c>
      <c r="AW24" s="28">
        <f>IF(('Activity data'!AW11*EF!$H24)*kgtoGg=0,"NO",('Activity data'!AW11*EF!$H24)*kgtoGg)</f>
        <v>3.7556294269034084E-2</v>
      </c>
      <c r="AX24" s="28">
        <f>IF(('Activity data'!AX11*EF!$H24)*kgtoGg=0,"NO",('Activity data'!AX11*EF!$H24)*kgtoGg)</f>
        <v>3.7617837208855871E-2</v>
      </c>
      <c r="AY24" s="28">
        <f>IF(('Activity data'!AY11*EF!$H24)*kgtoGg=0,"NO",('Activity data'!AY11*EF!$H24)*kgtoGg)</f>
        <v>3.7677572527930935E-2</v>
      </c>
      <c r="AZ24" s="28">
        <f>IF(('Activity data'!AZ11*EF!$H24)*kgtoGg=0,"NO",('Activity data'!AZ11*EF!$H24)*kgtoGg)</f>
        <v>3.7735212639916901E-2</v>
      </c>
      <c r="BA24" s="28">
        <f>IF(('Activity data'!BA11*EF!$H24)*kgtoGg=0,"NO",('Activity data'!BA11*EF!$H24)*kgtoGg)</f>
        <v>3.7791243003455377E-2</v>
      </c>
      <c r="BB24" s="28">
        <f>IF(('Activity data'!BB11*EF!$H24)*kgtoGg=0,"NO",('Activity data'!BB11*EF!$H24)*kgtoGg)</f>
        <v>3.7845439269401954E-2</v>
      </c>
      <c r="BC24" s="28">
        <f>IF(('Activity data'!BC11*EF!$H24)*kgtoGg=0,"NO",('Activity data'!BC11*EF!$H24)*kgtoGg)</f>
        <v>3.7897440010557448E-2</v>
      </c>
      <c r="BD24" s="28">
        <f>IF(('Activity data'!BD11*EF!$H24)*kgtoGg=0,"NO",('Activity data'!BD11*EF!$H24)*kgtoGg)</f>
        <v>3.7946659960296079E-2</v>
      </c>
      <c r="BE24" s="28">
        <f>IF(('Activity data'!BE11*EF!$H24)*kgtoGg=0,"NO",('Activity data'!BE11*EF!$H24)*kgtoGg)</f>
        <v>3.7993820465992235E-2</v>
      </c>
      <c r="BF24" s="28">
        <f>IF(('Activity data'!BF11*EF!$H24)*kgtoGg=0,"NO",('Activity data'!BF11*EF!$H24)*kgtoGg)</f>
        <v>3.8038972139208704E-2</v>
      </c>
      <c r="BG24" s="28">
        <f>IF(('Activity data'!BG11*EF!$H24)*kgtoGg=0,"NO",('Activity data'!BG11*EF!$H24)*kgtoGg)</f>
        <v>3.8081838872325878E-2</v>
      </c>
      <c r="BH24" s="28">
        <f>IF(('Activity data'!BH11*EF!$H24)*kgtoGg=0,"NO",('Activity data'!BH11*EF!$H24)*kgtoGg)</f>
        <v>3.8122227177629399E-2</v>
      </c>
      <c r="BI24" s="28">
        <f>IF(('Activity data'!BI11*EF!$H24)*kgtoGg=0,"NO",('Activity data'!BI11*EF!$H24)*kgtoGg)</f>
        <v>3.8160001586554061E-2</v>
      </c>
      <c r="BJ24" s="28">
        <f>IF(('Activity data'!BJ11*EF!$H24)*kgtoGg=0,"NO",('Activity data'!BJ11*EF!$H24)*kgtoGg)</f>
        <v>3.8195043958995534E-2</v>
      </c>
      <c r="BK24" s="28">
        <f>IF(('Activity data'!BK11*EF!$H24)*kgtoGg=0,"NO",('Activity data'!BK11*EF!$H24)*kgtoGg)</f>
        <v>3.822731157234744E-2</v>
      </c>
      <c r="BL24" s="28">
        <f>IF(('Activity data'!BL11*EF!$H24)*kgtoGg=0,"NO",('Activity data'!BL11*EF!$H24)*kgtoGg)</f>
        <v>3.8255552081826752E-2</v>
      </c>
      <c r="BM24" s="28">
        <f>IF(('Activity data'!BM11*EF!$H24)*kgtoGg=0,"NO",('Activity data'!BM11*EF!$H24)*kgtoGg)</f>
        <v>3.8280725453067946E-2</v>
      </c>
      <c r="BN24" s="28">
        <f>IF(('Activity data'!BN11*EF!$H24)*kgtoGg=0,"NO",('Activity data'!BN11*EF!$H24)*kgtoGg)</f>
        <v>3.8302803868892503E-2</v>
      </c>
      <c r="BO24" s="28">
        <f>IF(('Activity data'!BO11*EF!$H24)*kgtoGg=0,"NO",('Activity data'!BO11*EF!$H24)*kgtoGg)</f>
        <v>3.8321653531847306E-2</v>
      </c>
      <c r="BP24" s="28">
        <f>IF(('Activity data'!BP11*EF!$H24)*kgtoGg=0,"NO",('Activity data'!BP11*EF!$H24)*kgtoGg)</f>
        <v>3.8337439841606105E-2</v>
      </c>
    </row>
    <row r="25" spans="1:68" x14ac:dyDescent="0.25">
      <c r="A25" t="str">
        <f t="shared" si="1"/>
        <v>3A Livestock</v>
      </c>
      <c r="B25" t="str">
        <f t="shared" si="8"/>
        <v>3A2 Manure management (CH4)</v>
      </c>
      <c r="C25" t="str">
        <f>EF!C25</f>
        <v>3A1c Sheep</v>
      </c>
      <c r="D25" t="str">
        <f>EF!D25</f>
        <v>Subsistence</v>
      </c>
      <c r="E25" t="str">
        <f t="shared" si="9"/>
        <v>Manure management Emissions</v>
      </c>
      <c r="F25" t="str">
        <f t="shared" si="6"/>
        <v>CH4</v>
      </c>
      <c r="G25" t="str">
        <f t="shared" si="7"/>
        <v>Gg CH4</v>
      </c>
      <c r="H25" s="28">
        <f>IF(('Activity data'!H12*EF!$H25)*kgtoGg=0,"NO",('Activity data'!H12*EF!$H25)*kgtoGg)</f>
        <v>6.0620252936525133E-3</v>
      </c>
      <c r="I25" s="28">
        <f>IF(('Activity data'!I12*EF!$H25)*kgtoGg=0,"NO",('Activity data'!I12*EF!$H25)*kgtoGg)</f>
        <v>5.7894474859923658E-3</v>
      </c>
      <c r="J25" s="28">
        <f>IF(('Activity data'!J12*EF!$H25)*kgtoGg=0,"NO",('Activity data'!J12*EF!$H25)*kgtoGg)</f>
        <v>5.550234172593288E-3</v>
      </c>
      <c r="K25" s="28">
        <f>IF(('Activity data'!K12*EF!$H25)*kgtoGg=0,"NO",('Activity data'!K12*EF!$H25)*kgtoGg)</f>
        <v>5.1907064707982266E-3</v>
      </c>
      <c r="L25" s="28">
        <f>IF(('Activity data'!L12*EF!$H25)*kgtoGg=0,"NO",('Activity data'!L12*EF!$H25)*kgtoGg)</f>
        <v>5.2273063099573412E-3</v>
      </c>
      <c r="M25" s="28">
        <f>IF(('Activity data'!M12*EF!$H25)*kgtoGg=0,"NO",('Activity data'!M12*EF!$H25)*kgtoGg)</f>
        <v>5.1524889591900904E-3</v>
      </c>
      <c r="N25" s="28">
        <f>IF(('Activity data'!N12*EF!$H25)*kgtoGg=0,"NO",('Activity data'!N12*EF!$H25)*kgtoGg)</f>
        <v>5.1696767289609452E-3</v>
      </c>
      <c r="O25" s="28">
        <f>IF(('Activity data'!O12*EF!$H25)*kgtoGg=0,"NO",('Activity data'!O12*EF!$H25)*kgtoGg)</f>
        <v>5.0572484937539399E-3</v>
      </c>
      <c r="P25" s="28">
        <f>IF(('Activity data'!P12*EF!$H25)*kgtoGg=0,"NO",('Activity data'!P12*EF!$H25)*kgtoGg)</f>
        <v>5.0712009186267681E-3</v>
      </c>
      <c r="Q25" s="28">
        <f>IF(('Activity data'!Q12*EF!$H25)*kgtoGg=0,"NO",('Activity data'!Q12*EF!$H25)*kgtoGg)</f>
        <v>4.9466401400521005E-3</v>
      </c>
      <c r="R25" s="28">
        <f>IF(('Activity data'!R12*EF!$H25)*kgtoGg=0,"NO",('Activity data'!R12*EF!$H25)*kgtoGg)</f>
        <v>4.7693027978281018E-3</v>
      </c>
      <c r="S25" s="28">
        <f>IF(('Activity data'!S12*EF!$H25)*kgtoGg=0,"NO",('Activity data'!S12*EF!$H25)*kgtoGg)</f>
        <v>4.6504038728250093E-3</v>
      </c>
      <c r="T25" s="28">
        <f>IF(('Activity data'!T12*EF!$H25)*kgtoGg=0,"NO",('Activity data'!T12*EF!$H25)*kgtoGg)</f>
        <v>4.5727555952719701E-3</v>
      </c>
      <c r="U25" s="28">
        <f>IF(('Activity data'!U12*EF!$H25)*kgtoGg=0,"NO",('Activity data'!U12*EF!$H25)*kgtoGg)</f>
        <v>4.588730110706059E-3</v>
      </c>
      <c r="V25" s="28">
        <f>IF(('Activity data'!V12*EF!$H25)*kgtoGg=0,"NO",('Activity data'!V12*EF!$H25)*kgtoGg)</f>
        <v>4.5070376520304645E-3</v>
      </c>
      <c r="W25" s="28">
        <f>IF(('Activity data'!W12*EF!$H25)*kgtoGg=0,"NO",('Activity data'!W12*EF!$H25)*kgtoGg)</f>
        <v>4.4963205720556969E-3</v>
      </c>
      <c r="X25" s="28">
        <f>IF(('Activity data'!X12*EF!$H25)*kgtoGg=0,"NO",('Activity data'!X12*EF!$H25)*kgtoGg)</f>
        <v>4.4374777367225341E-3</v>
      </c>
      <c r="Y25" s="28">
        <f>IF(('Activity data'!Y12*EF!$H25)*kgtoGg=0,"NO",('Activity data'!Y12*EF!$H25)*kgtoGg)</f>
        <v>4.4332313465438519E-3</v>
      </c>
      <c r="Z25" s="28">
        <f>IF(('Activity data'!Z12*EF!$H25)*kgtoGg=0,"NO",('Activity data'!Z12*EF!$H25)*kgtoGg)</f>
        <v>4.4475881895289192E-3</v>
      </c>
      <c r="AA25" s="28">
        <f>IF(('Activity data'!AA12*EF!$H25)*kgtoGg=0,"NO",('Activity data'!AA12*EF!$H25)*kgtoGg)</f>
        <v>4.4318158831509582E-3</v>
      </c>
      <c r="AB25" s="28">
        <f>IF(('Activity data'!AB12*EF!$H25)*kgtoGg=0,"NO",('Activity data'!AB12*EF!$H25)*kgtoGg)</f>
        <v>4.3460792433528102E-3</v>
      </c>
      <c r="AC25" s="28">
        <f>IF(('Activity data'!AC12*EF!$H25)*kgtoGg=0,"NO",('Activity data'!AC12*EF!$H25)*kgtoGg)</f>
        <v>4.3121081219233554E-3</v>
      </c>
      <c r="AD25" s="28">
        <f>IF(('Activity data'!AD12*EF!$H25)*kgtoGg=0,"NO",('Activity data'!AD12*EF!$H25)*kgtoGg)</f>
        <v>4.1174452496232942E-3</v>
      </c>
      <c r="AE25" s="28">
        <f>IF(('Activity data'!AE12*EF!$H25)*kgtoGg=0,"NO",('Activity data'!AE12*EF!$H25)*kgtoGg)</f>
        <v>4.1197603396802632E-3</v>
      </c>
      <c r="AF25" s="28">
        <f>IF(('Activity data'!AF12*EF!$H25)*kgtoGg=0,"NO",('Activity data'!AF12*EF!$H25)*kgtoGg)</f>
        <v>4.1248188814083896E-3</v>
      </c>
      <c r="AG25" s="28">
        <f>IF(('Activity data'!AG12*EF!$H25)*kgtoGg=0,"NO",('Activity data'!AG12*EF!$H25)*kgtoGg)</f>
        <v>4.1324857033331434E-3</v>
      </c>
      <c r="AH25" s="28">
        <f>IF(('Activity data'!AH12*EF!$H25)*kgtoGg=0,"NO",('Activity data'!AH12*EF!$H25)*kgtoGg)</f>
        <v>4.1426846154701755E-3</v>
      </c>
      <c r="AI25" s="28">
        <f>IF(('Activity data'!AI12*EF!$H25)*kgtoGg=0,"NO",('Activity data'!AI12*EF!$H25)*kgtoGg)</f>
        <v>4.1555015549005498E-3</v>
      </c>
      <c r="AJ25" s="28">
        <f>IF(('Activity data'!AJ12*EF!$H25)*kgtoGg=0,"NO",('Activity data'!AJ12*EF!$H25)*kgtoGg)</f>
        <v>4.1697997034347107E-3</v>
      </c>
      <c r="AK25" s="28">
        <f>IF(('Activity data'!AK12*EF!$H25)*kgtoGg=0,"NO",('Activity data'!AK12*EF!$H25)*kgtoGg)</f>
        <v>4.1855397252467371E-3</v>
      </c>
      <c r="AL25" s="28">
        <f>IF(('Activity data'!AL12*EF!$H25)*kgtoGg=0,"NO",('Activity data'!AL12*EF!$H25)*kgtoGg)</f>
        <v>4.2000506526115909E-3</v>
      </c>
      <c r="AM25" s="28">
        <f>IF(('Activity data'!AM12*EF!$H25)*kgtoGg=0,"NO",('Activity data'!AM12*EF!$H25)*kgtoGg)</f>
        <v>4.2109501276888471E-3</v>
      </c>
      <c r="AN25" s="28">
        <f>IF(('Activity data'!AN12*EF!$H25)*kgtoGg=0,"NO",('Activity data'!AN12*EF!$H25)*kgtoGg)</f>
        <v>4.2204007896609122E-3</v>
      </c>
      <c r="AO25" s="28">
        <f>IF(('Activity data'!AO12*EF!$H25)*kgtoGg=0,"NO",('Activity data'!AO12*EF!$H25)*kgtoGg)</f>
        <v>4.2283444523655723E-3</v>
      </c>
      <c r="AP25" s="28">
        <f>IF(('Activity data'!AP12*EF!$H25)*kgtoGg=0,"NO",('Activity data'!AP12*EF!$H25)*kgtoGg)</f>
        <v>4.2363204634854601E-3</v>
      </c>
      <c r="AQ25" s="28">
        <f>IF(('Activity data'!AQ12*EF!$H25)*kgtoGg=0,"NO",('Activity data'!AQ12*EF!$H25)*kgtoGg)</f>
        <v>4.2442158766894259E-3</v>
      </c>
      <c r="AR25" s="28">
        <f>IF(('Activity data'!AR12*EF!$H25)*kgtoGg=0,"NO",('Activity data'!AR12*EF!$H25)*kgtoGg)</f>
        <v>4.2520731885335311E-3</v>
      </c>
      <c r="AS25" s="28">
        <f>IF(('Activity data'!AS12*EF!$H25)*kgtoGg=0,"NO",('Activity data'!AS12*EF!$H25)*kgtoGg)</f>
        <v>4.2597691587788217E-3</v>
      </c>
      <c r="AT25" s="28">
        <f>IF(('Activity data'!AT12*EF!$H25)*kgtoGg=0,"NO",('Activity data'!AT12*EF!$H25)*kgtoGg)</f>
        <v>4.26726692973756E-3</v>
      </c>
      <c r="AU25" s="28">
        <f>IF(('Activity data'!AU12*EF!$H25)*kgtoGg=0,"NO",('Activity data'!AU12*EF!$H25)*kgtoGg)</f>
        <v>4.274707153380403E-3</v>
      </c>
      <c r="AV25" s="28">
        <f>IF(('Activity data'!AV12*EF!$H25)*kgtoGg=0,"NO",('Activity data'!AV12*EF!$H25)*kgtoGg)</f>
        <v>4.281900426927227E-3</v>
      </c>
      <c r="AW25" s="28">
        <f>IF(('Activity data'!AW12*EF!$H25)*kgtoGg=0,"NO",('Activity data'!AW12*EF!$H25)*kgtoGg)</f>
        <v>4.2891078186355078E-3</v>
      </c>
      <c r="AX25" s="28">
        <f>IF(('Activity data'!AX12*EF!$H25)*kgtoGg=0,"NO",('Activity data'!AX12*EF!$H25)*kgtoGg)</f>
        <v>4.2961363157092746E-3</v>
      </c>
      <c r="AY25" s="28">
        <f>IF(('Activity data'!AY12*EF!$H25)*kgtoGg=0,"NO",('Activity data'!AY12*EF!$H25)*kgtoGg)</f>
        <v>4.3029583738776909E-3</v>
      </c>
      <c r="AZ25" s="28">
        <f>IF(('Activity data'!AZ12*EF!$H25)*kgtoGg=0,"NO",('Activity data'!AZ12*EF!$H25)*kgtoGg)</f>
        <v>4.3095411494096722E-3</v>
      </c>
      <c r="BA25" s="28">
        <f>IF(('Activity data'!BA12*EF!$H25)*kgtoGg=0,"NO",('Activity data'!BA12*EF!$H25)*kgtoGg)</f>
        <v>4.3159400839960366E-3</v>
      </c>
      <c r="BB25" s="28">
        <f>IF(('Activity data'!BB12*EF!$H25)*kgtoGg=0,"NO",('Activity data'!BB12*EF!$H25)*kgtoGg)</f>
        <v>4.322129555895133E-3</v>
      </c>
      <c r="BC25" s="28">
        <f>IF(('Activity data'!BC12*EF!$H25)*kgtoGg=0,"NO",('Activity data'!BC12*EF!$H25)*kgtoGg)</f>
        <v>4.3280682883980572E-3</v>
      </c>
      <c r="BD25" s="28">
        <f>IF(('Activity data'!BD12*EF!$H25)*kgtoGg=0,"NO",('Activity data'!BD12*EF!$H25)*kgtoGg)</f>
        <v>4.3336894412664539E-3</v>
      </c>
      <c r="BE25" s="28">
        <f>IF(('Activity data'!BE12*EF!$H25)*kgtoGg=0,"NO",('Activity data'!BE12*EF!$H25)*kgtoGg)</f>
        <v>4.3390753958088063E-3</v>
      </c>
      <c r="BF25" s="28">
        <f>IF(('Activity data'!BF12*EF!$H25)*kgtoGg=0,"NO",('Activity data'!BF12*EF!$H25)*kgtoGg)</f>
        <v>4.3442319321068228E-3</v>
      </c>
      <c r="BG25" s="28">
        <f>IF(('Activity data'!BG12*EF!$H25)*kgtoGg=0,"NO",('Activity data'!BG12*EF!$H25)*kgtoGg)</f>
        <v>4.3491275173542692E-3</v>
      </c>
      <c r="BH25" s="28">
        <f>IF(('Activity data'!BH12*EF!$H25)*kgtoGg=0,"NO",('Activity data'!BH12*EF!$H25)*kgtoGg)</f>
        <v>4.3537400543319001E-3</v>
      </c>
      <c r="BI25" s="28">
        <f>IF(('Activity data'!BI12*EF!$H25)*kgtoGg=0,"NO",('Activity data'!BI12*EF!$H25)*kgtoGg)</f>
        <v>4.3580540718838575E-3</v>
      </c>
      <c r="BJ25" s="28">
        <f>IF(('Activity data'!BJ12*EF!$H25)*kgtoGg=0,"NO",('Activity data'!BJ12*EF!$H25)*kgtoGg)</f>
        <v>4.3620560778471077E-3</v>
      </c>
      <c r="BK25" s="28">
        <f>IF(('Activity data'!BK12*EF!$H25)*kgtoGg=0,"NO",('Activity data'!BK12*EF!$H25)*kgtoGg)</f>
        <v>4.3657411930963647E-3</v>
      </c>
      <c r="BL25" s="28">
        <f>IF(('Activity data'!BL12*EF!$H25)*kgtoGg=0,"NO",('Activity data'!BL12*EF!$H25)*kgtoGg)</f>
        <v>4.3689663938880682E-3</v>
      </c>
      <c r="BM25" s="28">
        <f>IF(('Activity data'!BM12*EF!$H25)*kgtoGg=0,"NO",('Activity data'!BM12*EF!$H25)*kgtoGg)</f>
        <v>4.3718413128733813E-3</v>
      </c>
      <c r="BN25" s="28">
        <f>IF(('Activity data'!BN12*EF!$H25)*kgtoGg=0,"NO",('Activity data'!BN12*EF!$H25)*kgtoGg)</f>
        <v>4.3743627731979229E-3</v>
      </c>
      <c r="BO25" s="28">
        <f>IF(('Activity data'!BO12*EF!$H25)*kgtoGg=0,"NO",('Activity data'!BO12*EF!$H25)*kgtoGg)</f>
        <v>4.3765154945548009E-3</v>
      </c>
      <c r="BP25" s="28">
        <f>IF(('Activity data'!BP12*EF!$H25)*kgtoGg=0,"NO",('Activity data'!BP12*EF!$H25)*kgtoGg)</f>
        <v>4.3783183663751351E-3</v>
      </c>
    </row>
    <row r="26" spans="1:68" x14ac:dyDescent="0.25">
      <c r="A26" t="str">
        <f t="shared" si="1"/>
        <v>3A Livestock</v>
      </c>
      <c r="B26" t="str">
        <f t="shared" si="8"/>
        <v>3A2 Manure management (CH4)</v>
      </c>
      <c r="C26" t="str">
        <f>EF!C26</f>
        <v>3A1d Goats</v>
      </c>
      <c r="D26" t="str">
        <f>EF!D26</f>
        <v>Commercial</v>
      </c>
      <c r="E26" t="str">
        <f t="shared" si="9"/>
        <v>Manure management Emissions</v>
      </c>
      <c r="F26" t="str">
        <f t="shared" si="6"/>
        <v>CH4</v>
      </c>
      <c r="G26" t="str">
        <f t="shared" si="7"/>
        <v>Gg CH4</v>
      </c>
      <c r="H26" s="28">
        <f>IF(('Activity data'!H13*EF!$H26)*kgtoGg=0,"NO",('Activity data'!H13*EF!$H26)*kgtoGg)</f>
        <v>2.1179239085185406E-2</v>
      </c>
      <c r="I26" s="28">
        <f>IF(('Activity data'!I13*EF!$H26)*kgtoGg=0,"NO",('Activity data'!I13*EF!$H26)*kgtoGg)</f>
        <v>1.872843312038926E-2</v>
      </c>
      <c r="J26" s="28">
        <f>IF(('Activity data'!J13*EF!$H26)*kgtoGg=0,"NO",('Activity data'!J13*EF!$H26)*kgtoGg)</f>
        <v>1.7445768316383788E-2</v>
      </c>
      <c r="K26" s="28">
        <f>IF(('Activity data'!K13*EF!$H26)*kgtoGg=0,"NO",('Activity data'!K13*EF!$H26)*kgtoGg)</f>
        <v>1.6483769713379698E-2</v>
      </c>
      <c r="L26" s="28">
        <f>IF(('Activity data'!L13*EF!$H26)*kgtoGg=0,"NO",('Activity data'!L13*EF!$H26)*kgtoGg)</f>
        <v>1.7842783612861672E-2</v>
      </c>
      <c r="M26" s="28">
        <f>IF(('Activity data'!M13*EF!$H26)*kgtoGg=0,"NO",('Activity data'!M13*EF!$H26)*kgtoGg)</f>
        <v>1.8087100718386526E-2</v>
      </c>
      <c r="N26" s="28">
        <f>IF(('Activity data'!N13*EF!$H26)*kgtoGg=0,"NO",('Activity data'!N13*EF!$H26)*kgtoGg)</f>
        <v>1.8369592371649628E-2</v>
      </c>
      <c r="O26" s="28">
        <f>IF(('Activity data'!O13*EF!$H26)*kgtoGg=0,"NO",('Activity data'!O13*EF!$H26)*kgtoGg)</f>
        <v>1.8277973457077813E-2</v>
      </c>
      <c r="P26" s="28">
        <f>IF(('Activity data'!P13*EF!$H26)*kgtoGg=0,"NO",('Activity data'!P13*EF!$H26)*kgtoGg)</f>
        <v>1.8018386532457662E-2</v>
      </c>
      <c r="Q26" s="28">
        <f>IF(('Activity data'!Q13*EF!$H26)*kgtoGg=0,"NO",('Activity data'!Q13*EF!$H26)*kgtoGg)</f>
        <v>1.775116469828986E-2</v>
      </c>
      <c r="R26" s="28">
        <f>IF(('Activity data'!R13*EF!$H26)*kgtoGg=0,"NO",('Activity data'!R13*EF!$H26)*kgtoGg)</f>
        <v>1.7980211984719403E-2</v>
      </c>
      <c r="S26" s="28">
        <f>IF(('Activity data'!S13*EF!$H26)*kgtoGg=0,"NO",('Activity data'!S13*EF!$H26)*kgtoGg)</f>
        <v>1.8529925472150318E-2</v>
      </c>
      <c r="T26" s="28">
        <f>IF(('Activity data'!T13*EF!$H26)*kgtoGg=0,"NO",('Activity data'!T13*EF!$H26)*kgtoGg)</f>
        <v>1.6918959557595842E-2</v>
      </c>
      <c r="U26" s="28">
        <f>IF(('Activity data'!U13*EF!$H26)*kgtoGg=0,"NO",('Activity data'!U13*EF!$H26)*kgtoGg)</f>
        <v>1.649140462292735E-2</v>
      </c>
      <c r="V26" s="28">
        <f>IF(('Activity data'!V13*EF!$H26)*kgtoGg=0,"NO",('Activity data'!V13*EF!$H26)*kgtoGg)</f>
        <v>1.6521944261117961E-2</v>
      </c>
      <c r="W26" s="28">
        <f>IF(('Activity data'!W13*EF!$H26)*kgtoGg=0,"NO",('Activity data'!W13*EF!$H26)*kgtoGg)</f>
        <v>1.6308166793783711E-2</v>
      </c>
      <c r="X26" s="28">
        <f>IF(('Activity data'!X13*EF!$H26)*kgtoGg=0,"NO",('Activity data'!X13*EF!$H26)*kgtoGg)</f>
        <v>1.6651737723428033E-2</v>
      </c>
      <c r="Y26" s="28">
        <f>IF(('Activity data'!Y13*EF!$H26)*kgtoGg=0,"NO",('Activity data'!Y13*EF!$H26)*kgtoGg)</f>
        <v>1.615546860283068E-2</v>
      </c>
      <c r="Z26" s="28">
        <f>IF(('Activity data'!Z13*EF!$H26)*kgtoGg=0,"NO",('Activity data'!Z13*EF!$H26)*kgtoGg)</f>
        <v>1.6140198783735384E-2</v>
      </c>
      <c r="AA26" s="28">
        <f>IF(('Activity data'!AA13*EF!$H26)*kgtoGg=0,"NO",('Activity data'!AA13*EF!$H26)*kgtoGg)</f>
        <v>1.5857707130472271E-2</v>
      </c>
      <c r="AB26" s="28">
        <f>IF(('Activity data'!AB13*EF!$H26)*kgtoGg=0,"NO",('Activity data'!AB13*EF!$H26)*kgtoGg)</f>
        <v>1.5666834391780984E-2</v>
      </c>
      <c r="AC26" s="28">
        <f>IF(('Activity data'!AC13*EF!$H26)*kgtoGg=0,"NO",('Activity data'!AC13*EF!$H26)*kgtoGg)</f>
        <v>1.5521771110375606E-2</v>
      </c>
      <c r="AD26" s="28">
        <f>IF(('Activity data'!AD13*EF!$H26)*kgtoGg=0,"NO",('Activity data'!AD13*EF!$H26)*kgtoGg)</f>
        <v>1.5788634302381688E-2</v>
      </c>
      <c r="AE26" s="28">
        <f>IF(('Activity data'!AE13*EF!$H26)*kgtoGg=0,"NO",('Activity data'!AE13*EF!$H26)*kgtoGg)</f>
        <v>1.5830221727841796E-2</v>
      </c>
      <c r="AF26" s="28">
        <f>IF(('Activity data'!AF13*EF!$H26)*kgtoGg=0,"NO",('Activity data'!AF13*EF!$H26)*kgtoGg)</f>
        <v>1.5885243354653654E-2</v>
      </c>
      <c r="AG26" s="28">
        <f>IF(('Activity data'!AG13*EF!$H26)*kgtoGg=0,"NO",('Activity data'!AG13*EF!$H26)*kgtoGg)</f>
        <v>1.5953130045939706E-2</v>
      </c>
      <c r="AH26" s="28">
        <f>IF(('Activity data'!AH13*EF!$H26)*kgtoGg=0,"NO",('Activity data'!AH13*EF!$H26)*kgtoGg)</f>
        <v>1.6033620135473475E-2</v>
      </c>
      <c r="AI26" s="28">
        <f>IF(('Activity data'!AI13*EF!$H26)*kgtoGg=0,"NO",('Activity data'!AI13*EF!$H26)*kgtoGg)</f>
        <v>1.6127384447298502E-2</v>
      </c>
      <c r="AJ26" s="28">
        <f>IF(('Activity data'!AJ13*EF!$H26)*kgtoGg=0,"NO",('Activity data'!AJ13*EF!$H26)*kgtoGg)</f>
        <v>1.6227744441110283E-2</v>
      </c>
      <c r="AK26" s="28">
        <f>IF(('Activity data'!AK13*EF!$H26)*kgtoGg=0,"NO",('Activity data'!AK13*EF!$H26)*kgtoGg)</f>
        <v>1.6334610131381301E-2</v>
      </c>
      <c r="AL26" s="28">
        <f>IF(('Activity data'!AL13*EF!$H26)*kgtoGg=0,"NO",('Activity data'!AL13*EF!$H26)*kgtoGg)</f>
        <v>1.6432224618281855E-2</v>
      </c>
      <c r="AM26" s="28">
        <f>IF(('Activity data'!AM13*EF!$H26)*kgtoGg=0,"NO",('Activity data'!AM13*EF!$H26)*kgtoGg)</f>
        <v>1.6506686034179756E-2</v>
      </c>
      <c r="AN26" s="28">
        <f>IF(('Activity data'!AN13*EF!$H26)*kgtoGg=0,"NO",('Activity data'!AN13*EF!$H26)*kgtoGg)</f>
        <v>1.6571090293284543E-2</v>
      </c>
      <c r="AO26" s="28">
        <f>IF(('Activity data'!AO13*EF!$H26)*kgtoGg=0,"NO",('Activity data'!AO13*EF!$H26)*kgtoGg)</f>
        <v>1.6625278845299716E-2</v>
      </c>
      <c r="AP26" s="28">
        <f>IF(('Activity data'!AP13*EF!$H26)*kgtoGg=0,"NO",('Activity data'!AP13*EF!$H26)*kgtoGg)</f>
        <v>1.6678480618755639E-2</v>
      </c>
      <c r="AQ26" s="28">
        <f>IF(('Activity data'!AQ13*EF!$H26)*kgtoGg=0,"NO",('Activity data'!AQ13*EF!$H26)*kgtoGg)</f>
        <v>1.673012257864577E-2</v>
      </c>
      <c r="AR26" s="28">
        <f>IF(('Activity data'!AR13*EF!$H26)*kgtoGg=0,"NO",('Activity data'!AR13*EF!$H26)*kgtoGg)</f>
        <v>1.6780538210635718E-2</v>
      </c>
      <c r="AS26" s="28">
        <f>IF(('Activity data'!AS13*EF!$H26)*kgtoGg=0,"NO",('Activity data'!AS13*EF!$H26)*kgtoGg)</f>
        <v>1.6829081112009769E-2</v>
      </c>
      <c r="AT26" s="28">
        <f>IF(('Activity data'!AT13*EF!$H26)*kgtoGg=0,"NO",('Activity data'!AT13*EF!$H26)*kgtoGg)</f>
        <v>1.6875607357076505E-2</v>
      </c>
      <c r="AU26" s="28">
        <f>IF(('Activity data'!AU13*EF!$H26)*kgtoGg=0,"NO",('Activity data'!AU13*EF!$H26)*kgtoGg)</f>
        <v>1.6921001044239915E-2</v>
      </c>
      <c r="AV26" s="28">
        <f>IF(('Activity data'!AV13*EF!$H26)*kgtoGg=0,"NO",('Activity data'!AV13*EF!$H26)*kgtoGg)</f>
        <v>1.6964216625425122E-2</v>
      </c>
      <c r="AW26" s="28">
        <f>IF(('Activity data'!AW13*EF!$H26)*kgtoGg=0,"NO",('Activity data'!AW13*EF!$H26)*kgtoGg)</f>
        <v>1.7006823149594435E-2</v>
      </c>
      <c r="AX26" s="28">
        <f>IF(('Activity data'!AX13*EF!$H26)*kgtoGg=0,"NO",('Activity data'!AX13*EF!$H26)*kgtoGg)</f>
        <v>1.7047746486860933E-2</v>
      </c>
      <c r="AY26" s="28">
        <f>IF(('Activity data'!AY13*EF!$H26)*kgtoGg=0,"NO",('Activity data'!AY13*EF!$H26)*kgtoGg)</f>
        <v>1.7086872654365742E-2</v>
      </c>
      <c r="AZ26" s="28">
        <f>IF(('Activity data'!AZ13*EF!$H26)*kgtoGg=0,"NO",('Activity data'!AZ13*EF!$H26)*kgtoGg)</f>
        <v>1.7124054744707618E-2</v>
      </c>
      <c r="BA26" s="28">
        <f>IF(('Activity data'!BA13*EF!$H26)*kgtoGg=0,"NO",('Activity data'!BA13*EF!$H26)*kgtoGg)</f>
        <v>1.7159651615002196E-2</v>
      </c>
      <c r="BB26" s="28">
        <f>IF(('Activity data'!BB13*EF!$H26)*kgtoGg=0,"NO",('Activity data'!BB13*EF!$H26)*kgtoGg)</f>
        <v>1.719355155092429E-2</v>
      </c>
      <c r="BC26" s="28">
        <f>IF(('Activity data'!BC13*EF!$H26)*kgtoGg=0,"NO",('Activity data'!BC13*EF!$H26)*kgtoGg)</f>
        <v>1.722555167142505E-2</v>
      </c>
      <c r="BD26" s="28">
        <f>IF(('Activity data'!BD13*EF!$H26)*kgtoGg=0,"NO",('Activity data'!BD13*EF!$H26)*kgtoGg)</f>
        <v>1.7255302323750984E-2</v>
      </c>
      <c r="BE26" s="28">
        <f>IF(('Activity data'!BE13*EF!$H26)*kgtoGg=0,"NO",('Activity data'!BE13*EF!$H26)*kgtoGg)</f>
        <v>1.7283306022154298E-2</v>
      </c>
      <c r="BF26" s="28">
        <f>IF(('Activity data'!BF13*EF!$H26)*kgtoGg=0,"NO",('Activity data'!BF13*EF!$H26)*kgtoGg)</f>
        <v>1.7309623519184376E-2</v>
      </c>
      <c r="BG26" s="28">
        <f>IF(('Activity data'!BG13*EF!$H26)*kgtoGg=0,"NO",('Activity data'!BG13*EF!$H26)*kgtoGg)</f>
        <v>1.733410138915327E-2</v>
      </c>
      <c r="BH26" s="28">
        <f>IF(('Activity data'!BH13*EF!$H26)*kgtoGg=0,"NO",('Activity data'!BH13*EF!$H26)*kgtoGg)</f>
        <v>1.7356639415831387E-2</v>
      </c>
      <c r="BI26" s="28">
        <f>IF(('Activity data'!BI13*EF!$H26)*kgtoGg=0,"NO",('Activity data'!BI13*EF!$H26)*kgtoGg)</f>
        <v>1.7377174307353145E-2</v>
      </c>
      <c r="BJ26" s="28">
        <f>IF(('Activity data'!BJ13*EF!$H26)*kgtoGg=0,"NO",('Activity data'!BJ13*EF!$H26)*kgtoGg)</f>
        <v>1.7395653185853795E-2</v>
      </c>
      <c r="BK26" s="28">
        <f>IF(('Activity data'!BK13*EF!$H26)*kgtoGg=0,"NO",('Activity data'!BK13*EF!$H26)*kgtoGg)</f>
        <v>1.7412071055878778E-2</v>
      </c>
      <c r="BL26" s="28">
        <f>IF(('Activity data'!BL13*EF!$H26)*kgtoGg=0,"NO",('Activity data'!BL13*EF!$H26)*kgtoGg)</f>
        <v>1.7425643015782082E-2</v>
      </c>
      <c r="BM26" s="28">
        <f>IF(('Activity data'!BM13*EF!$H26)*kgtoGg=0,"NO",('Activity data'!BM13*EF!$H26)*kgtoGg)</f>
        <v>1.7437010588674213E-2</v>
      </c>
      <c r="BN26" s="28">
        <f>IF(('Activity data'!BN13*EF!$H26)*kgtoGg=0,"NO",('Activity data'!BN13*EF!$H26)*kgtoGg)</f>
        <v>1.7446176206794256E-2</v>
      </c>
      <c r="BO26" s="28">
        <f>IF(('Activity data'!BO13*EF!$H26)*kgtoGg=0,"NO",('Activity data'!BO13*EF!$H26)*kgtoGg)</f>
        <v>1.7453073556253234E-2</v>
      </c>
      <c r="BP26" s="28">
        <f>IF(('Activity data'!BP13*EF!$H26)*kgtoGg=0,"NO",('Activity data'!BP13*EF!$H26)*kgtoGg)</f>
        <v>1.7457827413313722E-2</v>
      </c>
    </row>
    <row r="27" spans="1:68" x14ac:dyDescent="0.25">
      <c r="A27" t="str">
        <f t="shared" si="1"/>
        <v>3A Livestock</v>
      </c>
      <c r="B27" t="str">
        <f t="shared" si="8"/>
        <v>3A2 Manure management (CH4)</v>
      </c>
      <c r="C27" t="str">
        <f>EF!C27</f>
        <v>3A1d Goats</v>
      </c>
      <c r="D27" t="str">
        <f>EF!D27</f>
        <v>Subsistence</v>
      </c>
      <c r="E27" t="str">
        <f t="shared" si="9"/>
        <v>Manure management Emissions</v>
      </c>
      <c r="F27" t="str">
        <f t="shared" si="6"/>
        <v>CH4</v>
      </c>
      <c r="G27" t="str">
        <f t="shared" si="7"/>
        <v>Gg CH4</v>
      </c>
      <c r="H27" s="28">
        <f>IF(('Activity data'!H14*EF!$H27)*kgtoGg=0,"NO",('Activity data'!H14*EF!$H27)*kgtoGg)</f>
        <v>3.6294783257415232E-2</v>
      </c>
      <c r="I27" s="28">
        <f>IF(('Activity data'!I14*EF!$H27)*kgtoGg=0,"NO",('Activity data'!I14*EF!$H27)*kgtoGg)</f>
        <v>3.2094846189776344E-2</v>
      </c>
      <c r="J27" s="28">
        <f>IF(('Activity data'!J14*EF!$H27)*kgtoGg=0,"NO",('Activity data'!J14*EF!$H27)*kgtoGg)</f>
        <v>2.989674828521768E-2</v>
      </c>
      <c r="K27" s="28">
        <f>IF(('Activity data'!K14*EF!$H27)*kgtoGg=0,"NO",('Activity data'!K14*EF!$H27)*kgtoGg)</f>
        <v>2.8248174856798671E-2</v>
      </c>
      <c r="L27" s="28">
        <f>IF(('Activity data'!L14*EF!$H27)*kgtoGg=0,"NO",('Activity data'!L14*EF!$H27)*kgtoGg)</f>
        <v>3.0577111922342977E-2</v>
      </c>
      <c r="M27" s="28">
        <f>IF(('Activity data'!M14*EF!$H27)*kgtoGg=0,"NO",('Activity data'!M14*EF!$H27)*kgtoGg)</f>
        <v>3.099579723749701E-2</v>
      </c>
      <c r="N27" s="28">
        <f>IF(('Activity data'!N14*EF!$H27)*kgtoGg=0,"NO",('Activity data'!N14*EF!$H27)*kgtoGg)</f>
        <v>3.1479902133143861E-2</v>
      </c>
      <c r="O27" s="28">
        <f>IF(('Activity data'!O14*EF!$H27)*kgtoGg=0,"NO",('Activity data'!O14*EF!$H27)*kgtoGg)</f>
        <v>3.1322895139961102E-2</v>
      </c>
      <c r="P27" s="28">
        <f>IF(('Activity data'!P14*EF!$H27)*kgtoGg=0,"NO",('Activity data'!P14*EF!$H27)*kgtoGg)</f>
        <v>3.0878041992609937E-2</v>
      </c>
      <c r="Q27" s="28">
        <f>IF(('Activity data'!Q14*EF!$H27)*kgtoGg=0,"NO",('Activity data'!Q14*EF!$H27)*kgtoGg)</f>
        <v>3.0420104929160217E-2</v>
      </c>
      <c r="R27" s="28">
        <f>IF(('Activity data'!R14*EF!$H27)*kgtoGg=0,"NO",('Activity data'!R14*EF!$H27)*kgtoGg)</f>
        <v>3.081262241211712E-2</v>
      </c>
      <c r="S27" s="28">
        <f>IF(('Activity data'!S14*EF!$H27)*kgtoGg=0,"NO",('Activity data'!S14*EF!$H27)*kgtoGg)</f>
        <v>3.1754664371213694E-2</v>
      </c>
      <c r="T27" s="28">
        <f>IF(('Activity data'!T14*EF!$H27)*kgtoGg=0,"NO",('Activity data'!T14*EF!$H27)*kgtoGg)</f>
        <v>2.8993958074416789E-2</v>
      </c>
      <c r="U27" s="28">
        <f>IF(('Activity data'!U14*EF!$H27)*kgtoGg=0,"NO",('Activity data'!U14*EF!$H27)*kgtoGg)</f>
        <v>2.8261258772897233E-2</v>
      </c>
      <c r="V27" s="28">
        <f>IF(('Activity data'!V14*EF!$H27)*kgtoGg=0,"NO",('Activity data'!V14*EF!$H27)*kgtoGg)</f>
        <v>2.8313594437291489E-2</v>
      </c>
      <c r="W27" s="28">
        <f>IF(('Activity data'!W14*EF!$H27)*kgtoGg=0,"NO",('Activity data'!W14*EF!$H27)*kgtoGg)</f>
        <v>2.7947244786531707E-2</v>
      </c>
      <c r="X27" s="28">
        <f>IF(('Activity data'!X14*EF!$H27)*kgtoGg=0,"NO",('Activity data'!X14*EF!$H27)*kgtoGg)</f>
        <v>2.8536021010967069E-2</v>
      </c>
      <c r="Y27" s="28">
        <f>IF(('Activity data'!Y14*EF!$H27)*kgtoGg=0,"NO",('Activity data'!Y14*EF!$H27)*kgtoGg)</f>
        <v>2.7685566464560437E-2</v>
      </c>
      <c r="Z27" s="28">
        <f>IF(('Activity data'!Z14*EF!$H27)*kgtoGg=0,"NO",('Activity data'!Z14*EF!$H27)*kgtoGg)</f>
        <v>2.7659398632363309E-2</v>
      </c>
      <c r="AA27" s="28">
        <f>IF(('Activity data'!AA14*EF!$H27)*kgtoGg=0,"NO",('Activity data'!AA14*EF!$H27)*kgtoGg)</f>
        <v>2.7175293736716462E-2</v>
      </c>
      <c r="AB27" s="28">
        <f>IF(('Activity data'!AB14*EF!$H27)*kgtoGg=0,"NO",('Activity data'!AB14*EF!$H27)*kgtoGg)</f>
        <v>2.684819583425237E-2</v>
      </c>
      <c r="AC27" s="28">
        <f>IF(('Activity data'!AC14*EF!$H27)*kgtoGg=0,"NO",('Activity data'!AC14*EF!$H27)*kgtoGg)</f>
        <v>2.6599601428379662E-2</v>
      </c>
      <c r="AD27" s="28">
        <f>IF(('Activity data'!AD14*EF!$H27)*kgtoGg=0,"NO",('Activity data'!AD14*EF!$H27)*kgtoGg)</f>
        <v>2.6590469874215542E-2</v>
      </c>
      <c r="AE27" s="28">
        <f>IF(('Activity data'!AE14*EF!$H27)*kgtoGg=0,"NO",('Activity data'!AE14*EF!$H27)*kgtoGg)</f>
        <v>2.6660509445888724E-2</v>
      </c>
      <c r="AF27" s="28">
        <f>IF(('Activity data'!AF14*EF!$H27)*kgtoGg=0,"NO",('Activity data'!AF14*EF!$H27)*kgtoGg)</f>
        <v>2.6753174263006583E-2</v>
      </c>
      <c r="AG27" s="28">
        <f>IF(('Activity data'!AG14*EF!$H27)*kgtoGg=0,"NO",('Activity data'!AG14*EF!$H27)*kgtoGg)</f>
        <v>2.686750581220395E-2</v>
      </c>
      <c r="AH27" s="28">
        <f>IF(('Activity data'!AH14*EF!$H27)*kgtoGg=0,"NO",('Activity data'!AH14*EF!$H27)*kgtoGg)</f>
        <v>2.7003063407619134E-2</v>
      </c>
      <c r="AI27" s="28">
        <f>IF(('Activity data'!AI14*EF!$H27)*kgtoGg=0,"NO",('Activity data'!AI14*EF!$H27)*kgtoGg)</f>
        <v>2.7160976819324657E-2</v>
      </c>
      <c r="AJ27" s="28">
        <f>IF(('Activity data'!AJ14*EF!$H27)*kgtoGg=0,"NO",('Activity data'!AJ14*EF!$H27)*kgtoGg)</f>
        <v>2.7329998366148758E-2</v>
      </c>
      <c r="AK27" s="28">
        <f>IF(('Activity data'!AK14*EF!$H27)*kgtoGg=0,"NO",('Activity data'!AK14*EF!$H27)*kgtoGg)</f>
        <v>2.750997649872924E-2</v>
      </c>
      <c r="AL27" s="28">
        <f>IF(('Activity data'!AL14*EF!$H27)*kgtoGg=0,"NO",('Activity data'!AL14*EF!$H27)*kgtoGg)</f>
        <v>2.7674374192887288E-2</v>
      </c>
      <c r="AM27" s="28">
        <f>IF(('Activity data'!AM14*EF!$H27)*kgtoGg=0,"NO",('Activity data'!AM14*EF!$H27)*kgtoGg)</f>
        <v>2.7799778581785305E-2</v>
      </c>
      <c r="AN27" s="28">
        <f>IF(('Activity data'!AN14*EF!$H27)*kgtoGg=0,"NO",('Activity data'!AN14*EF!$H27)*kgtoGg)</f>
        <v>2.790824518369011E-2</v>
      </c>
      <c r="AO27" s="28">
        <f>IF(('Activity data'!AO14*EF!$H27)*kgtoGg=0,"NO",('Activity data'!AO14*EF!$H27)*kgtoGg)</f>
        <v>2.7999506975703973E-2</v>
      </c>
      <c r="AP27" s="28">
        <f>IF(('Activity data'!AP14*EF!$H27)*kgtoGg=0,"NO",('Activity data'!AP14*EF!$H27)*kgtoGg)</f>
        <v>2.8089106882018936E-2</v>
      </c>
      <c r="AQ27" s="28">
        <f>IF(('Activity data'!AQ14*EF!$H27)*kgtoGg=0,"NO",('Activity data'!AQ14*EF!$H27)*kgtoGg)</f>
        <v>2.8176079824225653E-2</v>
      </c>
      <c r="AR27" s="28">
        <f>IF(('Activity data'!AR14*EF!$H27)*kgtoGg=0,"NO",('Activity data'!AR14*EF!$H27)*kgtoGg)</f>
        <v>2.8260987443082589E-2</v>
      </c>
      <c r="AS27" s="28">
        <f>IF(('Activity data'!AS14*EF!$H27)*kgtoGg=0,"NO",('Activity data'!AS14*EF!$H27)*kgtoGg)</f>
        <v>2.8342741097760558E-2</v>
      </c>
      <c r="AT27" s="28">
        <f>IF(('Activity data'!AT14*EF!$H27)*kgtoGg=0,"NO",('Activity data'!AT14*EF!$H27)*kgtoGg)</f>
        <v>2.8421098395428845E-2</v>
      </c>
      <c r="AU27" s="28">
        <f>IF(('Activity data'!AU14*EF!$H27)*kgtoGg=0,"NO",('Activity data'!AU14*EF!$H27)*kgtoGg)</f>
        <v>2.8497548292733519E-2</v>
      </c>
      <c r="AV27" s="28">
        <f>IF(('Activity data'!AV14*EF!$H27)*kgtoGg=0,"NO",('Activity data'!AV14*EF!$H27)*kgtoGg)</f>
        <v>2.8570329927141806E-2</v>
      </c>
      <c r="AW27" s="28">
        <f>IF(('Activity data'!AW14*EF!$H27)*kgtoGg=0,"NO",('Activity data'!AW14*EF!$H27)*kgtoGg)</f>
        <v>2.8642085816579198E-2</v>
      </c>
      <c r="AX27" s="28">
        <f>IF(('Activity data'!AX14*EF!$H27)*kgtoGg=0,"NO",('Activity data'!AX14*EF!$H27)*kgtoGg)</f>
        <v>2.8711006962379187E-2</v>
      </c>
      <c r="AY27" s="28">
        <f>IF(('Activity data'!AY14*EF!$H27)*kgtoGg=0,"NO",('Activity data'!AY14*EF!$H27)*kgtoGg)</f>
        <v>2.8776901400011028E-2</v>
      </c>
      <c r="AZ27" s="28">
        <f>IF(('Activity data'!AZ14*EF!$H27)*kgtoGg=0,"NO",('Activity data'!AZ14*EF!$H27)*kgtoGg)</f>
        <v>2.8839521714989557E-2</v>
      </c>
      <c r="BA27" s="28">
        <f>IF(('Activity data'!BA14*EF!$H27)*kgtoGg=0,"NO",('Activity data'!BA14*EF!$H27)*kgtoGg)</f>
        <v>2.8899472277467378E-2</v>
      </c>
      <c r="BB27" s="28">
        <f>IF(('Activity data'!BB14*EF!$H27)*kgtoGg=0,"NO",('Activity data'!BB14*EF!$H27)*kgtoGg)</f>
        <v>2.8956564943470681E-2</v>
      </c>
      <c r="BC27" s="28">
        <f>IF(('Activity data'!BC14*EF!$H27)*kgtoGg=0,"NO",('Activity data'!BC14*EF!$H27)*kgtoGg)</f>
        <v>2.9010458030348907E-2</v>
      </c>
      <c r="BD27" s="28">
        <f>IF(('Activity data'!BD14*EF!$H27)*kgtoGg=0,"NO",('Activity data'!BD14*EF!$H27)*kgtoGg)</f>
        <v>2.9060562669500096E-2</v>
      </c>
      <c r="BE27" s="28">
        <f>IF(('Activity data'!BE14*EF!$H27)*kgtoGg=0,"NO",('Activity data'!BE14*EF!$H27)*kgtoGg)</f>
        <v>2.9107725171620226E-2</v>
      </c>
      <c r="BF27" s="28">
        <f>IF(('Activity data'!BF14*EF!$H27)*kgtoGg=0,"NO",('Activity data'!BF14*EF!$H27)*kgtoGg)</f>
        <v>2.9152047853274684E-2</v>
      </c>
      <c r="BG27" s="28">
        <f>IF(('Activity data'!BG14*EF!$H27)*kgtoGg=0,"NO",('Activity data'!BG14*EF!$H27)*kgtoGg)</f>
        <v>2.9193272322188671E-2</v>
      </c>
      <c r="BH27" s="28">
        <f>IF(('Activity data'!BH14*EF!$H27)*kgtoGg=0,"NO",('Activity data'!BH14*EF!$H27)*kgtoGg)</f>
        <v>2.9231229798936248E-2</v>
      </c>
      <c r="BI27" s="28">
        <f>IF(('Activity data'!BI14*EF!$H27)*kgtoGg=0,"NO",('Activity data'!BI14*EF!$H27)*kgtoGg)</f>
        <v>2.9265813690355996E-2</v>
      </c>
      <c r="BJ27" s="28">
        <f>IF(('Activity data'!BJ14*EF!$H27)*kgtoGg=0,"NO",('Activity data'!BJ14*EF!$H27)*kgtoGg)</f>
        <v>2.9296934942053276E-2</v>
      </c>
      <c r="BK27" s="28">
        <f>IF(('Activity data'!BK14*EF!$H27)*kgtoGg=0,"NO",('Activity data'!BK14*EF!$H27)*kgtoGg)</f>
        <v>2.9324585140920213E-2</v>
      </c>
      <c r="BL27" s="28">
        <f>IF(('Activity data'!BL14*EF!$H27)*kgtoGg=0,"NO",('Activity data'!BL14*EF!$H27)*kgtoGg)</f>
        <v>2.9347442392790836E-2</v>
      </c>
      <c r="BM27" s="28">
        <f>IF(('Activity data'!BM14*EF!$H27)*kgtoGg=0,"NO",('Activity data'!BM14*EF!$H27)*kgtoGg)</f>
        <v>2.9366587120494454E-2</v>
      </c>
      <c r="BN27" s="28">
        <f>IF(('Activity data'!BN14*EF!$H27)*kgtoGg=0,"NO",('Activity data'!BN14*EF!$H27)*kgtoGg)</f>
        <v>2.9382023420292905E-2</v>
      </c>
      <c r="BO27" s="28">
        <f>IF(('Activity data'!BO14*EF!$H27)*kgtoGg=0,"NO",('Activity data'!BO14*EF!$H27)*kgtoGg)</f>
        <v>2.9393639609476111E-2</v>
      </c>
      <c r="BP27" s="28">
        <f>IF(('Activity data'!BP14*EF!$H27)*kgtoGg=0,"NO",('Activity data'!BP14*EF!$H27)*kgtoGg)</f>
        <v>2.9401645830313978E-2</v>
      </c>
    </row>
    <row r="28" spans="1:68" x14ac:dyDescent="0.25">
      <c r="A28" t="str">
        <f t="shared" si="1"/>
        <v>3A Livestock</v>
      </c>
      <c r="B28" t="str">
        <f t="shared" si="8"/>
        <v>3A2 Manure management (CH4)</v>
      </c>
      <c r="C28" t="str">
        <f>EF!C28</f>
        <v>3A1f Horses</v>
      </c>
      <c r="D28" t="str">
        <f>EF!D28</f>
        <v>Horses</v>
      </c>
      <c r="E28" t="str">
        <f t="shared" si="9"/>
        <v>Manure management Emissions</v>
      </c>
      <c r="F28" t="str">
        <f t="shared" si="6"/>
        <v>CH4</v>
      </c>
      <c r="G28" t="str">
        <f t="shared" si="7"/>
        <v>Gg CH4</v>
      </c>
      <c r="H28" s="28">
        <f>IF(('Activity data'!H15*EF!$H28)*kgtoGg=0,"NO",('Activity data'!H15*EF!$H28)*kgtoGg)</f>
        <v>3.0819999999999997E-3</v>
      </c>
      <c r="I28" s="28">
        <f>IF(('Activity data'!I15*EF!$H28)*kgtoGg=0,"NO",('Activity data'!I15*EF!$H28)*kgtoGg)</f>
        <v>3.0819999999999997E-3</v>
      </c>
      <c r="J28" s="28">
        <f>IF(('Activity data'!J15*EF!$H28)*kgtoGg=0,"NO",('Activity data'!J15*EF!$H28)*kgtoGg)</f>
        <v>3.0819999999999997E-3</v>
      </c>
      <c r="K28" s="28">
        <f>IF(('Activity data'!K15*EF!$H28)*kgtoGg=0,"NO",('Activity data'!K15*EF!$H28)*kgtoGg)</f>
        <v>3.1489999999999999E-3</v>
      </c>
      <c r="L28" s="28">
        <f>IF(('Activity data'!L15*EF!$H28)*kgtoGg=0,"NO",('Activity data'!L15*EF!$H28)*kgtoGg)</f>
        <v>3.2159999999999997E-3</v>
      </c>
      <c r="M28" s="28">
        <f>IF(('Activity data'!M15*EF!$H28)*kgtoGg=0,"NO",('Activity data'!M15*EF!$H28)*kgtoGg)</f>
        <v>3.2829999999999999E-3</v>
      </c>
      <c r="N28" s="28">
        <f>IF(('Activity data'!N15*EF!$H28)*kgtoGg=0,"NO",('Activity data'!N15*EF!$H28)*kgtoGg)</f>
        <v>3.3499999999999997E-3</v>
      </c>
      <c r="O28" s="28">
        <f>IF(('Activity data'!O15*EF!$H28)*kgtoGg=0,"NO",('Activity data'!O15*EF!$H28)*kgtoGg)</f>
        <v>3.4169999999999999E-3</v>
      </c>
      <c r="P28" s="28">
        <f>IF(('Activity data'!P15*EF!$H28)*kgtoGg=0,"NO",('Activity data'!P15*EF!$H28)*kgtoGg)</f>
        <v>3.4839999999999997E-3</v>
      </c>
      <c r="Q28" s="28">
        <f>IF(('Activity data'!Q15*EF!$H28)*kgtoGg=0,"NO",('Activity data'!Q15*EF!$H28)*kgtoGg)</f>
        <v>3.4572000000000001E-3</v>
      </c>
      <c r="R28" s="28">
        <f>IF(('Activity data'!R15*EF!$H28)*kgtoGg=0,"NO",('Activity data'!R15*EF!$H28)*kgtoGg)</f>
        <v>3.6179999999999997E-3</v>
      </c>
      <c r="S28" s="28">
        <f>IF(('Activity data'!S15*EF!$H28)*kgtoGg=0,"NO",('Activity data'!S15*EF!$H28)*kgtoGg)</f>
        <v>3.6179999999999997E-3</v>
      </c>
      <c r="T28" s="28">
        <f>IF(('Activity data'!T15*EF!$H28)*kgtoGg=0,"NO",('Activity data'!T15*EF!$H28)*kgtoGg)</f>
        <v>3.6179999999999997E-3</v>
      </c>
      <c r="U28" s="28">
        <f>IF(('Activity data'!U15*EF!$H28)*kgtoGg=0,"NO",('Activity data'!U15*EF!$H28)*kgtoGg)</f>
        <v>3.6179999999999997E-3</v>
      </c>
      <c r="V28" s="28">
        <f>IF(('Activity data'!V15*EF!$H28)*kgtoGg=0,"NO",('Activity data'!V15*EF!$H28)*kgtoGg)</f>
        <v>3.6179999999999997E-3</v>
      </c>
      <c r="W28" s="28">
        <f>IF(('Activity data'!W15*EF!$H28)*kgtoGg=0,"NO",('Activity data'!W15*EF!$H28)*kgtoGg)</f>
        <v>3.6179999999999997E-3</v>
      </c>
      <c r="X28" s="28">
        <f>IF(('Activity data'!X15*EF!$H28)*kgtoGg=0,"NO",('Activity data'!X15*EF!$H28)*kgtoGg)</f>
        <v>3.7519999999999997E-3</v>
      </c>
      <c r="Y28" s="28">
        <f>IF(('Activity data'!Y15*EF!$H28)*kgtoGg=0,"NO",('Activity data'!Y15*EF!$H28)*kgtoGg)</f>
        <v>3.8859999999999997E-3</v>
      </c>
      <c r="Z28" s="28">
        <f>IF(('Activity data'!Z15*EF!$H28)*kgtoGg=0,"NO",('Activity data'!Z15*EF!$H28)*kgtoGg)</f>
        <v>3.9931999999999997E-3</v>
      </c>
      <c r="AA28" s="28">
        <f>IF(('Activity data'!AA15*EF!$H28)*kgtoGg=0,"NO",('Activity data'!AA15*EF!$H28)*kgtoGg)</f>
        <v>4.0200000000000001E-3</v>
      </c>
      <c r="AB28" s="28">
        <f>IF(('Activity data'!AB15*EF!$H28)*kgtoGg=0,"NO",('Activity data'!AB15*EF!$H28)*kgtoGg)</f>
        <v>4.0200000000000001E-3</v>
      </c>
      <c r="AC28" s="28">
        <f>IF(('Activity data'!AC15*EF!$H28)*kgtoGg=0,"NO",('Activity data'!AC15*EF!$H28)*kgtoGg)</f>
        <v>4.0869999999999995E-3</v>
      </c>
      <c r="AD28" s="28">
        <f>IF(('Activity data'!AD15*EF!$H28)*kgtoGg=0,"NO",('Activity data'!AD15*EF!$H28)*kgtoGg)</f>
        <v>4.1413472520052744E-3</v>
      </c>
      <c r="AE28" s="28">
        <f>IF(('Activity data'!AE15*EF!$H28)*kgtoGg=0,"NO",('Activity data'!AE15*EF!$H28)*kgtoGg)</f>
        <v>4.1725962798212154E-3</v>
      </c>
      <c r="AF28" s="28">
        <f>IF(('Activity data'!AF15*EF!$H28)*kgtoGg=0,"NO",('Activity data'!AF15*EF!$H28)*kgtoGg)</f>
        <v>4.1809862559087727E-3</v>
      </c>
      <c r="AG28" s="28">
        <f>IF(('Activity data'!AG15*EF!$H28)*kgtoGg=0,"NO",('Activity data'!AG15*EF!$H28)*kgtoGg)</f>
        <v>4.170921583553441E-3</v>
      </c>
      <c r="AH28" s="28">
        <f>IF(('Activity data'!AH15*EF!$H28)*kgtoGg=0,"NO",('Activity data'!AH15*EF!$H28)*kgtoGg)</f>
        <v>4.1488169330690531E-3</v>
      </c>
      <c r="AI28" s="28">
        <f>IF(('Activity data'!AI15*EF!$H28)*kgtoGg=0,"NO",('Activity data'!AI15*EF!$H28)*kgtoGg)</f>
        <v>4.1334525003106437E-3</v>
      </c>
      <c r="AJ28" s="28">
        <f>IF(('Activity data'!AJ15*EF!$H28)*kgtoGg=0,"NO",('Activity data'!AJ15*EF!$H28)*kgtoGg)</f>
        <v>4.1225744406130343E-3</v>
      </c>
      <c r="AK28" s="28">
        <f>IF(('Activity data'!AK15*EF!$H28)*kgtoGg=0,"NO",('Activity data'!AK15*EF!$H28)*kgtoGg)</f>
        <v>4.1103011987925799E-3</v>
      </c>
      <c r="AL28" s="28">
        <f>IF(('Activity data'!AL15*EF!$H28)*kgtoGg=0,"NO",('Activity data'!AL15*EF!$H28)*kgtoGg)</f>
        <v>3.8577783743946425E-3</v>
      </c>
      <c r="AM28" s="28">
        <f>IF(('Activity data'!AM15*EF!$H28)*kgtoGg=0,"NO",('Activity data'!AM15*EF!$H28)*kgtoGg)</f>
        <v>3.8804022024825488E-3</v>
      </c>
      <c r="AN28" s="28">
        <f>IF(('Activity data'!AN15*EF!$H28)*kgtoGg=0,"NO",('Activity data'!AN15*EF!$H28)*kgtoGg)</f>
        <v>3.9048108667614624E-3</v>
      </c>
      <c r="AO28" s="28">
        <f>IF(('Activity data'!AO15*EF!$H28)*kgtoGg=0,"NO",('Activity data'!AO15*EF!$H28)*kgtoGg)</f>
        <v>3.9359278419030504E-3</v>
      </c>
      <c r="AP28" s="28">
        <f>IF(('Activity data'!AP15*EF!$H28)*kgtoGg=0,"NO",('Activity data'!AP15*EF!$H28)*kgtoGg)</f>
        <v>3.9705492162372168E-3</v>
      </c>
      <c r="AQ28" s="28">
        <f>IF(('Activity data'!AQ15*EF!$H28)*kgtoGg=0,"NO",('Activity data'!AQ15*EF!$H28)*kgtoGg)</f>
        <v>4.0043537221719581E-3</v>
      </c>
      <c r="AR28" s="28">
        <f>IF(('Activity data'!AR15*EF!$H28)*kgtoGg=0,"NO",('Activity data'!AR15*EF!$H28)*kgtoGg)</f>
        <v>4.0464885210042502E-3</v>
      </c>
      <c r="AS28" s="28">
        <f>IF(('Activity data'!AS15*EF!$H28)*kgtoGg=0,"NO",('Activity data'!AS15*EF!$H28)*kgtoGg)</f>
        <v>4.090797550319894E-3</v>
      </c>
      <c r="AT28" s="28">
        <f>IF(('Activity data'!AT15*EF!$H28)*kgtoGg=0,"NO",('Activity data'!AT15*EF!$H28)*kgtoGg)</f>
        <v>4.138507626137676E-3</v>
      </c>
      <c r="AU28" s="28">
        <f>IF(('Activity data'!AU15*EF!$H28)*kgtoGg=0,"NO",('Activity data'!AU15*EF!$H28)*kgtoGg)</f>
        <v>4.1881005685404284E-3</v>
      </c>
      <c r="AV28" s="28">
        <f>IF(('Activity data'!AV15*EF!$H28)*kgtoGg=0,"NO",('Activity data'!AV15*EF!$H28)*kgtoGg)</f>
        <v>4.2265786483806789E-3</v>
      </c>
      <c r="AW28" s="28">
        <f>IF(('Activity data'!AW15*EF!$H28)*kgtoGg=0,"NO",('Activity data'!AW15*EF!$H28)*kgtoGg)</f>
        <v>4.2801614961300357E-3</v>
      </c>
      <c r="AX28" s="28">
        <f>IF(('Activity data'!AX15*EF!$H28)*kgtoGg=0,"NO",('Activity data'!AX15*EF!$H28)*kgtoGg)</f>
        <v>4.3350151300279331E-3</v>
      </c>
      <c r="AY28" s="28">
        <f>IF(('Activity data'!AY15*EF!$H28)*kgtoGg=0,"NO",('Activity data'!AY15*EF!$H28)*kgtoGg)</f>
        <v>4.3916372985619168E-3</v>
      </c>
      <c r="AZ28" s="28">
        <f>IF(('Activity data'!AZ15*EF!$H28)*kgtoGg=0,"NO",('Activity data'!AZ15*EF!$H28)*kgtoGg)</f>
        <v>4.4448581704474247E-3</v>
      </c>
      <c r="BA28" s="28">
        <f>IF(('Activity data'!BA15*EF!$H28)*kgtoGg=0,"NO",('Activity data'!BA15*EF!$H28)*kgtoGg)</f>
        <v>4.501935764721238E-3</v>
      </c>
      <c r="BB28" s="28">
        <f>IF(('Activity data'!BB15*EF!$H28)*kgtoGg=0,"NO",('Activity data'!BB15*EF!$H28)*kgtoGg)</f>
        <v>4.5629516677921887E-3</v>
      </c>
      <c r="BC28" s="28">
        <f>IF(('Activity data'!BC15*EF!$H28)*kgtoGg=0,"NO",('Activity data'!BC15*EF!$H28)*kgtoGg)</f>
        <v>4.6265240012097163E-3</v>
      </c>
      <c r="BD28" s="28">
        <f>IF(('Activity data'!BD15*EF!$H28)*kgtoGg=0,"NO",('Activity data'!BD15*EF!$H28)*kgtoGg)</f>
        <v>4.6890015203478429E-3</v>
      </c>
      <c r="BE28" s="28">
        <f>IF(('Activity data'!BE15*EF!$H28)*kgtoGg=0,"NO",('Activity data'!BE15*EF!$H28)*kgtoGg)</f>
        <v>4.7540526942852499E-3</v>
      </c>
      <c r="BF28" s="28">
        <f>IF(('Activity data'!BF15*EF!$H28)*kgtoGg=0,"NO",('Activity data'!BF15*EF!$H28)*kgtoGg)</f>
        <v>4.8239001890312281E-3</v>
      </c>
      <c r="BG28" s="28">
        <f>IF(('Activity data'!BG15*EF!$H28)*kgtoGg=0,"NO",('Activity data'!BG15*EF!$H28)*kgtoGg)</f>
        <v>4.8975122976642454E-3</v>
      </c>
      <c r="BH28" s="28">
        <f>IF(('Activity data'!BH15*EF!$H28)*kgtoGg=0,"NO",('Activity data'!BH15*EF!$H28)*kgtoGg)</f>
        <v>4.9745752195711869E-3</v>
      </c>
      <c r="BI28" s="28">
        <f>IF(('Activity data'!BI15*EF!$H28)*kgtoGg=0,"NO",('Activity data'!BI15*EF!$H28)*kgtoGg)</f>
        <v>5.0552526925305265E-3</v>
      </c>
      <c r="BJ28" s="28">
        <f>IF(('Activity data'!BJ15*EF!$H28)*kgtoGg=0,"NO",('Activity data'!BJ15*EF!$H28)*kgtoGg)</f>
        <v>5.1395858169488873E-3</v>
      </c>
      <c r="BK28" s="28">
        <f>IF(('Activity data'!BK15*EF!$H28)*kgtoGg=0,"NO",('Activity data'!BK15*EF!$H28)*kgtoGg)</f>
        <v>5.2284700002295671E-3</v>
      </c>
      <c r="BL28" s="28">
        <f>IF(('Activity data'!BL15*EF!$H28)*kgtoGg=0,"NO",('Activity data'!BL15*EF!$H28)*kgtoGg)</f>
        <v>5.3112549848531266E-3</v>
      </c>
      <c r="BM28" s="28">
        <f>IF(('Activity data'!BM15*EF!$H28)*kgtoGg=0,"NO",('Activity data'!BM15*EF!$H28)*kgtoGg)</f>
        <v>5.398250068279143E-3</v>
      </c>
      <c r="BN28" s="28">
        <f>IF(('Activity data'!BN15*EF!$H28)*kgtoGg=0,"NO",('Activity data'!BN15*EF!$H28)*kgtoGg)</f>
        <v>5.4902884099429471E-3</v>
      </c>
      <c r="BO28" s="28">
        <f>IF(('Activity data'!BO15*EF!$H28)*kgtoGg=0,"NO",('Activity data'!BO15*EF!$H28)*kgtoGg)</f>
        <v>5.5878308986497668E-3</v>
      </c>
      <c r="BP28" s="28">
        <f>IF(('Activity data'!BP15*EF!$H28)*kgtoGg=0,"NO",('Activity data'!BP15*EF!$H28)*kgtoGg)</f>
        <v>5.6934142647654612E-3</v>
      </c>
    </row>
    <row r="29" spans="1:68" x14ac:dyDescent="0.25">
      <c r="A29" t="str">
        <f t="shared" si="1"/>
        <v>3A Livestock</v>
      </c>
      <c r="B29" t="str">
        <f t="shared" si="8"/>
        <v>3A2 Manure management (CH4)</v>
      </c>
      <c r="C29" t="str">
        <f>EF!C29</f>
        <v>3A1g Mules &amp; asses</v>
      </c>
      <c r="D29" t="str">
        <f>EF!D29</f>
        <v>Mules &amp; Asses</v>
      </c>
      <c r="E29" t="str">
        <f t="shared" si="9"/>
        <v>Manure management Emissions</v>
      </c>
      <c r="F29" t="str">
        <f t="shared" si="6"/>
        <v>CH4</v>
      </c>
      <c r="G29" t="str">
        <f t="shared" si="7"/>
        <v>Gg CH4</v>
      </c>
      <c r="H29" s="28">
        <f>IF(('Activity data'!H16*EF!$H29)*kgtoGg=0,"NO",('Activity data'!H16*EF!$H29)*kgtoGg)</f>
        <v>1.0079999999999998E-3</v>
      </c>
      <c r="I29" s="28">
        <f>IF(('Activity data'!I16*EF!$H29)*kgtoGg=0,"NO",('Activity data'!I16*EF!$H29)*kgtoGg)</f>
        <v>1.0079999999999998E-3</v>
      </c>
      <c r="J29" s="28">
        <f>IF(('Activity data'!J16*EF!$H29)*kgtoGg=0,"NO",('Activity data'!J16*EF!$H29)*kgtoGg)</f>
        <v>1.0079999999999998E-3</v>
      </c>
      <c r="K29" s="28">
        <f>IF(('Activity data'!K16*EF!$H29)*kgtoGg=0,"NO",('Activity data'!K16*EF!$H29)*kgtoGg)</f>
        <v>1.0079999999999998E-3</v>
      </c>
      <c r="L29" s="28">
        <f>IF(('Activity data'!L16*EF!$H29)*kgtoGg=0,"NO",('Activity data'!L16*EF!$H29)*kgtoGg)</f>
        <v>1.0079999999999998E-3</v>
      </c>
      <c r="M29" s="28">
        <f>IF(('Activity data'!M16*EF!$H29)*kgtoGg=0,"NO",('Activity data'!M16*EF!$H29)*kgtoGg)</f>
        <v>1.0079999999999998E-3</v>
      </c>
      <c r="N29" s="28">
        <f>IF(('Activity data'!N16*EF!$H29)*kgtoGg=0,"NO",('Activity data'!N16*EF!$H29)*kgtoGg)</f>
        <v>1.0079999999999998E-3</v>
      </c>
      <c r="O29" s="28">
        <f>IF(('Activity data'!O16*EF!$H29)*kgtoGg=0,"NO",('Activity data'!O16*EF!$H29)*kgtoGg)</f>
        <v>1.0079999999999998E-3</v>
      </c>
      <c r="P29" s="28">
        <f>IF(('Activity data'!P16*EF!$H29)*kgtoGg=0,"NO",('Activity data'!P16*EF!$H29)*kgtoGg)</f>
        <v>1.0079999999999998E-3</v>
      </c>
      <c r="Q29" s="28">
        <f>IF(('Activity data'!Q16*EF!$H29)*kgtoGg=0,"NO",('Activity data'!Q16*EF!$H29)*kgtoGg)</f>
        <v>1.0079999999999998E-3</v>
      </c>
      <c r="R29" s="28">
        <f>IF(('Activity data'!R16*EF!$H29)*kgtoGg=0,"NO",('Activity data'!R16*EF!$H29)*kgtoGg)</f>
        <v>7.3799999999999994E-4</v>
      </c>
      <c r="S29" s="28">
        <f>IF(('Activity data'!S16*EF!$H29)*kgtoGg=0,"NO",('Activity data'!S16*EF!$H29)*kgtoGg)</f>
        <v>7.3799999999999994E-4</v>
      </c>
      <c r="T29" s="28">
        <f>IF(('Activity data'!T16*EF!$H29)*kgtoGg=0,"NO",('Activity data'!T16*EF!$H29)*kgtoGg)</f>
        <v>7.3799999999999994E-4</v>
      </c>
      <c r="U29" s="28">
        <f>IF(('Activity data'!U16*EF!$H29)*kgtoGg=0,"NO",('Activity data'!U16*EF!$H29)*kgtoGg)</f>
        <v>7.3799999999999994E-4</v>
      </c>
      <c r="V29" s="28">
        <f>IF(('Activity data'!V16*EF!$H29)*kgtoGg=0,"NO",('Activity data'!V16*EF!$H29)*kgtoGg)</f>
        <v>7.3799999999999994E-4</v>
      </c>
      <c r="W29" s="28">
        <f>IF(('Activity data'!W16*EF!$H29)*kgtoGg=0,"NO",('Activity data'!W16*EF!$H29)*kgtoGg)</f>
        <v>7.3799999999999994E-4</v>
      </c>
      <c r="X29" s="28">
        <f>IF(('Activity data'!X16*EF!$H29)*kgtoGg=0,"NO",('Activity data'!X16*EF!$H29)*kgtoGg)</f>
        <v>7.3822499999999991E-4</v>
      </c>
      <c r="Y29" s="28">
        <f>IF(('Activity data'!Y16*EF!$H29)*kgtoGg=0,"NO",('Activity data'!Y16*EF!$H29)*kgtoGg)</f>
        <v>7.4069999999999995E-4</v>
      </c>
      <c r="Z29" s="28">
        <f>IF(('Activity data'!Z16*EF!$H29)*kgtoGg=0,"NO",('Activity data'!Z16*EF!$H29)*kgtoGg)</f>
        <v>7.4114999999999999E-4</v>
      </c>
      <c r="AA29" s="28">
        <f>IF(('Activity data'!AA16*EF!$H29)*kgtoGg=0,"NO",('Activity data'!AA16*EF!$H29)*kgtoGg)</f>
        <v>7.4159999999999992E-4</v>
      </c>
      <c r="AB29" s="28">
        <f>IF(('Activity data'!AB16*EF!$H29)*kgtoGg=0,"NO",('Activity data'!AB16*EF!$H29)*kgtoGg)</f>
        <v>7.4834999999999984E-4</v>
      </c>
      <c r="AC29" s="28">
        <f>IF(('Activity data'!AC16*EF!$H29)*kgtoGg=0,"NO",('Activity data'!AC16*EF!$H29)*kgtoGg)</f>
        <v>7.515E-4</v>
      </c>
      <c r="AD29" s="28">
        <f>IF(('Activity data'!AD16*EF!$H29)*kgtoGg=0,"NO",('Activity data'!AD16*EF!$H29)*kgtoGg)</f>
        <v>7.515E-4</v>
      </c>
      <c r="AE29" s="28">
        <f>IF(('Activity data'!AE16*EF!$H29)*kgtoGg=0,"NO",('Activity data'!AE16*EF!$H29)*kgtoGg)</f>
        <v>7.515E-4</v>
      </c>
      <c r="AF29" s="28">
        <f>IF(('Activity data'!AF16*EF!$H29)*kgtoGg=0,"NO",('Activity data'!AF16*EF!$H29)*kgtoGg)</f>
        <v>7.515E-4</v>
      </c>
      <c r="AG29" s="28">
        <f>IF(('Activity data'!AG16*EF!$H29)*kgtoGg=0,"NO",('Activity data'!AG16*EF!$H29)*kgtoGg)</f>
        <v>7.515E-4</v>
      </c>
      <c r="AH29" s="28">
        <f>IF(('Activity data'!AH16*EF!$H29)*kgtoGg=0,"NO",('Activity data'!AH16*EF!$H29)*kgtoGg)</f>
        <v>7.515E-4</v>
      </c>
      <c r="AI29" s="28">
        <f>IF(('Activity data'!AI16*EF!$H29)*kgtoGg=0,"NO",('Activity data'!AI16*EF!$H29)*kgtoGg)</f>
        <v>7.515E-4</v>
      </c>
      <c r="AJ29" s="28">
        <f>IF(('Activity data'!AJ16*EF!$H29)*kgtoGg=0,"NO",('Activity data'!AJ16*EF!$H29)*kgtoGg)</f>
        <v>7.515E-4</v>
      </c>
      <c r="AK29" s="28">
        <f>IF(('Activity data'!AK16*EF!$H29)*kgtoGg=0,"NO",('Activity data'!AK16*EF!$H29)*kgtoGg)</f>
        <v>7.515E-4</v>
      </c>
      <c r="AL29" s="28">
        <f>IF(('Activity data'!AL16*EF!$H29)*kgtoGg=0,"NO",('Activity data'!AL16*EF!$H29)*kgtoGg)</f>
        <v>7.515E-4</v>
      </c>
      <c r="AM29" s="28">
        <f>IF(('Activity data'!AM16*EF!$H29)*kgtoGg=0,"NO",('Activity data'!AM16*EF!$H29)*kgtoGg)</f>
        <v>7.515E-4</v>
      </c>
      <c r="AN29" s="28">
        <f>IF(('Activity data'!AN16*EF!$H29)*kgtoGg=0,"NO",('Activity data'!AN16*EF!$H29)*kgtoGg)</f>
        <v>7.515E-4</v>
      </c>
      <c r="AO29" s="28">
        <f>IF(('Activity data'!AO16*EF!$H29)*kgtoGg=0,"NO",('Activity data'!AO16*EF!$H29)*kgtoGg)</f>
        <v>7.515E-4</v>
      </c>
      <c r="AP29" s="28">
        <f>IF(('Activity data'!AP16*EF!$H29)*kgtoGg=0,"NO",('Activity data'!AP16*EF!$H29)*kgtoGg)</f>
        <v>7.515E-4</v>
      </c>
      <c r="AQ29" s="28">
        <f>IF(('Activity data'!AQ16*EF!$H29)*kgtoGg=0,"NO",('Activity data'!AQ16*EF!$H29)*kgtoGg)</f>
        <v>7.515E-4</v>
      </c>
      <c r="AR29" s="28">
        <f>IF(('Activity data'!AR16*EF!$H29)*kgtoGg=0,"NO",('Activity data'!AR16*EF!$H29)*kgtoGg)</f>
        <v>7.515E-4</v>
      </c>
      <c r="AS29" s="28">
        <f>IF(('Activity data'!AS16*EF!$H29)*kgtoGg=0,"NO",('Activity data'!AS16*EF!$H29)*kgtoGg)</f>
        <v>7.515E-4</v>
      </c>
      <c r="AT29" s="28">
        <f>IF(('Activity data'!AT16*EF!$H29)*kgtoGg=0,"NO",('Activity data'!AT16*EF!$H29)*kgtoGg)</f>
        <v>7.515E-4</v>
      </c>
      <c r="AU29" s="28">
        <f>IF(('Activity data'!AU16*EF!$H29)*kgtoGg=0,"NO",('Activity data'!AU16*EF!$H29)*kgtoGg)</f>
        <v>7.515E-4</v>
      </c>
      <c r="AV29" s="28">
        <f>IF(('Activity data'!AV16*EF!$H29)*kgtoGg=0,"NO",('Activity data'!AV16*EF!$H29)*kgtoGg)</f>
        <v>7.515E-4</v>
      </c>
      <c r="AW29" s="28">
        <f>IF(('Activity data'!AW16*EF!$H29)*kgtoGg=0,"NO",('Activity data'!AW16*EF!$H29)*kgtoGg)</f>
        <v>7.515E-4</v>
      </c>
      <c r="AX29" s="28">
        <f>IF(('Activity data'!AX16*EF!$H29)*kgtoGg=0,"NO",('Activity data'!AX16*EF!$H29)*kgtoGg)</f>
        <v>7.515E-4</v>
      </c>
      <c r="AY29" s="28">
        <f>IF(('Activity data'!AY16*EF!$H29)*kgtoGg=0,"NO",('Activity data'!AY16*EF!$H29)*kgtoGg)</f>
        <v>7.515E-4</v>
      </c>
      <c r="AZ29" s="28">
        <f>IF(('Activity data'!AZ16*EF!$H29)*kgtoGg=0,"NO",('Activity data'!AZ16*EF!$H29)*kgtoGg)</f>
        <v>7.515E-4</v>
      </c>
      <c r="BA29" s="28">
        <f>IF(('Activity data'!BA16*EF!$H29)*kgtoGg=0,"NO",('Activity data'!BA16*EF!$H29)*kgtoGg)</f>
        <v>7.515E-4</v>
      </c>
      <c r="BB29" s="28">
        <f>IF(('Activity data'!BB16*EF!$H29)*kgtoGg=0,"NO",('Activity data'!BB16*EF!$H29)*kgtoGg)</f>
        <v>7.515E-4</v>
      </c>
      <c r="BC29" s="28">
        <f>IF(('Activity data'!BC16*EF!$H29)*kgtoGg=0,"NO",('Activity data'!BC16*EF!$H29)*kgtoGg)</f>
        <v>7.515E-4</v>
      </c>
      <c r="BD29" s="28">
        <f>IF(('Activity data'!BD16*EF!$H29)*kgtoGg=0,"NO",('Activity data'!BD16*EF!$H29)*kgtoGg)</f>
        <v>7.515E-4</v>
      </c>
      <c r="BE29" s="28">
        <f>IF(('Activity data'!BE16*EF!$H29)*kgtoGg=0,"NO",('Activity data'!BE16*EF!$H29)*kgtoGg)</f>
        <v>7.515E-4</v>
      </c>
      <c r="BF29" s="28">
        <f>IF(('Activity data'!BF16*EF!$H29)*kgtoGg=0,"NO",('Activity data'!BF16*EF!$H29)*kgtoGg)</f>
        <v>7.515E-4</v>
      </c>
      <c r="BG29" s="28">
        <f>IF(('Activity data'!BG16*EF!$H29)*kgtoGg=0,"NO",('Activity data'!BG16*EF!$H29)*kgtoGg)</f>
        <v>7.515E-4</v>
      </c>
      <c r="BH29" s="28">
        <f>IF(('Activity data'!BH16*EF!$H29)*kgtoGg=0,"NO",('Activity data'!BH16*EF!$H29)*kgtoGg)</f>
        <v>7.515E-4</v>
      </c>
      <c r="BI29" s="28">
        <f>IF(('Activity data'!BI16*EF!$H29)*kgtoGg=0,"NO",('Activity data'!BI16*EF!$H29)*kgtoGg)</f>
        <v>7.515E-4</v>
      </c>
      <c r="BJ29" s="28">
        <f>IF(('Activity data'!BJ16*EF!$H29)*kgtoGg=0,"NO",('Activity data'!BJ16*EF!$H29)*kgtoGg)</f>
        <v>7.515E-4</v>
      </c>
      <c r="BK29" s="28">
        <f>IF(('Activity data'!BK16*EF!$H29)*kgtoGg=0,"NO",('Activity data'!BK16*EF!$H29)*kgtoGg)</f>
        <v>7.515E-4</v>
      </c>
      <c r="BL29" s="28">
        <f>IF(('Activity data'!BL16*EF!$H29)*kgtoGg=0,"NO",('Activity data'!BL16*EF!$H29)*kgtoGg)</f>
        <v>7.515E-4</v>
      </c>
      <c r="BM29" s="28">
        <f>IF(('Activity data'!BM16*EF!$H29)*kgtoGg=0,"NO",('Activity data'!BM16*EF!$H29)*kgtoGg)</f>
        <v>7.515E-4</v>
      </c>
      <c r="BN29" s="28">
        <f>IF(('Activity data'!BN16*EF!$H29)*kgtoGg=0,"NO",('Activity data'!BN16*EF!$H29)*kgtoGg)</f>
        <v>7.515E-4</v>
      </c>
      <c r="BO29" s="28">
        <f>IF(('Activity data'!BO16*EF!$H29)*kgtoGg=0,"NO",('Activity data'!BO16*EF!$H29)*kgtoGg)</f>
        <v>7.515E-4</v>
      </c>
      <c r="BP29" s="28">
        <f>IF(('Activity data'!BP16*EF!$H29)*kgtoGg=0,"NO",('Activity data'!BP16*EF!$H29)*kgtoGg)</f>
        <v>7.515E-4</v>
      </c>
    </row>
    <row r="30" spans="1:68" x14ac:dyDescent="0.25">
      <c r="A30" t="str">
        <f t="shared" si="1"/>
        <v>3A Livestock</v>
      </c>
      <c r="B30" t="str">
        <f t="shared" si="8"/>
        <v>3A2 Manure management (CH4)</v>
      </c>
      <c r="C30" t="str">
        <f>EF!C30</f>
        <v>3A1h Swine</v>
      </c>
      <c r="D30" t="str">
        <f>EF!D30</f>
        <v>Commercial</v>
      </c>
      <c r="E30" t="str">
        <f t="shared" si="9"/>
        <v>Manure management Emissions</v>
      </c>
      <c r="F30" t="str">
        <f t="shared" si="6"/>
        <v>CH4</v>
      </c>
      <c r="G30" t="str">
        <f t="shared" si="7"/>
        <v>Gg CH4</v>
      </c>
      <c r="H30" s="28">
        <f>IF(('Activity data'!H17*EF!$H30)*kgtoGg=0,"NO",('Activity data'!H17*EF!$H30)*kgtoGg)</f>
        <v>21.422883239999997</v>
      </c>
      <c r="I30" s="28">
        <f>IF(('Activity data'!I17*EF!$H30)*kgtoGg=0,"NO",('Activity data'!I17*EF!$H30)*kgtoGg)</f>
        <v>23.404921649999999</v>
      </c>
      <c r="J30" s="28">
        <f>IF(('Activity data'!J17*EF!$H30)*kgtoGg=0,"NO",('Activity data'!J17*EF!$H30)*kgtoGg)</f>
        <v>23.250294539999995</v>
      </c>
      <c r="K30" s="28">
        <f>IF(('Activity data'!K17*EF!$H30)*kgtoGg=0,"NO",('Activity data'!K17*EF!$H30)*kgtoGg)</f>
        <v>23.236237529999997</v>
      </c>
      <c r="L30" s="28">
        <f>IF(('Activity data'!L17*EF!$H30)*kgtoGg=0,"NO",('Activity data'!L17*EF!$H30)*kgtoGg)</f>
        <v>22.069505699999993</v>
      </c>
      <c r="M30" s="28">
        <f>IF(('Activity data'!M17*EF!$H30)*kgtoGg=0,"NO",('Activity data'!M17*EF!$H30)*kgtoGg)</f>
        <v>22.280360849999997</v>
      </c>
      <c r="N30" s="28">
        <f>IF(('Activity data'!N17*EF!$H30)*kgtoGg=0,"NO",('Activity data'!N17*EF!$H30)*kgtoGg)</f>
        <v>23.995316069999994</v>
      </c>
      <c r="O30" s="28">
        <f>IF(('Activity data'!O17*EF!$H30)*kgtoGg=0,"NO",('Activity data'!O17*EF!$H30)*kgtoGg)</f>
        <v>23.882859989999996</v>
      </c>
      <c r="P30" s="28">
        <f>IF(('Activity data'!P17*EF!$H30)*kgtoGg=0,"NO",('Activity data'!P17*EF!$H30)*kgtoGg)</f>
        <v>24.402969359999993</v>
      </c>
      <c r="Q30" s="28">
        <f>IF(('Activity data'!Q17*EF!$H30)*kgtoGg=0,"NO",('Activity data'!Q17*EF!$H30)*kgtoGg)</f>
        <v>25.021477799999996</v>
      </c>
      <c r="R30" s="28">
        <f>IF(('Activity data'!R17*EF!$H30)*kgtoGg=0,"NO",('Activity data'!R17*EF!$H30)*kgtoGg)</f>
        <v>23.151895469999999</v>
      </c>
      <c r="S30" s="28">
        <f>IF(('Activity data'!S17*EF!$H30)*kgtoGg=0,"NO",('Activity data'!S17*EF!$H30)*kgtoGg)</f>
        <v>23.587662779999995</v>
      </c>
      <c r="T30" s="28">
        <f>IF(('Activity data'!T17*EF!$H30)*kgtoGg=0,"NO",('Activity data'!T17*EF!$H30)*kgtoGg)</f>
        <v>24.037487099999996</v>
      </c>
      <c r="U30" s="28">
        <f>IF(('Activity data'!U17*EF!$H30)*kgtoGg=0,"NO",('Activity data'!U17*EF!$H30)*kgtoGg)</f>
        <v>23.376807629999995</v>
      </c>
      <c r="V30" s="28">
        <f>IF(('Activity data'!V17*EF!$H30)*kgtoGg=0,"NO",('Activity data'!V17*EF!$H30)*kgtoGg)</f>
        <v>23.376807629999995</v>
      </c>
      <c r="W30" s="28">
        <f>IF(('Activity data'!W17*EF!$H30)*kgtoGg=0,"NO",('Activity data'!W17*EF!$H30)*kgtoGg)</f>
        <v>23.208123509999997</v>
      </c>
      <c r="X30" s="28">
        <f>IF(('Activity data'!X17*EF!$H30)*kgtoGg=0,"NO",('Activity data'!X17*EF!$H30)*kgtoGg)</f>
        <v>22.800470219999998</v>
      </c>
      <c r="Y30" s="28">
        <f>IF(('Activity data'!Y17*EF!$H30)*kgtoGg=0,"NO",('Activity data'!Y17*EF!$H30)*kgtoGg)</f>
        <v>23.208123509999997</v>
      </c>
      <c r="Z30" s="28">
        <f>IF(('Activity data'!Z17*EF!$H30)*kgtoGg=0,"NO",('Activity data'!Z17*EF!$H30)*kgtoGg)</f>
        <v>22.702071149999998</v>
      </c>
      <c r="AA30" s="28">
        <f>IF(('Activity data'!AA17*EF!$H30)*kgtoGg=0,"NO",('Activity data'!AA17*EF!$H30)*kgtoGg)</f>
        <v>22.673957129999998</v>
      </c>
      <c r="AB30" s="28">
        <f>IF(('Activity data'!AB17*EF!$H30)*kgtoGg=0,"NO",('Activity data'!AB17*EF!$H30)*kgtoGg)</f>
        <v>22.406873939999997</v>
      </c>
      <c r="AC30" s="28">
        <f>IF(('Activity data'!AC17*EF!$H30)*kgtoGg=0,"NO",('Activity data'!AC17*EF!$H30)*kgtoGg)</f>
        <v>22.266303839999996</v>
      </c>
      <c r="AD30" s="28">
        <f>IF(('Activity data'!AD17*EF!$H30)*kgtoGg=0,"NO",('Activity data'!AD17*EF!$H30)*kgtoGg)</f>
        <v>23.390403215044206</v>
      </c>
      <c r="AE30" s="28">
        <f>IF(('Activity data'!AE17*EF!$H30)*kgtoGg=0,"NO",('Activity data'!AE17*EF!$H30)*kgtoGg)</f>
        <v>23.389504644789536</v>
      </c>
      <c r="AF30" s="28">
        <f>IF(('Activity data'!AF17*EF!$H30)*kgtoGg=0,"NO",('Activity data'!AF17*EF!$H30)*kgtoGg)</f>
        <v>23.169553801335422</v>
      </c>
      <c r="AG30" s="28">
        <f>IF(('Activity data'!AG17*EF!$H30)*kgtoGg=0,"NO",('Activity data'!AG17*EF!$H30)*kgtoGg)</f>
        <v>22.783188948390308</v>
      </c>
      <c r="AH30" s="28">
        <f>IF(('Activity data'!AH17*EF!$H30)*kgtoGg=0,"NO",('Activity data'!AH17*EF!$H30)*kgtoGg)</f>
        <v>22.300901476079023</v>
      </c>
      <c r="AI30" s="28">
        <f>IF(('Activity data'!AI17*EF!$H30)*kgtoGg=0,"NO",('Activity data'!AI17*EF!$H30)*kgtoGg)</f>
        <v>21.918321564759221</v>
      </c>
      <c r="AJ30" s="28">
        <f>IF(('Activity data'!AJ17*EF!$H30)*kgtoGg=0,"NO",('Activity data'!AJ17*EF!$H30)*kgtoGg)</f>
        <v>21.599944039870621</v>
      </c>
      <c r="AK30" s="28">
        <f>IF(('Activity data'!AK17*EF!$H30)*kgtoGg=0,"NO",('Activity data'!AK17*EF!$H30)*kgtoGg)</f>
        <v>21.283534161912154</v>
      </c>
      <c r="AL30" s="28">
        <f>IF(('Activity data'!AL17*EF!$H30)*kgtoGg=0,"NO",('Activity data'!AL17*EF!$H30)*kgtoGg)</f>
        <v>18.545761298383976</v>
      </c>
      <c r="AM30" s="28">
        <f>IF(('Activity data'!AM17*EF!$H30)*kgtoGg=0,"NO",('Activity data'!AM17*EF!$H30)*kgtoGg)</f>
        <v>18.576546487108491</v>
      </c>
      <c r="AN30" s="28">
        <f>IF(('Activity data'!AN17*EF!$H30)*kgtoGg=0,"NO",('Activity data'!AN17*EF!$H30)*kgtoGg)</f>
        <v>18.614805447743105</v>
      </c>
      <c r="AO30" s="28">
        <f>IF(('Activity data'!AO17*EF!$H30)*kgtoGg=0,"NO",('Activity data'!AO17*EF!$H30)*kgtoGg)</f>
        <v>18.707622552996902</v>
      </c>
      <c r="AP30" s="28">
        <f>IF(('Activity data'!AP17*EF!$H30)*kgtoGg=0,"NO",('Activity data'!AP17*EF!$H30)*kgtoGg)</f>
        <v>18.831450451598471</v>
      </c>
      <c r="AQ30" s="28">
        <f>IF(('Activity data'!AQ17*EF!$H30)*kgtoGg=0,"NO",('Activity data'!AQ17*EF!$H30)*kgtoGg)</f>
        <v>18.943124637790064</v>
      </c>
      <c r="AR30" s="28">
        <f>IF(('Activity data'!AR17*EF!$H30)*kgtoGg=0,"NO",('Activity data'!AR17*EF!$H30)*kgtoGg)</f>
        <v>19.129510281885178</v>
      </c>
      <c r="AS30" s="28">
        <f>IF(('Activity data'!AS17*EF!$H30)*kgtoGg=0,"NO",('Activity data'!AS17*EF!$H30)*kgtoGg)</f>
        <v>19.329672248156676</v>
      </c>
      <c r="AT30" s="28">
        <f>IF(('Activity data'!AT17*EF!$H30)*kgtoGg=0,"NO",('Activity data'!AT17*EF!$H30)*kgtoGg)</f>
        <v>19.553998980178786</v>
      </c>
      <c r="AU30" s="28">
        <f>IF(('Activity data'!AU17*EF!$H30)*kgtoGg=0,"NO",('Activity data'!AU17*EF!$H30)*kgtoGg)</f>
        <v>19.788450900770368</v>
      </c>
      <c r="AV30" s="28">
        <f>IF(('Activity data'!AV17*EF!$H30)*kgtoGg=0,"NO",('Activity data'!AV17*EF!$H30)*kgtoGg)</f>
        <v>19.913787979780277</v>
      </c>
      <c r="AW30" s="28">
        <f>IF(('Activity data'!AW17*EF!$H30)*kgtoGg=0,"NO",('Activity data'!AW17*EF!$H30)*kgtoGg)</f>
        <v>20.169306908606412</v>
      </c>
      <c r="AX30" s="28">
        <f>IF(('Activity data'!AX17*EF!$H30)*kgtoGg=0,"NO",('Activity data'!AX17*EF!$H30)*kgtoGg)</f>
        <v>20.426979039720678</v>
      </c>
      <c r="AY30" s="28">
        <f>IF(('Activity data'!AY17*EF!$H30)*kgtoGg=0,"NO",('Activity data'!AY17*EF!$H30)*kgtoGg)</f>
        <v>20.690583427563126</v>
      </c>
      <c r="AZ30" s="28">
        <f>IF(('Activity data'!AZ17*EF!$H30)*kgtoGg=0,"NO",('Activity data'!AZ17*EF!$H30)*kgtoGg)</f>
        <v>20.914737691623838</v>
      </c>
      <c r="BA30" s="28">
        <f>IF(('Activity data'!BA17*EF!$H30)*kgtoGg=0,"NO",('Activity data'!BA17*EF!$H30)*kgtoGg)</f>
        <v>21.162765095276651</v>
      </c>
      <c r="BB30" s="28">
        <f>IF(('Activity data'!BB17*EF!$H30)*kgtoGg=0,"NO",('Activity data'!BB17*EF!$H30)*kgtoGg)</f>
        <v>21.434035003888305</v>
      </c>
      <c r="BC30" s="28">
        <f>IF(('Activity data'!BC17*EF!$H30)*kgtoGg=0,"NO",('Activity data'!BC17*EF!$H30)*kgtoGg)</f>
        <v>21.715580785535192</v>
      </c>
      <c r="BD30" s="28">
        <f>IF(('Activity data'!BD17*EF!$H30)*kgtoGg=0,"NO",('Activity data'!BD17*EF!$H30)*kgtoGg)</f>
        <v>21.976112692492453</v>
      </c>
      <c r="BE30" s="28">
        <f>IF(('Activity data'!BE17*EF!$H30)*kgtoGg=0,"NO",('Activity data'!BE17*EF!$H30)*kgtoGg)</f>
        <v>22.246384088137141</v>
      </c>
      <c r="BF30" s="28">
        <f>IF(('Activity data'!BF17*EF!$H30)*kgtoGg=0,"NO",('Activity data'!BF17*EF!$H30)*kgtoGg)</f>
        <v>22.543554002633801</v>
      </c>
      <c r="BG30" s="28">
        <f>IF(('Activity data'!BG17*EF!$H30)*kgtoGg=0,"NO",('Activity data'!BG17*EF!$H30)*kgtoGg)</f>
        <v>22.85780701989124</v>
      </c>
      <c r="BH30" s="28">
        <f>IF(('Activity data'!BH17*EF!$H30)*kgtoGg=0,"NO",('Activity data'!BH17*EF!$H30)*kgtoGg)</f>
        <v>23.185428753015511</v>
      </c>
      <c r="BI30" s="28">
        <f>IF(('Activity data'!BI17*EF!$H30)*kgtoGg=0,"NO",('Activity data'!BI17*EF!$H30)*kgtoGg)</f>
        <v>23.526571962914563</v>
      </c>
      <c r="BJ30" s="28">
        <f>IF(('Activity data'!BJ17*EF!$H30)*kgtoGg=0,"NO",('Activity data'!BJ17*EF!$H30)*kgtoGg)</f>
        <v>23.880401889096156</v>
      </c>
      <c r="BK30" s="28">
        <f>IF(('Activity data'!BK17*EF!$H30)*kgtoGg=0,"NO",('Activity data'!BK17*EF!$H30)*kgtoGg)</f>
        <v>24.252575427191566</v>
      </c>
      <c r="BL30" s="28">
        <f>IF(('Activity data'!BL17*EF!$H30)*kgtoGg=0,"NO",('Activity data'!BL17*EF!$H30)*kgtoGg)</f>
        <v>24.561409508650947</v>
      </c>
      <c r="BM30" s="28">
        <f>IF(('Activity data'!BM17*EF!$H30)*kgtoGg=0,"NO",('Activity data'!BM17*EF!$H30)*kgtoGg)</f>
        <v>24.885273113278053</v>
      </c>
      <c r="BN30" s="28">
        <f>IF(('Activity data'!BN17*EF!$H30)*kgtoGg=0,"NO",('Activity data'!BN17*EF!$H30)*kgtoGg)</f>
        <v>25.22895810212415</v>
      </c>
      <c r="BO30" s="28">
        <f>IF(('Activity data'!BO17*EF!$H30)*kgtoGg=0,"NO",('Activity data'!BO17*EF!$H30)*kgtoGg)</f>
        <v>25.594171980044511</v>
      </c>
      <c r="BP30" s="28">
        <f>IF(('Activity data'!BP17*EF!$H30)*kgtoGg=0,"NO",('Activity data'!BP17*EF!$H30)*kgtoGg)</f>
        <v>25.997335215752404</v>
      </c>
    </row>
    <row r="31" spans="1:68" x14ac:dyDescent="0.25">
      <c r="A31" t="str">
        <f t="shared" si="1"/>
        <v>3A Livestock</v>
      </c>
      <c r="B31" t="str">
        <f t="shared" si="8"/>
        <v>3A2 Manure management (CH4)</v>
      </c>
      <c r="C31" t="str">
        <f>EF!C31</f>
        <v>3A1h Swine</v>
      </c>
      <c r="D31" t="str">
        <f>EF!D31</f>
        <v>Subsistence</v>
      </c>
      <c r="E31" t="str">
        <f t="shared" si="9"/>
        <v>Manure management Emissions</v>
      </c>
      <c r="F31" t="str">
        <f t="shared" si="6"/>
        <v>CH4</v>
      </c>
      <c r="G31" t="str">
        <f t="shared" si="7"/>
        <v>Gg CH4</v>
      </c>
      <c r="H31" s="28">
        <f>IF(('Activity data'!H18*EF!$H31)*kgtoGg=0,"NO",('Activity data'!H18*EF!$H31)*kgtoGg)</f>
        <v>6.8678348124932898E-2</v>
      </c>
      <c r="I31" s="28">
        <f>IF(('Activity data'!I18*EF!$H31)*kgtoGg=0,"NO",('Activity data'!I18*EF!$H31)*kgtoGg)</f>
        <v>7.5032447262475918E-2</v>
      </c>
      <c r="J31" s="28">
        <f>IF(('Activity data'!J18*EF!$H31)*kgtoGg=0,"NO",('Activity data'!J18*EF!$H31)*kgtoGg)</f>
        <v>7.4536737400681771E-2</v>
      </c>
      <c r="K31" s="28">
        <f>IF(('Activity data'!K18*EF!$H31)*kgtoGg=0,"NO",('Activity data'!K18*EF!$H31)*kgtoGg)</f>
        <v>7.4491672867791403E-2</v>
      </c>
      <c r="L31" s="28">
        <f>IF(('Activity data'!L18*EF!$H31)*kgtoGg=0,"NO",('Activity data'!L18*EF!$H31)*kgtoGg)</f>
        <v>7.0751316637890194E-2</v>
      </c>
      <c r="M31" s="28">
        <f>IF(('Activity data'!M18*EF!$H31)*kgtoGg=0,"NO",('Activity data'!M18*EF!$H31)*kgtoGg)</f>
        <v>7.1427284631245841E-2</v>
      </c>
      <c r="N31" s="28">
        <f>IF(('Activity data'!N18*EF!$H31)*kgtoGg=0,"NO",('Activity data'!N18*EF!$H31)*kgtoGg)</f>
        <v>7.69251576438717E-2</v>
      </c>
      <c r="O31" s="28">
        <f>IF(('Activity data'!O18*EF!$H31)*kgtoGg=0,"NO",('Activity data'!O18*EF!$H31)*kgtoGg)</f>
        <v>7.6564641380748699E-2</v>
      </c>
      <c r="P31" s="28">
        <f>IF(('Activity data'!P18*EF!$H31)*kgtoGg=0,"NO",('Activity data'!P18*EF!$H31)*kgtoGg)</f>
        <v>7.8232029097692599E-2</v>
      </c>
      <c r="Q31" s="28">
        <f>IF(('Activity data'!Q18*EF!$H31)*kgtoGg=0,"NO",('Activity data'!Q18*EF!$H31)*kgtoGg)</f>
        <v>8.0214868544869131E-2</v>
      </c>
      <c r="R31" s="28">
        <f>IF(('Activity data'!R18*EF!$H31)*kgtoGg=0,"NO",('Activity data'!R18*EF!$H31)*kgtoGg)</f>
        <v>7.4221285670449139E-2</v>
      </c>
      <c r="S31" s="28">
        <f>IF(('Activity data'!S18*EF!$H31)*kgtoGg=0,"NO",('Activity data'!S18*EF!$H31)*kgtoGg)</f>
        <v>7.5618286190050801E-2</v>
      </c>
      <c r="T31" s="28">
        <f>IF(('Activity data'!T18*EF!$H31)*kgtoGg=0,"NO",('Activity data'!T18*EF!$H31)*kgtoGg)</f>
        <v>7.7060351242542832E-2</v>
      </c>
      <c r="U31" s="28">
        <f>IF(('Activity data'!U18*EF!$H31)*kgtoGg=0,"NO",('Activity data'!U18*EF!$H31)*kgtoGg)</f>
        <v>7.4942318196695168E-2</v>
      </c>
      <c r="V31" s="28">
        <f>IF(('Activity data'!V18*EF!$H31)*kgtoGg=0,"NO",('Activity data'!V18*EF!$H31)*kgtoGg)</f>
        <v>7.4942318196695168E-2</v>
      </c>
      <c r="W31" s="28">
        <f>IF(('Activity data'!W18*EF!$H31)*kgtoGg=0,"NO",('Activity data'!W18*EF!$H31)*kgtoGg)</f>
        <v>7.4401543802010653E-2</v>
      </c>
      <c r="X31" s="28">
        <f>IF(('Activity data'!X18*EF!$H31)*kgtoGg=0,"NO",('Activity data'!X18*EF!$H31)*kgtoGg)</f>
        <v>7.309467234818974E-2</v>
      </c>
      <c r="Y31" s="28">
        <f>IF(('Activity data'!Y18*EF!$H31)*kgtoGg=0,"NO",('Activity data'!Y18*EF!$H31)*kgtoGg)</f>
        <v>7.4401543802010653E-2</v>
      </c>
      <c r="Z31" s="28">
        <f>IF(('Activity data'!Z18*EF!$H31)*kgtoGg=0,"NO",('Activity data'!Z18*EF!$H31)*kgtoGg)</f>
        <v>7.2779220617957122E-2</v>
      </c>
      <c r="AA31" s="28">
        <f>IF(('Activity data'!AA18*EF!$H31)*kgtoGg=0,"NO",('Activity data'!AA18*EF!$H31)*kgtoGg)</f>
        <v>7.2689091552176358E-2</v>
      </c>
      <c r="AB31" s="28">
        <f>IF(('Activity data'!AB18*EF!$H31)*kgtoGg=0,"NO",('Activity data'!AB18*EF!$H31)*kgtoGg)</f>
        <v>7.1832865427259224E-2</v>
      </c>
      <c r="AC31" s="28">
        <f>IF(('Activity data'!AC18*EF!$H31)*kgtoGg=0,"NO",('Activity data'!AC18*EF!$H31)*kgtoGg)</f>
        <v>7.1382220098355459E-2</v>
      </c>
      <c r="AD31" s="28">
        <f>IF(('Activity data'!AD18*EF!$H31)*kgtoGg=0,"NO",('Activity data'!AD18*EF!$H31)*kgtoGg)</f>
        <v>7.8304782546007826E-2</v>
      </c>
      <c r="AE31" s="28">
        <f>IF(('Activity data'!AE18*EF!$H31)*kgtoGg=0,"NO",('Activity data'!AE18*EF!$H31)*kgtoGg)</f>
        <v>7.830177437433386E-2</v>
      </c>
      <c r="AF31" s="28">
        <f>IF(('Activity data'!AF18*EF!$H31)*kgtoGg=0,"NO",('Activity data'!AF18*EF!$H31)*kgtoGg)</f>
        <v>7.7565438073965709E-2</v>
      </c>
      <c r="AG31" s="28">
        <f>IF(('Activity data'!AG18*EF!$H31)*kgtoGg=0,"NO",('Activity data'!AG18*EF!$H31)*kgtoGg)</f>
        <v>7.6271992402459313E-2</v>
      </c>
      <c r="AH31" s="28">
        <f>IF(('Activity data'!AH18*EF!$H31)*kgtoGg=0,"NO",('Activity data'!AH18*EF!$H31)*kgtoGg)</f>
        <v>7.4657423585633237E-2</v>
      </c>
      <c r="AI31" s="28">
        <f>IF(('Activity data'!AI18*EF!$H31)*kgtoGg=0,"NO",('Activity data'!AI18*EF!$H31)*kgtoGg)</f>
        <v>7.3376648881283563E-2</v>
      </c>
      <c r="AJ31" s="28">
        <f>IF(('Activity data'!AJ18*EF!$H31)*kgtoGg=0,"NO",('Activity data'!AJ18*EF!$H31)*kgtoGg)</f>
        <v>7.2310806508891129E-2</v>
      </c>
      <c r="AK31" s="28">
        <f>IF(('Activity data'!AK18*EF!$H31)*kgtoGg=0,"NO",('Activity data'!AK18*EF!$H31)*kgtoGg)</f>
        <v>7.1251551289510773E-2</v>
      </c>
      <c r="AL31" s="28">
        <f>IF(('Activity data'!AL18*EF!$H31)*kgtoGg=0,"NO",('Activity data'!AL18*EF!$H31)*kgtoGg)</f>
        <v>6.208622366484419E-2</v>
      </c>
      <c r="AM31" s="28">
        <f>IF(('Activity data'!AM18*EF!$H31)*kgtoGg=0,"NO",('Activity data'!AM18*EF!$H31)*kgtoGg)</f>
        <v>6.2189284201533031E-2</v>
      </c>
      <c r="AN31" s="28">
        <f>IF(('Activity data'!AN18*EF!$H31)*kgtoGg=0,"NO",('Activity data'!AN18*EF!$H31)*kgtoGg)</f>
        <v>6.231736491760221E-2</v>
      </c>
      <c r="AO31" s="28">
        <f>IF(('Activity data'!AO18*EF!$H31)*kgtoGg=0,"NO",('Activity data'!AO18*EF!$H31)*kgtoGg)</f>
        <v>6.2628091636446198E-2</v>
      </c>
      <c r="AP31" s="28">
        <f>IF(('Activity data'!AP18*EF!$H31)*kgtoGg=0,"NO",('Activity data'!AP18*EF!$H31)*kgtoGg)</f>
        <v>6.3042634155614424E-2</v>
      </c>
      <c r="AQ31" s="28">
        <f>IF(('Activity data'!AQ18*EF!$H31)*kgtoGg=0,"NO",('Activity data'!AQ18*EF!$H31)*kgtoGg)</f>
        <v>6.3416489312592264E-2</v>
      </c>
      <c r="AR31" s="28">
        <f>IF(('Activity data'!AR18*EF!$H31)*kgtoGg=0,"NO",('Activity data'!AR18*EF!$H31)*kgtoGg)</f>
        <v>6.4040458347943405E-2</v>
      </c>
      <c r="AS31" s="28">
        <f>IF(('Activity data'!AS18*EF!$H31)*kgtoGg=0,"NO",('Activity data'!AS18*EF!$H31)*kgtoGg)</f>
        <v>6.471054680681998E-2</v>
      </c>
      <c r="AT31" s="28">
        <f>IF(('Activity data'!AT18*EF!$H31)*kgtoGg=0,"NO",('Activity data'!AT18*EF!$H31)*kgtoGg)</f>
        <v>6.5461532405860445E-2</v>
      </c>
      <c r="AU31" s="28">
        <f>IF(('Activity data'!AU18*EF!$H31)*kgtoGg=0,"NO",('Activity data'!AU18*EF!$H31)*kgtoGg)</f>
        <v>6.6246414414547247E-2</v>
      </c>
      <c r="AV31" s="28">
        <f>IF(('Activity data'!AV18*EF!$H31)*kgtoGg=0,"NO",('Activity data'!AV18*EF!$H31)*kgtoGg)</f>
        <v>6.6666009264049891E-2</v>
      </c>
      <c r="AW31" s="28">
        <f>IF(('Activity data'!AW18*EF!$H31)*kgtoGg=0,"NO",('Activity data'!AW18*EF!$H31)*kgtoGg)</f>
        <v>6.7521417953424284E-2</v>
      </c>
      <c r="AX31" s="28">
        <f>IF(('Activity data'!AX18*EF!$H31)*kgtoGg=0,"NO",('Activity data'!AX18*EF!$H31)*kgtoGg)</f>
        <v>6.8384034985271375E-2</v>
      </c>
      <c r="AY31" s="28">
        <f>IF(('Activity data'!AY18*EF!$H31)*kgtoGg=0,"NO",('Activity data'!AY18*EF!$H31)*kgtoGg)</f>
        <v>6.9266511618034196E-2</v>
      </c>
      <c r="AZ31" s="28">
        <f>IF(('Activity data'!AZ18*EF!$H31)*kgtoGg=0,"NO",('Activity data'!AZ18*EF!$H31)*kgtoGg)</f>
        <v>7.0016919840699854E-2</v>
      </c>
      <c r="BA31" s="28">
        <f>IF(('Activity data'!BA18*EF!$H31)*kgtoGg=0,"NO",('Activity data'!BA18*EF!$H31)*kgtoGg)</f>
        <v>7.0847248917540767E-2</v>
      </c>
      <c r="BB31" s="28">
        <f>IF(('Activity data'!BB18*EF!$H31)*kgtoGg=0,"NO",('Activity data'!BB18*EF!$H31)*kgtoGg)</f>
        <v>7.1755387653321456E-2</v>
      </c>
      <c r="BC31" s="28">
        <f>IF(('Activity data'!BC18*EF!$H31)*kgtoGg=0,"NO",('Activity data'!BC18*EF!$H31)*kgtoGg)</f>
        <v>7.2697927249835384E-2</v>
      </c>
      <c r="BD31" s="28">
        <f>IF(('Activity data'!BD18*EF!$H31)*kgtoGg=0,"NO",('Activity data'!BD18*EF!$H31)*kgtoGg)</f>
        <v>7.3570118042487614E-2</v>
      </c>
      <c r="BE31" s="28">
        <f>IF(('Activity data'!BE18*EF!$H31)*kgtoGg=0,"NO",('Activity data'!BE18*EF!$H31)*kgtoGg)</f>
        <v>7.4474914025258521E-2</v>
      </c>
      <c r="BF31" s="28">
        <f>IF(('Activity data'!BF18*EF!$H31)*kgtoGg=0,"NO",('Activity data'!BF18*EF!$H31)*kgtoGg)</f>
        <v>7.5469759018734733E-2</v>
      </c>
      <c r="BG31" s="28">
        <f>IF(('Activity data'!BG18*EF!$H31)*kgtoGg=0,"NO",('Activity data'!BG18*EF!$H31)*kgtoGg)</f>
        <v>7.6521793648259354E-2</v>
      </c>
      <c r="BH31" s="28">
        <f>IF(('Activity data'!BH18*EF!$H31)*kgtoGg=0,"NO",('Activity data'!BH18*EF!$H31)*kgtoGg)</f>
        <v>7.7618583144950973E-2</v>
      </c>
      <c r="BI31" s="28">
        <f>IF(('Activity data'!BI18*EF!$H31)*kgtoGg=0,"NO",('Activity data'!BI18*EF!$H31)*kgtoGg)</f>
        <v>7.876063891126675E-2</v>
      </c>
      <c r="BJ31" s="28">
        <f>IF(('Activity data'!BJ18*EF!$H31)*kgtoGg=0,"NO",('Activity data'!BJ18*EF!$H31)*kgtoGg)</f>
        <v>7.994516639346505E-2</v>
      </c>
      <c r="BK31" s="28">
        <f>IF(('Activity data'!BK18*EF!$H31)*kgtoGg=0,"NO",('Activity data'!BK18*EF!$H31)*kgtoGg)</f>
        <v>8.1191103357527106E-2</v>
      </c>
      <c r="BL31" s="28">
        <f>IF(('Activity data'!BL18*EF!$H31)*kgtoGg=0,"NO",('Activity data'!BL18*EF!$H31)*kgtoGg)</f>
        <v>8.2224996846627749E-2</v>
      </c>
      <c r="BM31" s="28">
        <f>IF(('Activity data'!BM18*EF!$H31)*kgtoGg=0,"NO",('Activity data'!BM18*EF!$H31)*kgtoGg)</f>
        <v>8.3309205139308271E-2</v>
      </c>
      <c r="BN31" s="28">
        <f>IF(('Activity data'!BN18*EF!$H31)*kgtoGg=0,"NO",('Activity data'!BN18*EF!$H31)*kgtoGg)</f>
        <v>8.4459770098300135E-2</v>
      </c>
      <c r="BO31" s="28">
        <f>IF(('Activity data'!BO18*EF!$H31)*kgtoGg=0,"NO",('Activity data'!BO18*EF!$H31)*kgtoGg)</f>
        <v>8.5682407990875856E-2</v>
      </c>
      <c r="BP31" s="28">
        <f>IF(('Activity data'!BP18*EF!$H31)*kgtoGg=0,"NO",('Activity data'!BP18*EF!$H31)*kgtoGg)</f>
        <v>8.7032090132411019E-2</v>
      </c>
    </row>
    <row r="32" spans="1:68" x14ac:dyDescent="0.25">
      <c r="A32" t="str">
        <f t="shared" si="1"/>
        <v>3A Livestock</v>
      </c>
      <c r="B32" t="str">
        <f t="shared" si="8"/>
        <v>3A2 Manure management (CH4)</v>
      </c>
      <c r="C32" t="str">
        <f>EF!C32</f>
        <v>3A2i Poultry</v>
      </c>
      <c r="D32" t="str">
        <f>EF!D32</f>
        <v>Commercial layers</v>
      </c>
      <c r="E32" t="str">
        <f t="shared" si="9"/>
        <v>Manure management Emissions</v>
      </c>
      <c r="F32" t="str">
        <f t="shared" si="6"/>
        <v>CH4</v>
      </c>
      <c r="G32" t="str">
        <f t="shared" si="7"/>
        <v>Gg CH4</v>
      </c>
      <c r="H32" s="28">
        <f>IF(('Activity data'!H19*EF!$H32)*kgtoGg=0,"NO",('Activity data'!H19*EF!$H32)*kgtoGg)</f>
        <v>0.34412636088479531</v>
      </c>
      <c r="I32" s="28">
        <f>IF(('Activity data'!I19*EF!$H32)*kgtoGg=0,"NO",('Activity data'!I19*EF!$H32)*kgtoGg)</f>
        <v>0.33431360408971139</v>
      </c>
      <c r="J32" s="28">
        <f>IF(('Activity data'!J19*EF!$H32)*kgtoGg=0,"NO",('Activity data'!J19*EF!$H32)*kgtoGg)</f>
        <v>0.31707319838740716</v>
      </c>
      <c r="K32" s="28">
        <f>IF(('Activity data'!K19*EF!$H32)*kgtoGg=0,"NO",('Activity data'!K19*EF!$H32)*kgtoGg)</f>
        <v>0.31208778044270324</v>
      </c>
      <c r="L32" s="28">
        <f>IF(('Activity data'!L19*EF!$H32)*kgtoGg=0,"NO",('Activity data'!L19*EF!$H32)*kgtoGg)</f>
        <v>0.29851308566472284</v>
      </c>
      <c r="M32" s="28">
        <f>IF(('Activity data'!M19*EF!$H32)*kgtoGg=0,"NO",('Activity data'!M19*EF!$H32)*kgtoGg)</f>
        <v>0.32571493051505118</v>
      </c>
      <c r="N32" s="28">
        <f>IF(('Activity data'!N19*EF!$H32)*kgtoGg=0,"NO",('Activity data'!N19*EF!$H32)*kgtoGg)</f>
        <v>0.34405437172586711</v>
      </c>
      <c r="O32" s="28">
        <f>IF(('Activity data'!O19*EF!$H32)*kgtoGg=0,"NO",('Activity data'!O19*EF!$H32)*kgtoGg)</f>
        <v>0.34518574950517145</v>
      </c>
      <c r="P32" s="28">
        <f>IF(('Activity data'!P19*EF!$H32)*kgtoGg=0,"NO",('Activity data'!P19*EF!$H32)*kgtoGg)</f>
        <v>0.38865002667416459</v>
      </c>
      <c r="Q32" s="28">
        <f>IF(('Activity data'!Q19*EF!$H32)*kgtoGg=0,"NO",('Activity data'!Q19*EF!$H32)*kgtoGg)</f>
        <v>0.41667182927837593</v>
      </c>
      <c r="R32" s="28">
        <f>IF(('Activity data'!R19*EF!$H32)*kgtoGg=0,"NO",('Activity data'!R19*EF!$H32)*kgtoGg)</f>
        <v>0.40784322178977589</v>
      </c>
      <c r="S32" s="28">
        <f>IF(('Activity data'!S19*EF!$H32)*kgtoGg=0,"NO",('Activity data'!S19*EF!$H32)*kgtoGg)</f>
        <v>0.41872302408484074</v>
      </c>
      <c r="T32" s="28">
        <f>IF(('Activity data'!T19*EF!$H32)*kgtoGg=0,"NO",('Activity data'!T19*EF!$H32)*kgtoGg)</f>
        <v>0.41543664927468582</v>
      </c>
      <c r="U32" s="28">
        <f>IF(('Activity data'!U19*EF!$H32)*kgtoGg=0,"NO",('Activity data'!U19*EF!$H32)*kgtoGg)</f>
        <v>0.39885137894995365</v>
      </c>
      <c r="V32" s="28">
        <f>IF(('Activity data'!V19*EF!$H32)*kgtoGg=0,"NO",('Activity data'!V19*EF!$H32)*kgtoGg)</f>
        <v>0.41331414342789019</v>
      </c>
      <c r="W32" s="28">
        <f>IF(('Activity data'!W19*EF!$H32)*kgtoGg=0,"NO",('Activity data'!W19*EF!$H32)*kgtoGg)</f>
        <v>0.43823720309168573</v>
      </c>
      <c r="X32" s="28">
        <f>IF(('Activity data'!X19*EF!$H32)*kgtoGg=0,"NO",('Activity data'!X19*EF!$H32)*kgtoGg)</f>
        <v>0.48364625743591194</v>
      </c>
      <c r="Y32" s="28">
        <f>IF(('Activity data'!Y19*EF!$H32)*kgtoGg=0,"NO",('Activity data'!Y19*EF!$H32)*kgtoGg)</f>
        <v>0.53523791894516948</v>
      </c>
      <c r="Z32" s="28">
        <f>IF(('Activity data'!Z19*EF!$H32)*kgtoGg=0,"NO",('Activity data'!Z19*EF!$H32)*kgtoGg)</f>
        <v>0.54228693678826778</v>
      </c>
      <c r="AA32" s="28">
        <f>IF(('Activity data'!AA19*EF!$H32)*kgtoGg=0,"NO",('Activity data'!AA19*EF!$H32)*kgtoGg)</f>
        <v>0.52229475326298369</v>
      </c>
      <c r="AB32" s="28">
        <f>IF(('Activity data'!AB19*EF!$H32)*kgtoGg=0,"NO",('Activity data'!AB19*EF!$H32)*kgtoGg)</f>
        <v>0.5426399385673164</v>
      </c>
      <c r="AC32" s="28">
        <f>IF(('Activity data'!AC19*EF!$H32)*kgtoGg=0,"NO",('Activity data'!AC19*EF!$H32)*kgtoGg)</f>
        <v>0.56768674314562217</v>
      </c>
      <c r="AD32" s="28">
        <f>IF(('Activity data'!AD19*EF!$H32)*kgtoGg=0,"NO",('Activity data'!AD19*EF!$H32)*kgtoGg)</f>
        <v>0.55784547798578521</v>
      </c>
      <c r="AE32" s="28">
        <f>IF(('Activity data'!AE19*EF!$H32)*kgtoGg=0,"NO",('Activity data'!AE19*EF!$H32)*kgtoGg)</f>
        <v>0.57092041806639471</v>
      </c>
      <c r="AF32" s="28">
        <f>IF(('Activity data'!AF19*EF!$H32)*kgtoGg=0,"NO",('Activity data'!AF19*EF!$H32)*kgtoGg)</f>
        <v>0.58102211017469785</v>
      </c>
      <c r="AG32" s="28">
        <f>IF(('Activity data'!AG19*EF!$H32)*kgtoGg=0,"NO",('Activity data'!AG19*EF!$H32)*kgtoGg)</f>
        <v>0.58868113605270589</v>
      </c>
      <c r="AH32" s="28">
        <f>IF(('Activity data'!AH19*EF!$H32)*kgtoGg=0,"NO",('Activity data'!AH19*EF!$H32)*kgtoGg)</f>
        <v>0.59477085040267663</v>
      </c>
      <c r="AI32" s="28">
        <f>IF(('Activity data'!AI19*EF!$H32)*kgtoGg=0,"NO",('Activity data'!AI19*EF!$H32)*kgtoGg)</f>
        <v>0.60216397033089064</v>
      </c>
      <c r="AJ32" s="28">
        <f>IF(('Activity data'!AJ19*EF!$H32)*kgtoGg=0,"NO",('Activity data'!AJ19*EF!$H32)*kgtoGg)</f>
        <v>0.61032592976542988</v>
      </c>
      <c r="AK32" s="28">
        <f>IF(('Activity data'!AK19*EF!$H32)*kgtoGg=0,"NO",('Activity data'!AK19*EF!$H32)*kgtoGg)</f>
        <v>0.61836452482708082</v>
      </c>
      <c r="AL32" s="28">
        <f>IF(('Activity data'!AL19*EF!$H32)*kgtoGg=0,"NO",('Activity data'!AL19*EF!$H32)*kgtoGg)</f>
        <v>0.58686183108406387</v>
      </c>
      <c r="AM32" s="28">
        <f>IF(('Activity data'!AM19*EF!$H32)*kgtoGg=0,"NO",('Activity data'!AM19*EF!$H32)*kgtoGg)</f>
        <v>0.59858705790394018</v>
      </c>
      <c r="AN32" s="28">
        <f>IF(('Activity data'!AN19*EF!$H32)*kgtoGg=0,"NO",('Activity data'!AN19*EF!$H32)*kgtoGg)</f>
        <v>0.61025123514496016</v>
      </c>
      <c r="AO32" s="28">
        <f>IF(('Activity data'!AO19*EF!$H32)*kgtoGg=0,"NO",('Activity data'!AO19*EF!$H32)*kgtoGg)</f>
        <v>0.62267870784340074</v>
      </c>
      <c r="AP32" s="28">
        <f>IF(('Activity data'!AP19*EF!$H32)*kgtoGg=0,"NO",('Activity data'!AP19*EF!$H32)*kgtoGg)</f>
        <v>0.63570346550172252</v>
      </c>
      <c r="AQ32" s="28">
        <f>IF(('Activity data'!AQ19*EF!$H32)*kgtoGg=0,"NO",('Activity data'!AQ19*EF!$H32)*kgtoGg)</f>
        <v>0.64857952026335808</v>
      </c>
      <c r="AR32" s="28">
        <f>IF(('Activity data'!AR19*EF!$H32)*kgtoGg=0,"NO",('Activity data'!AR19*EF!$H32)*kgtoGg)</f>
        <v>0.66290965088518505</v>
      </c>
      <c r="AS32" s="28">
        <f>IF(('Activity data'!AS19*EF!$H32)*kgtoGg=0,"NO",('Activity data'!AS19*EF!$H32)*kgtoGg)</f>
        <v>0.67762902506962841</v>
      </c>
      <c r="AT32" s="28">
        <f>IF(('Activity data'!AT19*EF!$H32)*kgtoGg=0,"NO",('Activity data'!AT19*EF!$H32)*kgtoGg)</f>
        <v>0.69295902995668335</v>
      </c>
      <c r="AU32" s="28">
        <f>IF(('Activity data'!AU19*EF!$H32)*kgtoGg=0,"NO",('Activity data'!AU19*EF!$H32)*kgtoGg)</f>
        <v>0.70867946930960168</v>
      </c>
      <c r="AV32" s="28">
        <f>IF(('Activity data'!AV19*EF!$H32)*kgtoGg=0,"NO",('Activity data'!AV19*EF!$H32)*kgtoGg)</f>
        <v>0.72240230462528854</v>
      </c>
      <c r="AW32" s="28">
        <f>IF(('Activity data'!AW19*EF!$H32)*kgtoGg=0,"NO",('Activity data'!AW19*EF!$H32)*kgtoGg)</f>
        <v>0.73892442781370393</v>
      </c>
      <c r="AX32" s="28">
        <f>IF(('Activity data'!AX19*EF!$H32)*kgtoGg=0,"NO",('Activity data'!AX19*EF!$H32)*kgtoGg)</f>
        <v>0.75572333260157298</v>
      </c>
      <c r="AY32" s="28">
        <f>IF(('Activity data'!AY19*EF!$H32)*kgtoGg=0,"NO",('Activity data'!AY19*EF!$H32)*kgtoGg)</f>
        <v>0.77288874589117895</v>
      </c>
      <c r="AZ32" s="28">
        <f>IF(('Activity data'!AZ19*EF!$H32)*kgtoGg=0,"NO",('Activity data'!AZ19*EF!$H32)*kgtoGg)</f>
        <v>0.78945088013476661</v>
      </c>
      <c r="BA32" s="28">
        <f>IF(('Activity data'!BA19*EF!$H32)*kgtoGg=0,"NO",('Activity data'!BA19*EF!$H32)*kgtoGg)</f>
        <v>0.80677571001038684</v>
      </c>
      <c r="BB32" s="28">
        <f>IF(('Activity data'!BB19*EF!$H32)*kgtoGg=0,"NO",('Activity data'!BB19*EF!$H32)*kgtoGg)</f>
        <v>0.82488651124755452</v>
      </c>
      <c r="BC32" s="28">
        <f>IF(('Activity data'!BC19*EF!$H32)*kgtoGg=0,"NO",('Activity data'!BC19*EF!$H32)*kgtoGg)</f>
        <v>0.84352122533774665</v>
      </c>
      <c r="BD32" s="28">
        <f>IF(('Activity data'!BD19*EF!$H32)*kgtoGg=0,"NO",('Activity data'!BD19*EF!$H32)*kgtoGg)</f>
        <v>0.86196405229488149</v>
      </c>
      <c r="BE32" s="28">
        <f>IF(('Activity data'!BE19*EF!$H32)*kgtoGg=0,"NO",('Activity data'!BE19*EF!$H32)*kgtoGg)</f>
        <v>0.88094165493701093</v>
      </c>
      <c r="BF32" s="28">
        <f>IF(('Activity data'!BF19*EF!$H32)*kgtoGg=0,"NO",('Activity data'!BF19*EF!$H32)*kgtoGg)</f>
        <v>0.90089611397719283</v>
      </c>
      <c r="BG32" s="28">
        <f>IF(('Activity data'!BG19*EF!$H32)*kgtoGg=0,"NO",('Activity data'!BG19*EF!$H32)*kgtoGg)</f>
        <v>0.92162932241477091</v>
      </c>
      <c r="BH32" s="28">
        <f>IF(('Activity data'!BH19*EF!$H32)*kgtoGg=0,"NO",('Activity data'!BH19*EF!$H32)*kgtoGg)</f>
        <v>0.94308130263826406</v>
      </c>
      <c r="BI32" s="28">
        <f>IF(('Activity data'!BI19*EF!$H32)*kgtoGg=0,"NO",('Activity data'!BI19*EF!$H32)*kgtoGg)</f>
        <v>0.96528630470409582</v>
      </c>
      <c r="BJ32" s="28">
        <f>IF(('Activity data'!BJ19*EF!$H32)*kgtoGg=0,"NO",('Activity data'!BJ19*EF!$H32)*kgtoGg)</f>
        <v>0.98825427332918514</v>
      </c>
      <c r="BK32" s="28">
        <f>IF(('Activity data'!BK19*EF!$H32)*kgtoGg=0,"NO",('Activity data'!BK19*EF!$H32)*kgtoGg)</f>
        <v>1.0121687238448978</v>
      </c>
      <c r="BL32" s="28">
        <f>IF(('Activity data'!BL19*EF!$H32)*kgtoGg=0,"NO",('Activity data'!BL19*EF!$H32)*kgtoGg)</f>
        <v>1.0348366490082812</v>
      </c>
      <c r="BM32" s="28">
        <f>IF(('Activity data'!BM19*EF!$H32)*kgtoGg=0,"NO",('Activity data'!BM19*EF!$H32)*kgtoGg)</f>
        <v>1.0583600853786455</v>
      </c>
      <c r="BN32" s="28">
        <f>IF(('Activity data'!BN19*EF!$H32)*kgtoGg=0,"NO",('Activity data'!BN19*EF!$H32)*kgtoGg)</f>
        <v>1.0829122944172971</v>
      </c>
      <c r="BO32" s="28">
        <f>IF(('Activity data'!BO19*EF!$H32)*kgtoGg=0,"NO",('Activity data'!BO19*EF!$H32)*kgtoGg)</f>
        <v>1.1085878507344864</v>
      </c>
      <c r="BP32" s="28">
        <f>IF(('Activity data'!BP19*EF!$H32)*kgtoGg=0,"NO",('Activity data'!BP19*EF!$H32)*kgtoGg)</f>
        <v>1.1359208672125158</v>
      </c>
    </row>
    <row r="33" spans="1:68" x14ac:dyDescent="0.25">
      <c r="A33" t="str">
        <f t="shared" si="1"/>
        <v>3A Livestock</v>
      </c>
      <c r="B33" t="str">
        <f t="shared" si="8"/>
        <v>3A2 Manure management (CH4)</v>
      </c>
      <c r="C33" t="str">
        <f>EF!C33</f>
        <v>3A2i Poultry</v>
      </c>
      <c r="D33" t="str">
        <f>EF!D33</f>
        <v>Commercial broilers</v>
      </c>
      <c r="E33" t="str">
        <f t="shared" si="9"/>
        <v>Manure management Emissions</v>
      </c>
      <c r="F33" t="str">
        <f t="shared" si="6"/>
        <v>CH4</v>
      </c>
      <c r="G33" t="str">
        <f t="shared" si="7"/>
        <v>Gg CH4</v>
      </c>
      <c r="H33" s="28">
        <f>IF(('Activity data'!H20*EF!$H33)*kgtoGg=0,"NO",('Activity data'!H20*EF!$H33)*kgtoGg)</f>
        <v>0.94715547095572861</v>
      </c>
      <c r="I33" s="28">
        <f>IF(('Activity data'!I20*EF!$H33)*kgtoGg=0,"NO",('Activity data'!I20*EF!$H33)*kgtoGg)</f>
        <v>0.89032614384752706</v>
      </c>
      <c r="J33" s="28">
        <f>IF(('Activity data'!J20*EF!$H33)*kgtoGg=0,"NO",('Activity data'!J20*EF!$H33)*kgtoGg)</f>
        <v>0.84142189535323741</v>
      </c>
      <c r="K33" s="28">
        <f>IF(('Activity data'!K20*EF!$H33)*kgtoGg=0,"NO",('Activity data'!K20*EF!$H33)*kgtoGg)</f>
        <v>0.94630052317004854</v>
      </c>
      <c r="L33" s="28">
        <f>IF(('Activity data'!L20*EF!$H33)*kgtoGg=0,"NO",('Activity data'!L20*EF!$H33)*kgtoGg)</f>
        <v>0.93742541753662223</v>
      </c>
      <c r="M33" s="28">
        <f>IF(('Activity data'!M20*EF!$H33)*kgtoGg=0,"NO",('Activity data'!M20*EF!$H33)*kgtoGg)</f>
        <v>1.0730204292114462</v>
      </c>
      <c r="N33" s="28">
        <f>IF(('Activity data'!N20*EF!$H33)*kgtoGg=0,"NO",('Activity data'!N20*EF!$H33)*kgtoGg)</f>
        <v>1.247646180709717</v>
      </c>
      <c r="O33" s="28">
        <f>IF(('Activity data'!O20*EF!$H33)*kgtoGg=0,"NO",('Activity data'!O20*EF!$H33)*kgtoGg)</f>
        <v>1.2699611966563922</v>
      </c>
      <c r="P33" s="28">
        <f>IF(('Activity data'!P20*EF!$H33)*kgtoGg=0,"NO",('Activity data'!P20*EF!$H33)*kgtoGg)</f>
        <v>1.3915382753930494</v>
      </c>
      <c r="Q33" s="28">
        <f>IF(('Activity data'!Q20*EF!$H33)*kgtoGg=0,"NO",('Activity data'!Q20*EF!$H33)*kgtoGg)</f>
        <v>1.452750350288103</v>
      </c>
      <c r="R33" s="28">
        <f>IF(('Activity data'!R20*EF!$H33)*kgtoGg=0,"NO",('Activity data'!R20*EF!$H33)*kgtoGg)</f>
        <v>1.5630523253351984</v>
      </c>
      <c r="S33" s="28">
        <f>IF(('Activity data'!S20*EF!$H33)*kgtoGg=0,"NO",('Activity data'!S20*EF!$H33)*kgtoGg)</f>
        <v>1.5092912592701446</v>
      </c>
      <c r="T33" s="28">
        <f>IF(('Activity data'!T20*EF!$H33)*kgtoGg=0,"NO",('Activity data'!T20*EF!$H33)*kgtoGg)</f>
        <v>1.6727842751343183</v>
      </c>
      <c r="U33" s="28">
        <f>IF(('Activity data'!U20*EF!$H33)*kgtoGg=0,"NO",('Activity data'!U20*EF!$H33)*kgtoGg)</f>
        <v>1.5910703727417843</v>
      </c>
      <c r="V33" s="28">
        <f>IF(('Activity data'!V20*EF!$H33)*kgtoGg=0,"NO",('Activity data'!V20*EF!$H33)*kgtoGg)</f>
        <v>1.6294801995139723</v>
      </c>
      <c r="W33" s="28">
        <f>IF(('Activity data'!W20*EF!$H33)*kgtoGg=0,"NO",('Activity data'!W20*EF!$H33)*kgtoGg)</f>
        <v>1.8029786139907802</v>
      </c>
      <c r="X33" s="28">
        <f>IF(('Activity data'!X20*EF!$H33)*kgtoGg=0,"NO",('Activity data'!X20*EF!$H33)*kgtoGg)</f>
        <v>1.9284541402191151</v>
      </c>
      <c r="Y33" s="28">
        <f>IF(('Activity data'!Y20*EF!$H33)*kgtoGg=0,"NO",('Activity data'!Y20*EF!$H33)*kgtoGg)</f>
        <v>2.0176916356111869</v>
      </c>
      <c r="Z33" s="28">
        <f>IF(('Activity data'!Z20*EF!$H33)*kgtoGg=0,"NO",('Activity data'!Z20*EF!$H33)*kgtoGg)</f>
        <v>2.1482937300650229</v>
      </c>
      <c r="AA33" s="28">
        <f>IF(('Activity data'!AA20*EF!$H33)*kgtoGg=0,"NO",('Activity data'!AA20*EF!$H33)*kgtoGg)</f>
        <v>2.0271503211350299</v>
      </c>
      <c r="AB33" s="28">
        <f>IF(('Activity data'!AB20*EF!$H33)*kgtoGg=0,"NO",('Activity data'!AB20*EF!$H33)*kgtoGg)</f>
        <v>2.078134768114972</v>
      </c>
      <c r="AC33" s="28">
        <f>IF(('Activity data'!AC20*EF!$H33)*kgtoGg=0,"NO",('Activity data'!AC20*EF!$H33)*kgtoGg)</f>
        <v>2.1493361757027292</v>
      </c>
      <c r="AD33" s="28">
        <f>IF(('Activity data'!AD20*EF!$H33)*kgtoGg=0,"NO",('Activity data'!AD20*EF!$H33)*kgtoGg)</f>
        <v>2.2262813042152052</v>
      </c>
      <c r="AE33" s="28">
        <f>IF(('Activity data'!AE20*EF!$H33)*kgtoGg=0,"NO",('Activity data'!AE20*EF!$H33)*kgtoGg)</f>
        <v>2.2727584102160501</v>
      </c>
      <c r="AF33" s="28">
        <f>IF(('Activity data'!AF20*EF!$H33)*kgtoGg=0,"NO",('Activity data'!AF20*EF!$H33)*kgtoGg)</f>
        <v>2.2870970706763321</v>
      </c>
      <c r="AG33" s="28">
        <f>IF(('Activity data'!AG20*EF!$H33)*kgtoGg=0,"NO",('Activity data'!AG20*EF!$H33)*kgtoGg)</f>
        <v>2.2756022847221589</v>
      </c>
      <c r="AH33" s="28">
        <f>IF(('Activity data'!AH20*EF!$H33)*kgtoGg=0,"NO",('Activity data'!AH20*EF!$H33)*kgtoGg)</f>
        <v>2.2475897648287884</v>
      </c>
      <c r="AI33" s="28">
        <f>IF(('Activity data'!AI20*EF!$H33)*kgtoGg=0,"NO",('Activity data'!AI20*EF!$H33)*kgtoGg)</f>
        <v>2.2313496393203143</v>
      </c>
      <c r="AJ33" s="28">
        <f>IF(('Activity data'!AJ20*EF!$H33)*kgtoGg=0,"NO",('Activity data'!AJ20*EF!$H33)*kgtoGg)</f>
        <v>2.2226987401391338</v>
      </c>
      <c r="AK33" s="28">
        <f>IF(('Activity data'!AK20*EF!$H33)*kgtoGg=0,"NO",('Activity data'!AK20*EF!$H33)*kgtoGg)</f>
        <v>2.2126564849238051</v>
      </c>
      <c r="AL33" s="28">
        <f>IF(('Activity data'!AL20*EF!$H33)*kgtoGg=0,"NO",('Activity data'!AL20*EF!$H33)*kgtoGg)</f>
        <v>1.8297402706162957</v>
      </c>
      <c r="AM33" s="28">
        <f>IF(('Activity data'!AM20*EF!$H33)*kgtoGg=0,"NO",('Activity data'!AM20*EF!$H33)*kgtoGg)</f>
        <v>1.8685214827520349</v>
      </c>
      <c r="AN33" s="28">
        <f>IF(('Activity data'!AN20*EF!$H33)*kgtoGg=0,"NO",('Activity data'!AN20*EF!$H33)*kgtoGg)</f>
        <v>1.9094466533076382</v>
      </c>
      <c r="AO33" s="28">
        <f>IF(('Activity data'!AO20*EF!$H33)*kgtoGg=0,"NO",('Activity data'!AO20*EF!$H33)*kgtoGg)</f>
        <v>1.9601411146386269</v>
      </c>
      <c r="AP33" s="28">
        <f>IF(('Activity data'!AP20*EF!$H33)*kgtoGg=0,"NO",('Activity data'!AP20*EF!$H33)*kgtoGg)</f>
        <v>2.0165535507946077</v>
      </c>
      <c r="AQ33" s="28">
        <f>IF(('Activity data'!AQ20*EF!$H33)*kgtoGg=0,"NO",('Activity data'!AQ20*EF!$H33)*kgtoGg)</f>
        <v>2.0718617120025322</v>
      </c>
      <c r="AR33" s="28">
        <f>IF(('Activity data'!AR20*EF!$H33)*kgtoGg=0,"NO",('Activity data'!AR20*EF!$H33)*kgtoGg)</f>
        <v>2.1404570992235858</v>
      </c>
      <c r="AS33" s="28">
        <f>IF(('Activity data'!AS20*EF!$H33)*kgtoGg=0,"NO",('Activity data'!AS20*EF!$H33)*kgtoGg)</f>
        <v>2.2126264319260351</v>
      </c>
      <c r="AT33" s="28">
        <f>IF(('Activity data'!AT20*EF!$H33)*kgtoGg=0,"NO",('Activity data'!AT20*EF!$H33)*kgtoGg)</f>
        <v>2.290280413132634</v>
      </c>
      <c r="AU33" s="28">
        <f>IF(('Activity data'!AU20*EF!$H33)*kgtoGg=0,"NO",('Activity data'!AU20*EF!$H33)*kgtoGg)</f>
        <v>2.371129642188035</v>
      </c>
      <c r="AV33" s="28">
        <f>IF(('Activity data'!AV20*EF!$H33)*kgtoGg=0,"NO",('Activity data'!AV20*EF!$H33)*kgtoGg)</f>
        <v>2.4344584633067217</v>
      </c>
      <c r="AW33" s="28">
        <f>IF(('Activity data'!AW20*EF!$H33)*kgtoGg=0,"NO",('Activity data'!AW20*EF!$H33)*kgtoGg)</f>
        <v>2.5219351768196265</v>
      </c>
      <c r="AX33" s="28">
        <f>IF(('Activity data'!AX20*EF!$H33)*kgtoGg=0,"NO",('Activity data'!AX20*EF!$H33)*kgtoGg)</f>
        <v>2.6115414624558437</v>
      </c>
      <c r="AY33" s="28">
        <f>IF(('Activity data'!AY20*EF!$H33)*kgtoGg=0,"NO",('Activity data'!AY20*EF!$H33)*kgtoGg)</f>
        <v>2.7040326869888194</v>
      </c>
      <c r="AZ33" s="28">
        <f>IF(('Activity data'!AZ20*EF!$H33)*kgtoGg=0,"NO",('Activity data'!AZ20*EF!$H33)*kgtoGg)</f>
        <v>2.791140870868758</v>
      </c>
      <c r="BA33" s="28">
        <f>IF(('Activity data'!BA20*EF!$H33)*kgtoGg=0,"NO",('Activity data'!BA20*EF!$H33)*kgtoGg)</f>
        <v>2.8844346389502684</v>
      </c>
      <c r="BB33" s="28">
        <f>IF(('Activity data'!BB20*EF!$H33)*kgtoGg=0,"NO",('Activity data'!BB20*EF!$H33)*kgtoGg)</f>
        <v>2.9840189656895344</v>
      </c>
      <c r="BC33" s="28">
        <f>IF(('Activity data'!BC20*EF!$H33)*kgtoGg=0,"NO",('Activity data'!BC20*EF!$H33)*kgtoGg)</f>
        <v>3.0876426033065094</v>
      </c>
      <c r="BD33" s="28">
        <f>IF(('Activity data'!BD20*EF!$H33)*kgtoGg=0,"NO",('Activity data'!BD20*EF!$H33)*kgtoGg)</f>
        <v>3.1893907342210963</v>
      </c>
      <c r="BE33" s="28">
        <f>IF(('Activity data'!BE20*EF!$H33)*kgtoGg=0,"NO",('Activity data'!BE20*EF!$H33)*kgtoGg)</f>
        <v>3.2951707839906805</v>
      </c>
      <c r="BF33" s="28">
        <f>IF(('Activity data'!BF20*EF!$H33)*kgtoGg=0,"NO",('Activity data'!BF20*EF!$H33)*kgtoGg)</f>
        <v>3.4085214077778421</v>
      </c>
      <c r="BG33" s="28">
        <f>IF(('Activity data'!BG20*EF!$H33)*kgtoGg=0,"NO",('Activity data'!BG20*EF!$H33)*kgtoGg)</f>
        <v>3.5277407539842494</v>
      </c>
      <c r="BH33" s="28">
        <f>IF(('Activity data'!BH20*EF!$H33)*kgtoGg=0,"NO",('Activity data'!BH20*EF!$H33)*kgtoGg)</f>
        <v>3.6522750582591241</v>
      </c>
      <c r="BI33" s="28">
        <f>IF(('Activity data'!BI20*EF!$H33)*kgtoGg=0,"NO",('Activity data'!BI20*EF!$H33)*kgtoGg)</f>
        <v>3.7823347014229665</v>
      </c>
      <c r="BJ33" s="28">
        <f>IF(('Activity data'!BJ20*EF!$H33)*kgtoGg=0,"NO",('Activity data'!BJ20*EF!$H33)*kgtoGg)</f>
        <v>3.9179303047459761</v>
      </c>
      <c r="BK33" s="28">
        <f>IF(('Activity data'!BK20*EF!$H33)*kgtoGg=0,"NO",('Activity data'!BK20*EF!$H33)*kgtoGg)</f>
        <v>4.0604426587395634</v>
      </c>
      <c r="BL33" s="28">
        <f>IF(('Activity data'!BL20*EF!$H33)*kgtoGg=0,"NO",('Activity data'!BL20*EF!$H33)*kgtoGg)</f>
        <v>4.1926200499975463</v>
      </c>
      <c r="BM33" s="28">
        <f>IF(('Activity data'!BM20*EF!$H33)*kgtoGg=0,"NO",('Activity data'!BM20*EF!$H33)*kgtoGg)</f>
        <v>4.3310248341055724</v>
      </c>
      <c r="BN33" s="28">
        <f>IF(('Activity data'!BN20*EF!$H33)*kgtoGg=0,"NO",('Activity data'!BN20*EF!$H33)*kgtoGg)</f>
        <v>4.4769246834872485</v>
      </c>
      <c r="BO33" s="28">
        <f>IF(('Activity data'!BO20*EF!$H33)*kgtoGg=0,"NO",('Activity data'!BO20*EF!$H33)*kgtoGg)</f>
        <v>4.6309664097459926</v>
      </c>
      <c r="BP33" s="28">
        <f>IF(('Activity data'!BP20*EF!$H33)*kgtoGg=0,"NO",('Activity data'!BP20*EF!$H33)*kgtoGg)</f>
        <v>4.7971412429549947</v>
      </c>
    </row>
    <row r="34" spans="1:68" x14ac:dyDescent="0.25">
      <c r="A34" t="str">
        <f t="shared" si="1"/>
        <v>3A Livestock</v>
      </c>
      <c r="B34" t="str">
        <f t="shared" si="8"/>
        <v>3A2 Manure management (CH4)</v>
      </c>
      <c r="C34" t="str">
        <f>EF!C34</f>
        <v>3A2i Poultry</v>
      </c>
      <c r="D34" t="str">
        <f>EF!D34</f>
        <v>Subsistence layers</v>
      </c>
      <c r="E34" t="str">
        <f t="shared" si="9"/>
        <v>Manure management Emissions</v>
      </c>
      <c r="F34" t="str">
        <f t="shared" si="6"/>
        <v>CH4</v>
      </c>
      <c r="G34" t="str">
        <f t="shared" si="7"/>
        <v>Gg CH4</v>
      </c>
      <c r="H34" s="28">
        <f>IF(('Activity data'!H21*EF!$H34)*kgtoGg=0,"NO",('Activity data'!H21*EF!$H34)*kgtoGg)</f>
        <v>1.4453307157161402E-2</v>
      </c>
      <c r="I34" s="28">
        <f>IF(('Activity data'!I21*EF!$H34)*kgtoGg=0,"NO",('Activity data'!I21*EF!$H34)*kgtoGg)</f>
        <v>1.4041171371767878E-2</v>
      </c>
      <c r="J34" s="28">
        <f>IF(('Activity data'!J21*EF!$H34)*kgtoGg=0,"NO",('Activity data'!J21*EF!$H34)*kgtoGg)</f>
        <v>1.3317074332271103E-2</v>
      </c>
      <c r="K34" s="28">
        <f>IF(('Activity data'!K21*EF!$H34)*kgtoGg=0,"NO",('Activity data'!K21*EF!$H34)*kgtoGg)</f>
        <v>1.3107686778593537E-2</v>
      </c>
      <c r="L34" s="28">
        <f>IF(('Activity data'!L21*EF!$H34)*kgtoGg=0,"NO",('Activity data'!L21*EF!$H34)*kgtoGg)</f>
        <v>1.2537549597918361E-2</v>
      </c>
      <c r="M34" s="28">
        <f>IF(('Activity data'!M21*EF!$H34)*kgtoGg=0,"NO",('Activity data'!M21*EF!$H34)*kgtoGg)</f>
        <v>1.368002708163215E-2</v>
      </c>
      <c r="N34" s="28">
        <f>IF(('Activity data'!N21*EF!$H34)*kgtoGg=0,"NO",('Activity data'!N21*EF!$H34)*kgtoGg)</f>
        <v>1.445028361248642E-2</v>
      </c>
      <c r="O34" s="28">
        <f>IF(('Activity data'!O21*EF!$H34)*kgtoGg=0,"NO",('Activity data'!O21*EF!$H34)*kgtoGg)</f>
        <v>1.4497801479217198E-2</v>
      </c>
      <c r="P34" s="28">
        <f>IF(('Activity data'!P21*EF!$H34)*kgtoGg=0,"NO",('Activity data'!P21*EF!$H34)*kgtoGg)</f>
        <v>1.6323301120314916E-2</v>
      </c>
      <c r="Q34" s="28">
        <f>IF(('Activity data'!Q21*EF!$H34)*kgtoGg=0,"NO",('Activity data'!Q21*EF!$H34)*kgtoGg)</f>
        <v>1.750021682969179E-2</v>
      </c>
      <c r="R34" s="28">
        <f>IF(('Activity data'!R21*EF!$H34)*kgtoGg=0,"NO",('Activity data'!R21*EF!$H34)*kgtoGg)</f>
        <v>1.7129415315170586E-2</v>
      </c>
      <c r="S34" s="28">
        <f>IF(('Activity data'!S21*EF!$H34)*kgtoGg=0,"NO",('Activity data'!S21*EF!$H34)*kgtoGg)</f>
        <v>1.7586367011563315E-2</v>
      </c>
      <c r="T34" s="28">
        <f>IF(('Activity data'!T21*EF!$H34)*kgtoGg=0,"NO",('Activity data'!T21*EF!$H34)*kgtoGg)</f>
        <v>1.7448339269536806E-2</v>
      </c>
      <c r="U34" s="28">
        <f>IF(('Activity data'!U21*EF!$H34)*kgtoGg=0,"NO",('Activity data'!U21*EF!$H34)*kgtoGg)</f>
        <v>1.6751757915898054E-2</v>
      </c>
      <c r="V34" s="28">
        <f>IF(('Activity data'!V21*EF!$H34)*kgtoGg=0,"NO",('Activity data'!V21*EF!$H34)*kgtoGg)</f>
        <v>1.7359194023971385E-2</v>
      </c>
      <c r="W34" s="28">
        <f>IF(('Activity data'!W21*EF!$H34)*kgtoGg=0,"NO",('Activity data'!W21*EF!$H34)*kgtoGg)</f>
        <v>1.8405962529850804E-2</v>
      </c>
      <c r="X34" s="28">
        <f>IF(('Activity data'!X21*EF!$H34)*kgtoGg=0,"NO",('Activity data'!X21*EF!$H34)*kgtoGg)</f>
        <v>2.0313142812308307E-2</v>
      </c>
      <c r="Y34" s="28">
        <f>IF(('Activity data'!Y21*EF!$H34)*kgtoGg=0,"NO",('Activity data'!Y21*EF!$H34)*kgtoGg)</f>
        <v>2.2479992595697124E-2</v>
      </c>
      <c r="Z34" s="28">
        <f>IF(('Activity data'!Z21*EF!$H34)*kgtoGg=0,"NO",('Activity data'!Z21*EF!$H34)*kgtoGg)</f>
        <v>2.277605134510725E-2</v>
      </c>
      <c r="AA34" s="28">
        <f>IF(('Activity data'!AA21*EF!$H34)*kgtoGg=0,"NO",('Activity data'!AA21*EF!$H34)*kgtoGg)</f>
        <v>2.1936379637045315E-2</v>
      </c>
      <c r="AB34" s="28">
        <f>IF(('Activity data'!AB21*EF!$H34)*kgtoGg=0,"NO",('Activity data'!AB21*EF!$H34)*kgtoGg)</f>
        <v>2.2790877419827285E-2</v>
      </c>
      <c r="AC34" s="28">
        <f>IF(('Activity data'!AC21*EF!$H34)*kgtoGg=0,"NO",('Activity data'!AC21*EF!$H34)*kgtoGg)</f>
        <v>2.3842843212116133E-2</v>
      </c>
      <c r="AD34" s="28">
        <f>IF(('Activity data'!AD21*EF!$H34)*kgtoGg=0,"NO",('Activity data'!AD21*EF!$H34)*kgtoGg)</f>
        <v>2.3243561582741077E-2</v>
      </c>
      <c r="AE34" s="28">
        <f>IF(('Activity data'!AE21*EF!$H34)*kgtoGg=0,"NO",('Activity data'!AE21*EF!$H34)*kgtoGg)</f>
        <v>2.3788350752766474E-2</v>
      </c>
      <c r="AF34" s="28">
        <f>IF(('Activity data'!AF21*EF!$H34)*kgtoGg=0,"NO",('Activity data'!AF21*EF!$H34)*kgtoGg)</f>
        <v>2.420925459061243E-2</v>
      </c>
      <c r="AG34" s="28">
        <f>IF(('Activity data'!AG21*EF!$H34)*kgtoGg=0,"NO",('Activity data'!AG21*EF!$H34)*kgtoGg)</f>
        <v>2.452838066886277E-2</v>
      </c>
      <c r="AH34" s="28">
        <f>IF(('Activity data'!AH21*EF!$H34)*kgtoGg=0,"NO",('Activity data'!AH21*EF!$H34)*kgtoGg)</f>
        <v>2.4782118766778216E-2</v>
      </c>
      <c r="AI34" s="28">
        <f>IF(('Activity data'!AI21*EF!$H34)*kgtoGg=0,"NO",('Activity data'!AI21*EF!$H34)*kgtoGg)</f>
        <v>2.5090165430453795E-2</v>
      </c>
      <c r="AJ34" s="28">
        <f>IF(('Activity data'!AJ21*EF!$H34)*kgtoGg=0,"NO",('Activity data'!AJ21*EF!$H34)*kgtoGg)</f>
        <v>2.5430247073559602E-2</v>
      </c>
      <c r="AK34" s="28">
        <f>IF(('Activity data'!AK21*EF!$H34)*kgtoGg=0,"NO",('Activity data'!AK21*EF!$H34)*kgtoGg)</f>
        <v>2.5765188534461719E-2</v>
      </c>
      <c r="AL34" s="28">
        <f>IF(('Activity data'!AL21*EF!$H34)*kgtoGg=0,"NO",('Activity data'!AL21*EF!$H34)*kgtoGg)</f>
        <v>2.4452576295169347E-2</v>
      </c>
      <c r="AM34" s="28">
        <f>IF(('Activity data'!AM21*EF!$H34)*kgtoGg=0,"NO",('Activity data'!AM21*EF!$H34)*kgtoGg)</f>
        <v>2.4941127412664198E-2</v>
      </c>
      <c r="AN34" s="28">
        <f>IF(('Activity data'!AN21*EF!$H34)*kgtoGg=0,"NO",('Activity data'!AN21*EF!$H34)*kgtoGg)</f>
        <v>2.5427134797706696E-2</v>
      </c>
      <c r="AO34" s="28">
        <f>IF(('Activity data'!AO21*EF!$H34)*kgtoGg=0,"NO",('Activity data'!AO21*EF!$H34)*kgtoGg)</f>
        <v>2.5944946160141719E-2</v>
      </c>
      <c r="AP34" s="28">
        <f>IF(('Activity data'!AP21*EF!$H34)*kgtoGg=0,"NO",('Activity data'!AP21*EF!$H34)*kgtoGg)</f>
        <v>2.6487644395905136E-2</v>
      </c>
      <c r="AQ34" s="28">
        <f>IF(('Activity data'!AQ21*EF!$H34)*kgtoGg=0,"NO",('Activity data'!AQ21*EF!$H34)*kgtoGg)</f>
        <v>2.702414667763995E-2</v>
      </c>
      <c r="AR34" s="28">
        <f>IF(('Activity data'!AR21*EF!$H34)*kgtoGg=0,"NO",('Activity data'!AR21*EF!$H34)*kgtoGg)</f>
        <v>2.7621235453549407E-2</v>
      </c>
      <c r="AS34" s="28">
        <f>IF(('Activity data'!AS21*EF!$H34)*kgtoGg=0,"NO",('Activity data'!AS21*EF!$H34)*kgtoGg)</f>
        <v>2.8234542711234541E-2</v>
      </c>
      <c r="AT34" s="28">
        <f>IF(('Activity data'!AT21*EF!$H34)*kgtoGg=0,"NO",('Activity data'!AT21*EF!$H34)*kgtoGg)</f>
        <v>2.8873292914861837E-2</v>
      </c>
      <c r="AU34" s="28">
        <f>IF(('Activity data'!AU21*EF!$H34)*kgtoGg=0,"NO",('Activity data'!AU21*EF!$H34)*kgtoGg)</f>
        <v>2.9528311221233432E-2</v>
      </c>
      <c r="AV34" s="28">
        <f>IF(('Activity data'!AV21*EF!$H34)*kgtoGg=0,"NO",('Activity data'!AV21*EF!$H34)*kgtoGg)</f>
        <v>3.0100096026053721E-2</v>
      </c>
      <c r="AW34" s="28">
        <f>IF(('Activity data'!AW21*EF!$H34)*kgtoGg=0,"NO",('Activity data'!AW21*EF!$H34)*kgtoGg)</f>
        <v>3.0788517825571026E-2</v>
      </c>
      <c r="AX34" s="28">
        <f>IF(('Activity data'!AX21*EF!$H34)*kgtoGg=0,"NO",('Activity data'!AX21*EF!$H34)*kgtoGg)</f>
        <v>3.1488472191732231E-2</v>
      </c>
      <c r="AY34" s="28">
        <f>IF(('Activity data'!AY21*EF!$H34)*kgtoGg=0,"NO",('Activity data'!AY21*EF!$H34)*kgtoGg)</f>
        <v>3.2203697745465824E-2</v>
      </c>
      <c r="AZ34" s="28">
        <f>IF(('Activity data'!AZ21*EF!$H34)*kgtoGg=0,"NO",('Activity data'!AZ21*EF!$H34)*kgtoGg)</f>
        <v>3.2893786672281981E-2</v>
      </c>
      <c r="BA34" s="28">
        <f>IF(('Activity data'!BA21*EF!$H34)*kgtoGg=0,"NO",('Activity data'!BA21*EF!$H34)*kgtoGg)</f>
        <v>3.3615654583766155E-2</v>
      </c>
      <c r="BB34" s="28">
        <f>IF(('Activity data'!BB21*EF!$H34)*kgtoGg=0,"NO",('Activity data'!BB21*EF!$H34)*kgtoGg)</f>
        <v>3.4370271301981468E-2</v>
      </c>
      <c r="BC34" s="28">
        <f>IF(('Activity data'!BC21*EF!$H34)*kgtoGg=0,"NO",('Activity data'!BC21*EF!$H34)*kgtoGg)</f>
        <v>3.5146717722406143E-2</v>
      </c>
      <c r="BD34" s="28">
        <f>IF(('Activity data'!BD21*EF!$H34)*kgtoGg=0,"NO",('Activity data'!BD21*EF!$H34)*kgtoGg)</f>
        <v>3.5915168845620099E-2</v>
      </c>
      <c r="BE34" s="28">
        <f>IF(('Activity data'!BE21*EF!$H34)*kgtoGg=0,"NO",('Activity data'!BE21*EF!$H34)*kgtoGg)</f>
        <v>3.6705902289042164E-2</v>
      </c>
      <c r="BF34" s="28">
        <f>IF(('Activity data'!BF21*EF!$H34)*kgtoGg=0,"NO",('Activity data'!BF21*EF!$H34)*kgtoGg)</f>
        <v>3.7537338082383069E-2</v>
      </c>
      <c r="BG34" s="28">
        <f>IF(('Activity data'!BG21*EF!$H34)*kgtoGg=0,"NO",('Activity data'!BG21*EF!$H34)*kgtoGg)</f>
        <v>3.8401221767282154E-2</v>
      </c>
      <c r="BH34" s="28">
        <f>IF(('Activity data'!BH21*EF!$H34)*kgtoGg=0,"NO",('Activity data'!BH21*EF!$H34)*kgtoGg)</f>
        <v>3.9295054276594375E-2</v>
      </c>
      <c r="BI34" s="28">
        <f>IF(('Activity data'!BI21*EF!$H34)*kgtoGg=0,"NO",('Activity data'!BI21*EF!$H34)*kgtoGg)</f>
        <v>4.0220262696004032E-2</v>
      </c>
      <c r="BJ34" s="28">
        <f>IF(('Activity data'!BJ21*EF!$H34)*kgtoGg=0,"NO",('Activity data'!BJ21*EF!$H34)*kgtoGg)</f>
        <v>4.117726138871608E-2</v>
      </c>
      <c r="BK34" s="28">
        <f>IF(('Activity data'!BK21*EF!$H34)*kgtoGg=0,"NO",('Activity data'!BK21*EF!$H34)*kgtoGg)</f>
        <v>4.2173696826870777E-2</v>
      </c>
      <c r="BL34" s="28">
        <f>IF(('Activity data'!BL21*EF!$H34)*kgtoGg=0,"NO",('Activity data'!BL21*EF!$H34)*kgtoGg)</f>
        <v>4.3118193708678421E-2</v>
      </c>
      <c r="BM34" s="28">
        <f>IF(('Activity data'!BM21*EF!$H34)*kgtoGg=0,"NO",('Activity data'!BM21*EF!$H34)*kgtoGg)</f>
        <v>4.409833689077694E-2</v>
      </c>
      <c r="BN34" s="28">
        <f>IF(('Activity data'!BN21*EF!$H34)*kgtoGg=0,"NO",('Activity data'!BN21*EF!$H34)*kgtoGg)</f>
        <v>4.5121345600720765E-2</v>
      </c>
      <c r="BO34" s="28">
        <f>IF(('Activity data'!BO21*EF!$H34)*kgtoGg=0,"NO",('Activity data'!BO21*EF!$H34)*kgtoGg)</f>
        <v>4.6191160447270313E-2</v>
      </c>
      <c r="BP34" s="28">
        <f>IF(('Activity data'!BP21*EF!$H34)*kgtoGg=0,"NO",('Activity data'!BP21*EF!$H34)*kgtoGg)</f>
        <v>4.7330036133854864E-2</v>
      </c>
    </row>
    <row r="35" spans="1:68" x14ac:dyDescent="0.25">
      <c r="A35" t="str">
        <f t="shared" si="1"/>
        <v>3A Livestock</v>
      </c>
      <c r="B35" t="str">
        <f t="shared" si="8"/>
        <v>3A2 Manure management (CH4)</v>
      </c>
      <c r="C35" t="str">
        <f>EF!C35</f>
        <v>3A2i Poultry</v>
      </c>
      <c r="D35" t="str">
        <f>EF!D35</f>
        <v>Subsistence broilers</v>
      </c>
      <c r="E35" t="str">
        <f t="shared" si="9"/>
        <v>Manure management Emissions</v>
      </c>
      <c r="F35" t="str">
        <f t="shared" si="6"/>
        <v>CH4</v>
      </c>
      <c r="G35" t="str">
        <f t="shared" si="7"/>
        <v>Gg CH4</v>
      </c>
      <c r="H35" s="28">
        <f>IF(('Activity data'!H22*EF!$H35)*kgtoGg=0,"NO",('Activity data'!H22*EF!$H35)*kgtoGg)</f>
        <v>3.97805297801406E-2</v>
      </c>
      <c r="I35" s="28">
        <f>IF(('Activity data'!I22*EF!$H35)*kgtoGg=0,"NO",('Activity data'!I22*EF!$H35)*kgtoGg)</f>
        <v>3.7393698041596139E-2</v>
      </c>
      <c r="J35" s="28">
        <f>IF(('Activity data'!J22*EF!$H35)*kgtoGg=0,"NO",('Activity data'!J22*EF!$H35)*kgtoGg)</f>
        <v>3.5339719604835972E-2</v>
      </c>
      <c r="K35" s="28">
        <f>IF(('Activity data'!K22*EF!$H35)*kgtoGg=0,"NO",('Activity data'!K22*EF!$H35)*kgtoGg)</f>
        <v>3.974462197314204E-2</v>
      </c>
      <c r="L35" s="28">
        <f>IF(('Activity data'!L22*EF!$H35)*kgtoGg=0,"NO",('Activity data'!L22*EF!$H35)*kgtoGg)</f>
        <v>3.9371867536538138E-2</v>
      </c>
      <c r="M35" s="28">
        <f>IF(('Activity data'!M22*EF!$H35)*kgtoGg=0,"NO",('Activity data'!M22*EF!$H35)*kgtoGg)</f>
        <v>4.5066858026880756E-2</v>
      </c>
      <c r="N35" s="28">
        <f>IF(('Activity data'!N22*EF!$H35)*kgtoGg=0,"NO",('Activity data'!N22*EF!$H35)*kgtoGg)</f>
        <v>5.2401139589808118E-2</v>
      </c>
      <c r="O35" s="28">
        <f>IF(('Activity data'!O22*EF!$H35)*kgtoGg=0,"NO",('Activity data'!O22*EF!$H35)*kgtoGg)</f>
        <v>5.3338370259568474E-2</v>
      </c>
      <c r="P35" s="28">
        <f>IF(('Activity data'!P22*EF!$H35)*kgtoGg=0,"NO",('Activity data'!P22*EF!$H35)*kgtoGg)</f>
        <v>5.8444607566508086E-2</v>
      </c>
      <c r="Q35" s="28">
        <f>IF(('Activity data'!Q22*EF!$H35)*kgtoGg=0,"NO",('Activity data'!Q22*EF!$H35)*kgtoGg)</f>
        <v>6.101551471210033E-2</v>
      </c>
      <c r="R35" s="28">
        <f>IF(('Activity data'!R22*EF!$H35)*kgtoGg=0,"NO",('Activity data'!R22*EF!$H35)*kgtoGg)</f>
        <v>6.5648197664078339E-2</v>
      </c>
      <c r="S35" s="28">
        <f>IF(('Activity data'!S22*EF!$H35)*kgtoGg=0,"NO",('Activity data'!S22*EF!$H35)*kgtoGg)</f>
        <v>6.3390232889346088E-2</v>
      </c>
      <c r="T35" s="28">
        <f>IF(('Activity data'!T22*EF!$H35)*kgtoGg=0,"NO",('Activity data'!T22*EF!$H35)*kgtoGg)</f>
        <v>7.0256939555641371E-2</v>
      </c>
      <c r="U35" s="28">
        <f>IF(('Activity data'!U22*EF!$H35)*kgtoGg=0,"NO",('Activity data'!U22*EF!$H35)*kgtoGg)</f>
        <v>6.6824955655154963E-2</v>
      </c>
      <c r="V35" s="28">
        <f>IF(('Activity data'!V22*EF!$H35)*kgtoGg=0,"NO",('Activity data'!V22*EF!$H35)*kgtoGg)</f>
        <v>6.8438168379586828E-2</v>
      </c>
      <c r="W35" s="28">
        <f>IF(('Activity data'!W22*EF!$H35)*kgtoGg=0,"NO",('Activity data'!W22*EF!$H35)*kgtoGg)</f>
        <v>7.572510178761277E-2</v>
      </c>
      <c r="X35" s="28">
        <f>IF(('Activity data'!X22*EF!$H35)*kgtoGg=0,"NO",('Activity data'!X22*EF!$H35)*kgtoGg)</f>
        <v>8.0995073889202837E-2</v>
      </c>
      <c r="Y35" s="28">
        <f>IF(('Activity data'!Y22*EF!$H35)*kgtoGg=0,"NO",('Activity data'!Y22*EF!$H35)*kgtoGg)</f>
        <v>8.474304869566987E-2</v>
      </c>
      <c r="Z35" s="28">
        <f>IF(('Activity data'!Z22*EF!$H35)*kgtoGg=0,"NO",('Activity data'!Z22*EF!$H35)*kgtoGg)</f>
        <v>9.0228336662730974E-2</v>
      </c>
      <c r="AA35" s="28">
        <f>IF(('Activity data'!AA22*EF!$H35)*kgtoGg=0,"NO",('Activity data'!AA22*EF!$H35)*kgtoGg)</f>
        <v>8.514031348767126E-2</v>
      </c>
      <c r="AB35" s="28">
        <f>IF(('Activity data'!AB22*EF!$H35)*kgtoGg=0,"NO",('Activity data'!AB22*EF!$H35)*kgtoGg)</f>
        <v>8.7281660260828828E-2</v>
      </c>
      <c r="AC35" s="28">
        <f>IF(('Activity data'!AC22*EF!$H35)*kgtoGg=0,"NO",('Activity data'!AC22*EF!$H35)*kgtoGg)</f>
        <v>9.027211937951464E-2</v>
      </c>
      <c r="AD35" s="28">
        <f>IF(('Activity data'!AD22*EF!$H35)*kgtoGg=0,"NO",('Activity data'!AD22*EF!$H35)*kgtoGg)</f>
        <v>9.2761721008966957E-2</v>
      </c>
      <c r="AE35" s="28">
        <f>IF(('Activity data'!AE22*EF!$H35)*kgtoGg=0,"NO",('Activity data'!AE22*EF!$H35)*kgtoGg)</f>
        <v>9.4698267092335503E-2</v>
      </c>
      <c r="AF35" s="28">
        <f>IF(('Activity data'!AF22*EF!$H35)*kgtoGg=0,"NO",('Activity data'!AF22*EF!$H35)*kgtoGg)</f>
        <v>9.5295711278180581E-2</v>
      </c>
      <c r="AG35" s="28">
        <f>IF(('Activity data'!AG22*EF!$H35)*kgtoGg=0,"NO",('Activity data'!AG22*EF!$H35)*kgtoGg)</f>
        <v>9.4816761863423374E-2</v>
      </c>
      <c r="AH35" s="28">
        <f>IF(('Activity data'!AH22*EF!$H35)*kgtoGg=0,"NO",('Activity data'!AH22*EF!$H35)*kgtoGg)</f>
        <v>9.3649573534532932E-2</v>
      </c>
      <c r="AI35" s="28">
        <f>IF(('Activity data'!AI22*EF!$H35)*kgtoGg=0,"NO",('Activity data'!AI22*EF!$H35)*kgtoGg)</f>
        <v>9.2972901638346525E-2</v>
      </c>
      <c r="AJ35" s="28">
        <f>IF(('Activity data'!AJ22*EF!$H35)*kgtoGg=0,"NO",('Activity data'!AJ22*EF!$H35)*kgtoGg)</f>
        <v>9.2612447505797321E-2</v>
      </c>
      <c r="AK35" s="28">
        <f>IF(('Activity data'!AK22*EF!$H35)*kgtoGg=0,"NO",('Activity data'!AK22*EF!$H35)*kgtoGg)</f>
        <v>9.2194020205158628E-2</v>
      </c>
      <c r="AL35" s="28">
        <f>IF(('Activity data'!AL22*EF!$H35)*kgtoGg=0,"NO",('Activity data'!AL22*EF!$H35)*kgtoGg)</f>
        <v>7.6239177942345734E-2</v>
      </c>
      <c r="AM35" s="28">
        <f>IF(('Activity data'!AM22*EF!$H35)*kgtoGg=0,"NO",('Activity data'!AM22*EF!$H35)*kgtoGg)</f>
        <v>7.7855061781334861E-2</v>
      </c>
      <c r="AN35" s="28">
        <f>IF(('Activity data'!AN22*EF!$H35)*kgtoGg=0,"NO",('Activity data'!AN22*EF!$H35)*kgtoGg)</f>
        <v>7.9560277221151679E-2</v>
      </c>
      <c r="AO35" s="28">
        <f>IF(('Activity data'!AO22*EF!$H35)*kgtoGg=0,"NO",('Activity data'!AO22*EF!$H35)*kgtoGg)</f>
        <v>8.1672546443276192E-2</v>
      </c>
      <c r="AP35" s="28">
        <f>IF(('Activity data'!AP22*EF!$H35)*kgtoGg=0,"NO",('Activity data'!AP22*EF!$H35)*kgtoGg)</f>
        <v>8.4023064616442086E-2</v>
      </c>
      <c r="AQ35" s="28">
        <f>IF(('Activity data'!AQ22*EF!$H35)*kgtoGg=0,"NO",('Activity data'!AQ22*EF!$H35)*kgtoGg)</f>
        <v>8.6327571333438921E-2</v>
      </c>
      <c r="AR35" s="28">
        <f>IF(('Activity data'!AR22*EF!$H35)*kgtoGg=0,"NO",('Activity data'!AR22*EF!$H35)*kgtoGg)</f>
        <v>8.9185712467649475E-2</v>
      </c>
      <c r="AS35" s="28">
        <f>IF(('Activity data'!AS22*EF!$H35)*kgtoGg=0,"NO",('Activity data'!AS22*EF!$H35)*kgtoGg)</f>
        <v>9.2192767996918196E-2</v>
      </c>
      <c r="AT35" s="28">
        <f>IF(('Activity data'!AT22*EF!$H35)*kgtoGg=0,"NO",('Activity data'!AT22*EF!$H35)*kgtoGg)</f>
        <v>9.5428350547193147E-2</v>
      </c>
      <c r="AU35" s="28">
        <f>IF(('Activity data'!AU22*EF!$H35)*kgtoGg=0,"NO",('Activity data'!AU22*EF!$H35)*kgtoGg)</f>
        <v>9.8797068424501533E-2</v>
      </c>
      <c r="AV35" s="28">
        <f>IF(('Activity data'!AV22*EF!$H35)*kgtoGg=0,"NO",('Activity data'!AV22*EF!$H35)*kgtoGg)</f>
        <v>0.10143576930444682</v>
      </c>
      <c r="AW35" s="28">
        <f>IF(('Activity data'!AW22*EF!$H35)*kgtoGg=0,"NO",('Activity data'!AW22*EF!$H35)*kgtoGg)</f>
        <v>0.10508063236748455</v>
      </c>
      <c r="AX35" s="28">
        <f>IF(('Activity data'!AX22*EF!$H35)*kgtoGg=0,"NO",('Activity data'!AX22*EF!$H35)*kgtoGg)</f>
        <v>0.10881422760232694</v>
      </c>
      <c r="AY35" s="28">
        <f>IF(('Activity data'!AY22*EF!$H35)*kgtoGg=0,"NO",('Activity data'!AY22*EF!$H35)*kgtoGg)</f>
        <v>0.11266802862453423</v>
      </c>
      <c r="AZ35" s="28">
        <f>IF(('Activity data'!AZ22*EF!$H35)*kgtoGg=0,"NO",('Activity data'!AZ22*EF!$H35)*kgtoGg)</f>
        <v>0.11629753628619836</v>
      </c>
      <c r="BA35" s="28">
        <f>IF(('Activity data'!BA22*EF!$H35)*kgtoGg=0,"NO",('Activity data'!BA22*EF!$H35)*kgtoGg)</f>
        <v>0.12018477662292798</v>
      </c>
      <c r="BB35" s="28">
        <f>IF(('Activity data'!BB22*EF!$H35)*kgtoGg=0,"NO",('Activity data'!BB22*EF!$H35)*kgtoGg)</f>
        <v>0.12433412357039737</v>
      </c>
      <c r="BC35" s="28">
        <f>IF(('Activity data'!BC22*EF!$H35)*kgtoGg=0,"NO",('Activity data'!BC22*EF!$H35)*kgtoGg)</f>
        <v>0.12865177513777135</v>
      </c>
      <c r="BD35" s="28">
        <f>IF(('Activity data'!BD22*EF!$H35)*kgtoGg=0,"NO",('Activity data'!BD22*EF!$H35)*kgtoGg)</f>
        <v>0.13289128059254582</v>
      </c>
      <c r="BE35" s="28">
        <f>IF(('Activity data'!BE22*EF!$H35)*kgtoGg=0,"NO",('Activity data'!BE22*EF!$H35)*kgtoGg)</f>
        <v>0.13729878266627848</v>
      </c>
      <c r="BF35" s="28">
        <f>IF(('Activity data'!BF22*EF!$H35)*kgtoGg=0,"NO",('Activity data'!BF22*EF!$H35)*kgtoGg)</f>
        <v>0.14202172532407689</v>
      </c>
      <c r="BG35" s="28">
        <f>IF(('Activity data'!BG22*EF!$H35)*kgtoGg=0,"NO",('Activity data'!BG22*EF!$H35)*kgtoGg)</f>
        <v>0.14698919808267719</v>
      </c>
      <c r="BH35" s="28">
        <f>IF(('Activity data'!BH22*EF!$H35)*kgtoGg=0,"NO",('Activity data'!BH22*EF!$H35)*kgtoGg)</f>
        <v>0.15217812742746364</v>
      </c>
      <c r="BI35" s="28">
        <f>IF(('Activity data'!BI22*EF!$H35)*kgtoGg=0,"NO",('Activity data'!BI22*EF!$H35)*kgtoGg)</f>
        <v>0.15759727922595707</v>
      </c>
      <c r="BJ35" s="28">
        <f>IF(('Activity data'!BJ22*EF!$H35)*kgtoGg=0,"NO",('Activity data'!BJ22*EF!$H35)*kgtoGg)</f>
        <v>0.16324709603108251</v>
      </c>
      <c r="BK35" s="28">
        <f>IF(('Activity data'!BK22*EF!$H35)*kgtoGg=0,"NO",('Activity data'!BK22*EF!$H35)*kgtoGg)</f>
        <v>0.1691851107808153</v>
      </c>
      <c r="BL35" s="28">
        <f>IF(('Activity data'!BL22*EF!$H35)*kgtoGg=0,"NO",('Activity data'!BL22*EF!$H35)*kgtoGg)</f>
        <v>0.17469250208323128</v>
      </c>
      <c r="BM35" s="28">
        <f>IF(('Activity data'!BM22*EF!$H35)*kgtoGg=0,"NO",('Activity data'!BM22*EF!$H35)*kgtoGg)</f>
        <v>0.18045936808773233</v>
      </c>
      <c r="BN35" s="28">
        <f>IF(('Activity data'!BN22*EF!$H35)*kgtoGg=0,"NO",('Activity data'!BN22*EF!$H35)*kgtoGg)</f>
        <v>0.18653852847863553</v>
      </c>
      <c r="BO35" s="28">
        <f>IF(('Activity data'!BO22*EF!$H35)*kgtoGg=0,"NO",('Activity data'!BO22*EF!$H35)*kgtoGg)</f>
        <v>0.19295693373941655</v>
      </c>
      <c r="BP35" s="28">
        <f>IF(('Activity data'!BP22*EF!$H35)*kgtoGg=0,"NO",('Activity data'!BP22*EF!$H35)*kgtoGg)</f>
        <v>0.19988088512312494</v>
      </c>
    </row>
    <row r="36" spans="1:68" x14ac:dyDescent="0.25">
      <c r="A36" t="str">
        <f t="shared" si="1"/>
        <v>3A Livestock</v>
      </c>
      <c r="B36" t="str">
        <f>'IPCC Categories'!B20</f>
        <v>3A2 Manure management (N2O)</v>
      </c>
      <c r="C36" t="str">
        <f>EF!C54</f>
        <v>3A1ai Dairy cattle</v>
      </c>
      <c r="D36" t="str">
        <f>EF!D54</f>
        <v>TMR</v>
      </c>
      <c r="E36" t="str">
        <f t="shared" si="9"/>
        <v>Manure management Emissions</v>
      </c>
      <c r="F36" t="s">
        <v>139</v>
      </c>
      <c r="G36" t="s">
        <v>287</v>
      </c>
      <c r="H36" s="28">
        <f>IF(('Activity data'!H5*EF!$H36*EF!$H54)*NtoN2O*kgtoGg=0,"NO",('Activity data'!H5*EF!$H36*EF!$H54)*NtoN2O*kgtoGg)</f>
        <v>4.916153684584277E-2</v>
      </c>
      <c r="I36" s="28">
        <f>IF(('Activity data'!I5*EF!$H36*EF!$H54)*NtoN2O*kgtoGg=0,"NO",('Activity data'!I5*EF!$H36*EF!$H54)*NtoN2O*kgtoGg)</f>
        <v>5.6597698456454765E-2</v>
      </c>
      <c r="J36" s="28">
        <f>IF(('Activity data'!J5*EF!$H36*EF!$H54)*NtoN2O*kgtoGg=0,"NO",('Activity data'!J5*EF!$H36*EF!$H54)*NtoN2O*kgtoGg)</f>
        <v>4.8964332321604243E-2</v>
      </c>
      <c r="K36" s="28">
        <f>IF(('Activity data'!K5*EF!$H36*EF!$H54)*NtoN2O*kgtoGg=0,"NO",('Activity data'!K5*EF!$H36*EF!$H54)*NtoN2O*kgtoGg)</f>
        <v>5.1931263309866894E-2</v>
      </c>
      <c r="L36" s="28">
        <f>IF(('Activity data'!L5*EF!$H36*EF!$H54)*NtoN2O*kgtoGg=0,"NO",('Activity data'!L5*EF!$H36*EF!$H54)*NtoN2O*kgtoGg)</f>
        <v>4.8175514224650169E-2</v>
      </c>
      <c r="M36" s="28">
        <f>IF(('Activity data'!M5*EF!$H36*EF!$H54)*NtoN2O*kgtoGg=0,"NO",('Activity data'!M5*EF!$H36*EF!$H54)*NtoN2O*kgtoGg)</f>
        <v>5.1536854261389861E-2</v>
      </c>
      <c r="N36" s="28">
        <f>IF(('Activity data'!N5*EF!$H36*EF!$H54)*NtoN2O*kgtoGg=0,"NO",('Activity data'!N5*EF!$H36*EF!$H54)*NtoN2O*kgtoGg)</f>
        <v>5.1734058785628381E-2</v>
      </c>
      <c r="O36" s="28">
        <f>IF(('Activity data'!O5*EF!$H36*EF!$H54)*NtoN2O*kgtoGg=0,"NO",('Activity data'!O5*EF!$H36*EF!$H54)*NtoN2O*kgtoGg)</f>
        <v>4.9875018382975388E-2</v>
      </c>
      <c r="P36" s="28">
        <f>IF(('Activity data'!P5*EF!$H36*EF!$H54)*NtoN2O*kgtoGg=0,"NO",('Activity data'!P5*EF!$H36*EF!$H54)*NtoN2O*kgtoGg)</f>
        <v>4.9283404810259827E-2</v>
      </c>
      <c r="Q36" s="28">
        <f>IF(('Activity data'!Q5*EF!$H36*EF!$H54)*NtoN2O*kgtoGg=0,"NO",('Activity data'!Q5*EF!$H36*EF!$H54)*NtoN2O*kgtoGg)</f>
        <v>4.841038702879942E-2</v>
      </c>
      <c r="R36" s="28">
        <f>IF(('Activity data'!R5*EF!$H36*EF!$H54)*NtoN2O*kgtoGg=0,"NO",('Activity data'!R5*EF!$H36*EF!$H54)*NtoN2O*kgtoGg)</f>
        <v>6.2334355908741548E-2</v>
      </c>
      <c r="S36" s="28">
        <f>IF(('Activity data'!S5*EF!$H36*EF!$H54)*NtoN2O*kgtoGg=0,"NO",('Activity data'!S5*EF!$H36*EF!$H54)*NtoN2O*kgtoGg)</f>
        <v>6.2137151384503035E-2</v>
      </c>
      <c r="T36" s="28">
        <f>IF(('Activity data'!T5*EF!$H36*EF!$H54)*NtoN2O*kgtoGg=0,"NO",('Activity data'!T5*EF!$H36*EF!$H54)*NtoN2O*kgtoGg)</f>
        <v>5.4184712760996942E-2</v>
      </c>
      <c r="U36" s="28">
        <f>IF(('Activity data'!U5*EF!$H36*EF!$H54)*NtoN2O*kgtoGg=0,"NO",('Activity data'!U5*EF!$H36*EF!$H54)*NtoN2O*kgtoGg)</f>
        <v>4.9283404810259827E-2</v>
      </c>
      <c r="V36" s="28">
        <f>IF(('Activity data'!V5*EF!$H36*EF!$H54)*NtoN2O*kgtoGg=0,"NO",('Activity data'!V5*EF!$H36*EF!$H54)*NtoN2O*kgtoGg)</f>
        <v>4.7583900651934616E-2</v>
      </c>
      <c r="W36" s="28">
        <f>IF(('Activity data'!W5*EF!$H36*EF!$H54)*NtoN2O*kgtoGg=0,"NO",('Activity data'!W5*EF!$H36*EF!$H54)*NtoN2O*kgtoGg)</f>
        <v>5.0945240688674294E-2</v>
      </c>
      <c r="X36" s="28">
        <f>IF(('Activity data'!X5*EF!$H36*EF!$H54)*NtoN2O*kgtoGg=0,"NO",('Activity data'!X5*EF!$H36*EF!$H54)*NtoN2O*kgtoGg)</f>
        <v>4.9837350103064657E-2</v>
      </c>
      <c r="Y36" s="28">
        <f>IF(('Activity data'!Y5*EF!$H36*EF!$H54)*NtoN2O*kgtoGg=0,"NO",('Activity data'!Y5*EF!$H36*EF!$H54)*NtoN2O*kgtoGg)</f>
        <v>4.9480609334498347E-2</v>
      </c>
      <c r="Z36" s="28">
        <f>IF(('Activity data'!Z5*EF!$H36*EF!$H54)*NtoN2O*kgtoGg=0,"NO",('Activity data'!Z5*EF!$H36*EF!$H54)*NtoN2O*kgtoGg)</f>
        <v>6.0597183470505606E-2</v>
      </c>
      <c r="AA36" s="28">
        <f>IF(('Activity data'!AA5*EF!$H36*EF!$H54)*NtoN2O*kgtoGg=0,"NO",('Activity data'!AA5*EF!$H36*EF!$H54)*NtoN2O*kgtoGg)</f>
        <v>6.2099483104592297E-2</v>
      </c>
      <c r="AB36" s="28">
        <f>IF(('Activity data'!AB5*EF!$H36*EF!$H54)*NtoN2O*kgtoGg=0,"NO",('Activity data'!AB5*EF!$H36*EF!$H54)*NtoN2O*kgtoGg)</f>
        <v>6.2099483104592297E-2</v>
      </c>
      <c r="AC36" s="28">
        <f>IF(('Activity data'!AC5*EF!$H36*EF!$H54)*NtoN2O*kgtoGg=0,"NO",('Activity data'!AC5*EF!$H36*EF!$H54)*NtoN2O*kgtoGg)</f>
        <v>5.9846033653462256E-2</v>
      </c>
      <c r="AD36" s="28">
        <f>IF(('Activity data'!AD5*EF!$H36*EF!$H54)*NtoN2O*kgtoGg=0,"NO",('Activity data'!AD5*EF!$H36*EF!$H54)*NtoN2O*kgtoGg)</f>
        <v>5.9537199920616499E-2</v>
      </c>
      <c r="AE36" s="28">
        <f>IF(('Activity data'!AE5*EF!$H36*EF!$H54)*NtoN2O*kgtoGg=0,"NO",('Activity data'!AE5*EF!$H36*EF!$H54)*NtoN2O*kgtoGg)</f>
        <v>5.9968822754556492E-2</v>
      </c>
      <c r="AF36" s="28">
        <f>IF(('Activity data'!AF5*EF!$H36*EF!$H54)*NtoN2O*kgtoGg=0,"NO",('Activity data'!AF5*EF!$H36*EF!$H54)*NtoN2O*kgtoGg)</f>
        <v>6.0245099416214871E-2</v>
      </c>
      <c r="AG36" s="28">
        <f>IF(('Activity data'!AG5*EF!$H36*EF!$H54)*NtoN2O*kgtoGg=0,"NO",('Activity data'!AG5*EF!$H36*EF!$H54)*NtoN2O*kgtoGg)</f>
        <v>6.0399216525026361E-2</v>
      </c>
      <c r="AH36" s="28">
        <f>IF(('Activity data'!AH5*EF!$H36*EF!$H54)*NtoN2O*kgtoGg=0,"NO",('Activity data'!AH5*EF!$H36*EF!$H54)*NtoN2O*kgtoGg)</f>
        <v>6.0483464084477731E-2</v>
      </c>
      <c r="AI36" s="28">
        <f>IF(('Activity data'!AI5*EF!$H36*EF!H54)*NtoN2O*kgtoGg=0,"NO",('Activity data'!AI5*EF!$H36*EF!H54)*NtoN2O*kgtoGg)</f>
        <v>6.0664878651083269E-2</v>
      </c>
      <c r="AJ36" s="28">
        <f>IF(('Activity data'!AJ5*EF!$H36*EF!I54)*NtoN2O*kgtoGg=0,"NO",('Activity data'!AJ5*EF!$H36*EF!I54)*NtoN2O*kgtoGg)</f>
        <v>6.0905434375017727E-2</v>
      </c>
      <c r="AK36" s="28">
        <f>IF(('Activity data'!AK5*EF!$H36*EF!J54)*NtoN2O*kgtoGg=0,"NO",('Activity data'!AK5*EF!$H36*EF!J54)*NtoN2O*kgtoGg)</f>
        <v>6.1152247630085095E-2</v>
      </c>
      <c r="AL36" s="28">
        <f>IF(('Activity data'!AL5*EF!$H36*EF!K54)*NtoN2O*kgtoGg=0,"NO",('Activity data'!AL5*EF!$H36*EF!K54)*NtoN2O*kgtoGg)</f>
        <v>5.9158226631491465E-2</v>
      </c>
      <c r="AM36" s="28">
        <f>IF(('Activity data'!AM5*EF!$H36*EF!L54)*NtoN2O*kgtoGg=0,"NO",('Activity data'!AM5*EF!$H36*EF!L54)*NtoN2O*kgtoGg)</f>
        <v>5.9619277508887854E-2</v>
      </c>
      <c r="AN36" s="28">
        <f>IF(('Activity data'!AN5*EF!$H36*EF!M54)*NtoN2O*kgtoGg=0,"NO",('Activity data'!AN5*EF!$H36*EF!M54)*NtoN2O*kgtoGg)</f>
        <v>6.0073528655928042E-2</v>
      </c>
      <c r="AO36" s="28">
        <f>IF(('Activity data'!AO5*EF!$H36*EF!N54)*NtoN2O*kgtoGg=0,"NO",('Activity data'!AO5*EF!$H36*EF!N54)*NtoN2O*kgtoGg)</f>
        <v>6.0566405414859727E-2</v>
      </c>
      <c r="AP36" s="28">
        <f>IF(('Activity data'!AP5*EF!$H36*EF!O54)*NtoN2O*kgtoGg=0,"NO",('Activity data'!AP5*EF!$H36*EF!O54)*NtoN2O*kgtoGg)</f>
        <v>6.1093972860995535E-2</v>
      </c>
      <c r="AQ36" s="28">
        <f>IF(('Activity data'!AQ5*EF!$H36*EF!P54)*NtoN2O*kgtoGg=0,"NO",('Activity data'!AQ5*EF!$H36*EF!P54)*NtoN2O*kgtoGg)</f>
        <v>6.1613867168170189E-2</v>
      </c>
      <c r="AR36" s="28">
        <f>IF(('Activity data'!AR5*EF!$H36*EF!Q54)*NtoN2O*kgtoGg=0,"NO",('Activity data'!AR5*EF!$H36*EF!Q54)*NtoN2O*kgtoGg)</f>
        <v>6.2214163170368479E-2</v>
      </c>
      <c r="AS36" s="28">
        <f>IF(('Activity data'!AS5*EF!$H36*EF!R54)*NtoN2O*kgtoGg=0,"NO",('Activity data'!AS5*EF!$H36*EF!R54)*NtoN2O*kgtoGg)</f>
        <v>6.2834861272261233E-2</v>
      </c>
      <c r="AT36" s="28">
        <f>IF(('Activity data'!AT5*EF!$H36*EF!S54)*NtoN2O*kgtoGg=0,"NO",('Activity data'!AT5*EF!$H36*EF!S54)*NtoN2O*kgtoGg)</f>
        <v>6.3487431058251872E-2</v>
      </c>
      <c r="AU36" s="28">
        <f>IF(('Activity data'!AU5*EF!$H36*EF!T54)*NtoN2O*kgtoGg=0,"NO",('Activity data'!AU5*EF!$H36*EF!T54)*NtoN2O*kgtoGg)</f>
        <v>6.415998293870652E-2</v>
      </c>
      <c r="AV36" s="28">
        <f>IF(('Activity data'!AV5*EF!$H36*EF!U54)*NtoN2O*kgtoGg=0,"NO",('Activity data'!AV5*EF!$H36*EF!U54)*NtoN2O*kgtoGg)</f>
        <v>6.4722762801541669E-2</v>
      </c>
      <c r="AW36" s="28">
        <f>IF(('Activity data'!AW5*EF!$H36*EF!V54)*NtoN2O*kgtoGg=0,"NO",('Activity data'!AW5*EF!$H36*EF!V54)*NtoN2O*kgtoGg)</f>
        <v>6.543546416009384E-2</v>
      </c>
      <c r="AX36" s="28">
        <f>IF(('Activity data'!AX5*EF!$H36*EF!W54)*NtoN2O*kgtoGg=0,"NO",('Activity data'!AX5*EF!$H36*EF!W54)*NtoN2O*kgtoGg)</f>
        <v>6.6160593598750525E-2</v>
      </c>
      <c r="AY36" s="28">
        <f>IF(('Activity data'!AY5*EF!$H36*EF!X54)*NtoN2O*kgtoGg=0,"NO",('Activity data'!AY5*EF!$H36*EF!X54)*NtoN2O*kgtoGg)</f>
        <v>6.6902610870935006E-2</v>
      </c>
      <c r="AZ36" s="28">
        <f>IF(('Activity data'!AZ5*EF!$H36*EF!Y54)*NtoN2O*kgtoGg=0,"NO",('Activity data'!AZ5*EF!$H36*EF!Y54)*NtoN2O*kgtoGg)</f>
        <v>6.7609773952007485E-2</v>
      </c>
      <c r="BA36" s="28">
        <f>IF(('Activity data'!BA5*EF!$H36*EF!Z54)*NtoN2O*kgtoGg=0,"NO",('Activity data'!BA5*EF!$H36*EF!Z54)*NtoN2O*kgtoGg)</f>
        <v>6.8354753916756522E-2</v>
      </c>
      <c r="BB36" s="28">
        <f>IF(('Activity data'!BB5*EF!$H36*EF!AA54)*NtoN2O*kgtoGg=0,"NO",('Activity data'!BB5*EF!$H36*EF!AA54)*NtoN2O*kgtoGg)</f>
        <v>6.9138196664300516E-2</v>
      </c>
      <c r="BC36" s="28">
        <f>IF(('Activity data'!BC5*EF!$H36*EF!AB54)*NtoN2O*kgtoGg=0,"NO",('Activity data'!BC5*EF!$H36*EF!AB54)*NtoN2O*kgtoGg)</f>
        <v>6.9945754722799056E-2</v>
      </c>
      <c r="BD36" s="28">
        <f>IF(('Activity data'!BD5*EF!$H36*EF!AC54)*NtoN2O*kgtoGg=0,"NO",('Activity data'!BD5*EF!$H36*EF!AC54)*NtoN2O*kgtoGg)</f>
        <v>7.0739540039925441E-2</v>
      </c>
      <c r="BE36" s="28">
        <f>IF(('Activity data'!BE5*EF!$H36*EF!AD54)*NtoN2O*kgtoGg=0,"NO",('Activity data'!BE5*EF!$H36*EF!AD54)*NtoN2O*kgtoGg)</f>
        <v>7.1557790231002324E-2</v>
      </c>
      <c r="BF36" s="28">
        <f>IF(('Activity data'!BF5*EF!$H36*EF!AE54)*NtoN2O*kgtoGg=0,"NO",('Activity data'!BF5*EF!$H36*EF!AE54)*NtoN2O*kgtoGg)</f>
        <v>7.2423150503590231E-2</v>
      </c>
      <c r="BG36" s="28">
        <f>IF(('Activity data'!BG5*EF!$H36*EF!AF54)*NtoN2O*kgtoGg=0,"NO",('Activity data'!BG5*EF!$H36*EF!AF54)*NtoN2O*kgtoGg)</f>
        <v>7.3324774223117825E-2</v>
      </c>
      <c r="BH36" s="28">
        <f>IF(('Activity data'!BH5*EF!$H36*EF!AG54)*NtoN2O*kgtoGg=0,"NO",('Activity data'!BH5*EF!$H36*EF!AG54)*NtoN2O*kgtoGg)</f>
        <v>7.4259119701864607E-2</v>
      </c>
      <c r="BI36" s="28">
        <f>IF(('Activity data'!BI5*EF!$H36*EF!AH54)*NtoN2O*kgtoGg=0,"NO",('Activity data'!BI5*EF!$H36*EF!AH54)*NtoN2O*kgtoGg)</f>
        <v>7.5227559714811196E-2</v>
      </c>
      <c r="BJ36" s="28">
        <f>IF(('Activity data'!BJ5*EF!$H36*EF!AI54)*NtoN2O*kgtoGg=0,"NO",('Activity data'!BJ5*EF!$H36*EF!AI54)*NtoN2O*kgtoGg)</f>
        <v>7.6230224675386177E-2</v>
      </c>
      <c r="BK36" s="28">
        <f>IF(('Activity data'!BK5*EF!$H36*EF!AJ54)*NtoN2O*kgtoGg=0,"NO",('Activity data'!BK5*EF!$H36*EF!AJ54)*NtoN2O*kgtoGg)</f>
        <v>7.7276124446308506E-2</v>
      </c>
      <c r="BL36" s="28">
        <f>IF(('Activity data'!BL5*EF!$H36*EF!AK54)*NtoN2O*kgtoGg=0,"NO",('Activity data'!BL5*EF!$H36*EF!AK54)*NtoN2O*kgtoGg)</f>
        <v>7.8252989954491869E-2</v>
      </c>
      <c r="BM36" s="28">
        <f>IF(('Activity data'!BM5*EF!$H36*EF!AL54)*NtoN2O*kgtoGg=0,"NO",('Activity data'!BM5*EF!$H36*EF!AL54)*NtoN2O*kgtoGg)</f>
        <v>7.9268286258912385E-2</v>
      </c>
      <c r="BN36" s="28">
        <f>IF(('Activity data'!BN5*EF!$H36*EF!AM54)*NtoN2O*kgtoGg=0,"NO",('Activity data'!BN5*EF!$H36*EF!AM54)*NtoN2O*kgtoGg)</f>
        <v>8.033040149346754E-2</v>
      </c>
      <c r="BO36" s="28">
        <f>IF(('Activity data'!BO5*EF!$H36*EF!AN54)*NtoN2O*kgtoGg=0,"NO",('Activity data'!BO5*EF!$H36*EF!AN54)*NtoN2O*kgtoGg)</f>
        <v>8.1443625008358903E-2</v>
      </c>
      <c r="BP36" s="28">
        <f>IF(('Activity data'!BP5*EF!$H36*EF!AO54)*NtoN2O*kgtoGg=0,"NO",('Activity data'!BP5*EF!$H36*EF!AO54)*NtoN2O*kgtoGg)</f>
        <v>8.2634379110651107E-2</v>
      </c>
    </row>
    <row r="37" spans="1:68" x14ac:dyDescent="0.25">
      <c r="A37" t="str">
        <f t="shared" si="1"/>
        <v>3A Livestock</v>
      </c>
      <c r="B37" t="str">
        <f>B36</f>
        <v>3A2 Manure management (N2O)</v>
      </c>
      <c r="C37" t="str">
        <f>EF!C55</f>
        <v>3A1ai Dairy cattle</v>
      </c>
      <c r="D37" t="str">
        <f>EF!D55</f>
        <v>Pasture</v>
      </c>
      <c r="E37" t="str">
        <f t="shared" si="9"/>
        <v>Manure management Emissions</v>
      </c>
      <c r="F37" t="s">
        <v>139</v>
      </c>
      <c r="G37" t="str">
        <f t="shared" ref="G37:G53" si="10">G36</f>
        <v>Gg N2O</v>
      </c>
      <c r="H37" s="28">
        <f>IF(('Activity data'!H6*EF!$H37*EF!$H55)*NtoN2O*kgtoGg=0,"NO",('Activity data'!H6*EF!$H37*EF!$H55)*NtoN2O*kgtoGg)</f>
        <v>0.21291734414122981</v>
      </c>
      <c r="I37" s="28">
        <f>IF(('Activity data'!I6*EF!$H37*EF!$H55)*NtoN2O*kgtoGg=0,"NO",('Activity data'!I6*EF!$H37*EF!$H55)*NtoN2O*kgtoGg)</f>
        <v>0.24512316768375322</v>
      </c>
      <c r="J37" s="28">
        <f>IF(('Activity data'!J6*EF!$H37*EF!$H55)*NtoN2O*kgtoGg=0,"NO",('Activity data'!J6*EF!$H37*EF!$H55)*NtoN2O*kgtoGg)</f>
        <v>0.21206325644895188</v>
      </c>
      <c r="K37" s="28">
        <f>IF(('Activity data'!K6*EF!$H37*EF!$H55)*NtoN2O*kgtoGg=0,"NO",('Activity data'!K6*EF!$H37*EF!$H55)*NtoN2O*kgtoGg)</f>
        <v>0.22491295779681808</v>
      </c>
      <c r="L37" s="28">
        <f>IF(('Activity data'!L6*EF!$H37*EF!$H55)*NtoN2O*kgtoGg=0,"NO",('Activity data'!L6*EF!$H37*EF!$H55)*NtoN2O*kgtoGg)</f>
        <v>0.20864690567984037</v>
      </c>
      <c r="M37" s="28">
        <f>IF(('Activity data'!M6*EF!$H37*EF!$H55)*NtoN2O*kgtoGg=0,"NO",('Activity data'!M6*EF!$H37*EF!$H55)*NtoN2O*kgtoGg)</f>
        <v>0.22320478241226227</v>
      </c>
      <c r="N37" s="28">
        <f>IF(('Activity data'!N6*EF!$H37*EF!$H55)*NtoN2O*kgtoGg=0,"NO",('Activity data'!N6*EF!$H37*EF!$H55)*NtoN2O*kgtoGg)</f>
        <v>0.22405887010454018</v>
      </c>
      <c r="O37" s="28">
        <f>IF(('Activity data'!O6*EF!$H37*EF!$H55)*NtoN2O*kgtoGg=0,"NO",('Activity data'!O6*EF!$H37*EF!$H55)*NtoN2O*kgtoGg)</f>
        <v>0.21600741421890937</v>
      </c>
      <c r="P37" s="28">
        <f>IF(('Activity data'!P6*EF!$H37*EF!$H55)*NtoN2O*kgtoGg=0,"NO",('Activity data'!P6*EF!$H37*EF!$H55)*NtoN2O*kgtoGg)</f>
        <v>0.21344515114207568</v>
      </c>
      <c r="Q37" s="28">
        <f>IF(('Activity data'!Q6*EF!$H37*EF!$H55)*NtoN2O*kgtoGg=0,"NO",('Activity data'!Q6*EF!$H37*EF!$H55)*NtoN2O*kgtoGg)</f>
        <v>0.20966413371783418</v>
      </c>
      <c r="R37" s="28">
        <f>IF(('Activity data'!R6*EF!$H37*EF!$H55)*NtoN2O*kgtoGg=0,"NO",('Activity data'!R6*EF!$H37*EF!$H55)*NtoN2O*kgtoGg)</f>
        <v>0.26996848268720769</v>
      </c>
      <c r="S37" s="28">
        <f>IF(('Activity data'!S6*EF!$H37*EF!$H55)*NtoN2O*kgtoGg=0,"NO",('Activity data'!S6*EF!$H37*EF!$H55)*NtoN2O*kgtoGg)</f>
        <v>0.26911439499492978</v>
      </c>
      <c r="T37" s="28">
        <f>IF(('Activity data'!T6*EF!$H37*EF!$H55)*NtoN2O*kgtoGg=0,"NO",('Activity data'!T6*EF!$H37*EF!$H55)*NtoN2O*kgtoGg)</f>
        <v>0.23467258906700467</v>
      </c>
      <c r="U37" s="28">
        <f>IF(('Activity data'!U6*EF!$H37*EF!$H55)*NtoN2O*kgtoGg=0,"NO",('Activity data'!U6*EF!$H37*EF!$H55)*NtoN2O*kgtoGg)</f>
        <v>0.21344515114207568</v>
      </c>
      <c r="V37" s="28">
        <f>IF(('Activity data'!V6*EF!$H37*EF!$H55)*NtoN2O*kgtoGg=0,"NO",('Activity data'!V6*EF!$H37*EF!$H55)*NtoN2O*kgtoGg)</f>
        <v>0.20608464260300666</v>
      </c>
      <c r="W37" s="28">
        <f>IF(('Activity data'!W6*EF!$H37*EF!$H55)*NtoN2O*kgtoGg=0,"NO",('Activity data'!W6*EF!$H37*EF!$H55)*NtoN2O*kgtoGg)</f>
        <v>0.22064251933542864</v>
      </c>
      <c r="X37" s="28">
        <f>IF(('Activity data'!X6*EF!$H37*EF!$H55)*NtoN2O*kgtoGg=0,"NO",('Activity data'!X6*EF!$H37*EF!$H55)*NtoN2O*kgtoGg)</f>
        <v>0.2158442738731933</v>
      </c>
      <c r="Y37" s="28">
        <f>IF(('Activity data'!Y6*EF!$H37*EF!$H55)*NtoN2O*kgtoGg=0,"NO",('Activity data'!Y6*EF!$H37*EF!$H55)*NtoN2O*kgtoGg)</f>
        <v>0.21429923883435359</v>
      </c>
      <c r="Z37" s="28">
        <f>IF(('Activity data'!Z6*EF!$H37*EF!$H55)*NtoN2O*kgtoGg=0,"NO",('Activity data'!Z6*EF!$H37*EF!$H55)*NtoN2O*kgtoGg)</f>
        <v>0.26244483380242267</v>
      </c>
      <c r="AA37" s="28">
        <f>IF(('Activity data'!AA6*EF!$H37*EF!$H55)*NtoN2O*kgtoGg=0,"NO",('Activity data'!AA6*EF!$H37*EF!$H55)*NtoN2O*kgtoGg)</f>
        <v>0.26895125464921371</v>
      </c>
      <c r="AB37" s="28">
        <f>IF(('Activity data'!AB6*EF!$H37*EF!$H55)*NtoN2O*kgtoGg=0,"NO",('Activity data'!AB6*EF!$H37*EF!$H55)*NtoN2O*kgtoGg)</f>
        <v>0.26895125464921371</v>
      </c>
      <c r="AC37" s="28">
        <f>IF(('Activity data'!AC6*EF!$H37*EF!$H55)*NtoN2O*kgtoGg=0,"NO",('Activity data'!AC6*EF!$H37*EF!$H55)*NtoN2O*kgtoGg)</f>
        <v>0.25919162337902713</v>
      </c>
      <c r="AD37" s="28">
        <f>IF(('Activity data'!AD6*EF!$H37*EF!$H55)*NtoN2O*kgtoGg=0,"NO",('Activity data'!AD6*EF!$H37*EF!$H55)*NtoN2O*kgtoGg)</f>
        <v>0.26069149677754244</v>
      </c>
      <c r="AE37" s="28">
        <f>IF(('Activity data'!AE6*EF!$H37*EF!$H55)*NtoN2O*kgtoGg=0,"NO",('Activity data'!AE6*EF!$H37*EF!$H55)*NtoN2O*kgtoGg)</f>
        <v>0.26258141438826671</v>
      </c>
      <c r="AF37" s="28">
        <f>IF(('Activity data'!AF6*EF!$H37*EF!$H55)*NtoN2O*kgtoGg=0,"NO",('Activity data'!AF6*EF!$H37*EF!$H55)*NtoN2O*kgtoGg)</f>
        <v>0.26379112825704876</v>
      </c>
      <c r="AG37" s="28">
        <f>IF(('Activity data'!AG6*EF!$H37*EF!$H55)*NtoN2O*kgtoGg=0,"NO",('Activity data'!AG6*EF!$H37*EF!$H55)*NtoN2O*kgtoGg)</f>
        <v>0.26446595038218512</v>
      </c>
      <c r="AH37" s="28">
        <f>IF(('Activity data'!AH6*EF!$H37*EF!$H55)*NtoN2O*kgtoGg=0,"NO",('Activity data'!AH6*EF!$H37*EF!$H55)*NtoN2O*kgtoGg)</f>
        <v>0.26483483945326192</v>
      </c>
      <c r="AI37" s="28">
        <f>IF(('Activity data'!AI6*EF!$H37*EF!H55)*NtoN2O*kgtoGg=0,"NO",('Activity data'!AI6*EF!$H37*EF!H55)*NtoN2O*kgtoGg)</f>
        <v>0.26562918710428857</v>
      </c>
      <c r="AJ37" s="28">
        <f>IF(('Activity data'!AJ6*EF!$H37*EF!I55)*NtoN2O*kgtoGg=0,"NO",('Activity data'!AJ6*EF!$H37*EF!I55)*NtoN2O*kgtoGg)</f>
        <v>0.26668249212727413</v>
      </c>
      <c r="AK37" s="28">
        <f>IF(('Activity data'!AK6*EF!$H37*EF!J55)*NtoN2O*kgtoGg=0,"NO",('Activity data'!AK6*EF!$H37*EF!J55)*NtoN2O*kgtoGg)</f>
        <v>0.26776319657716163</v>
      </c>
      <c r="AL37" s="28">
        <f>IF(('Activity data'!AL6*EF!$H37*EF!K55)*NtoN2O*kgtoGg=0,"NO",('Activity data'!AL6*EF!$H37*EF!K55)*NtoN2O*kgtoGg)</f>
        <v>0.25903211215561789</v>
      </c>
      <c r="AM37" s="28">
        <f>IF(('Activity data'!AM6*EF!$H37*EF!L55)*NtoN2O*kgtoGg=0,"NO",('Activity data'!AM6*EF!$H37*EF!L55)*NtoN2O*kgtoGg)</f>
        <v>0.26105088434307927</v>
      </c>
      <c r="AN37" s="28">
        <f>IF(('Activity data'!AN6*EF!$H37*EF!M55)*NtoN2O*kgtoGg=0,"NO",('Activity data'!AN6*EF!$H37*EF!M55)*NtoN2O*kgtoGg)</f>
        <v>0.26303988301269621</v>
      </c>
      <c r="AO37" s="28">
        <f>IF(('Activity data'!AO6*EF!$H37*EF!N55)*NtoN2O*kgtoGg=0,"NO",('Activity data'!AO6*EF!$H37*EF!N55)*NtoN2O*kgtoGg)</f>
        <v>0.26519800902776042</v>
      </c>
      <c r="AP37" s="28">
        <f>IF(('Activity data'!AP6*EF!$H37*EF!O55)*NtoN2O*kgtoGg=0,"NO",('Activity data'!AP6*EF!$H37*EF!O55)*NtoN2O*kgtoGg)</f>
        <v>0.2675080328005886</v>
      </c>
      <c r="AQ37" s="28">
        <f>IF(('Activity data'!AQ6*EF!$H37*EF!P55)*NtoN2O*kgtoGg=0,"NO",('Activity data'!AQ6*EF!$H37*EF!P55)*NtoN2O*kgtoGg)</f>
        <v>0.26978445872058809</v>
      </c>
      <c r="AR37" s="28">
        <f>IF(('Activity data'!AR6*EF!$H37*EF!Q55)*NtoN2O*kgtoGg=0,"NO",('Activity data'!AR6*EF!$H37*EF!Q55)*NtoN2O*kgtoGg)</f>
        <v>0.27241293408609585</v>
      </c>
      <c r="AS37" s="28">
        <f>IF(('Activity data'!AS6*EF!$H37*EF!R55)*NtoN2O*kgtoGg=0,"NO",('Activity data'!AS6*EF!$H37*EF!R55)*NtoN2O*kgtoGg)</f>
        <v>0.2751307427409394</v>
      </c>
      <c r="AT37" s="28">
        <f>IF(('Activity data'!AT6*EF!$H37*EF!S55)*NtoN2O*kgtoGg=0,"NO",('Activity data'!AT6*EF!$H37*EF!S55)*NtoN2O*kgtoGg)</f>
        <v>0.27798810577595828</v>
      </c>
      <c r="AU37" s="28">
        <f>IF(('Activity data'!AU6*EF!$H37*EF!T55)*NtoN2O*kgtoGg=0,"NO",('Activity data'!AU6*EF!$H37*EF!T55)*NtoN2O*kgtoGg)</f>
        <v>0.28093296305191423</v>
      </c>
      <c r="AV37" s="28">
        <f>IF(('Activity data'!AV6*EF!$H37*EF!U55)*NtoN2O*kgtoGg=0,"NO",('Activity data'!AV6*EF!$H37*EF!U55)*NtoN2O*kgtoGg)</f>
        <v>0.28339716904403978</v>
      </c>
      <c r="AW37" s="28">
        <f>IF(('Activity data'!AW6*EF!$H37*EF!V55)*NtoN2O*kgtoGg=0,"NO",('Activity data'!AW6*EF!$H37*EF!V55)*NtoN2O*kgtoGg)</f>
        <v>0.28651782611498172</v>
      </c>
      <c r="AX37" s="28">
        <f>IF(('Activity data'!AX6*EF!$H37*EF!W55)*NtoN2O*kgtoGg=0,"NO",('Activity data'!AX6*EF!$H37*EF!W55)*NtoN2O*kgtoGg)</f>
        <v>0.28969290117684077</v>
      </c>
      <c r="AY37" s="28">
        <f>IF(('Activity data'!AY6*EF!$H37*EF!X55)*NtoN2O*kgtoGg=0,"NO",('Activity data'!AY6*EF!$H37*EF!X55)*NtoN2O*kgtoGg)</f>
        <v>0.2929419218492687</v>
      </c>
      <c r="AZ37" s="28">
        <f>IF(('Activity data'!AZ6*EF!$H37*EF!Y55)*NtoN2O*kgtoGg=0,"NO",('Activity data'!AZ6*EF!$H37*EF!Y55)*NtoN2O*kgtoGg)</f>
        <v>0.29603832884046766</v>
      </c>
      <c r="BA37" s="28">
        <f>IF(('Activity data'!BA6*EF!$H37*EF!Z55)*NtoN2O*kgtoGg=0,"NO",('Activity data'!BA6*EF!$H37*EF!Z55)*NtoN2O*kgtoGg)</f>
        <v>0.29930032205376378</v>
      </c>
      <c r="BB37" s="28">
        <f>IF(('Activity data'!BB6*EF!$H37*EF!AA55)*NtoN2O*kgtoGg=0,"NO",('Activity data'!BB6*EF!$H37*EF!AA55)*NtoN2O*kgtoGg)</f>
        <v>0.30273072964379272</v>
      </c>
      <c r="BC37" s="28">
        <f>IF(('Activity data'!BC6*EF!$H37*EF!AB55)*NtoN2O*kgtoGg=0,"NO",('Activity data'!BC6*EF!$H37*EF!AB55)*NtoN2O*kgtoGg)</f>
        <v>0.3062667293093036</v>
      </c>
      <c r="BD37" s="28">
        <f>IF(('Activity data'!BD6*EF!$H37*EF!AC55)*NtoN2O*kgtoGg=0,"NO",('Activity data'!BD6*EF!$H37*EF!AC55)*NtoN2O*kgtoGg)</f>
        <v>0.30974242320686052</v>
      </c>
      <c r="BE37" s="28">
        <f>IF(('Activity data'!BE6*EF!$H37*EF!AD55)*NtoN2O*kgtoGg=0,"NO",('Activity data'!BE6*EF!$H37*EF!AD55)*NtoN2O*kgtoGg)</f>
        <v>0.31332523978766652</v>
      </c>
      <c r="BF37" s="28">
        <f>IF(('Activity data'!BF6*EF!$H37*EF!AE55)*NtoN2O*kgtoGg=0,"NO",('Activity data'!BF6*EF!$H37*EF!AE55)*NtoN2O*kgtoGg)</f>
        <v>0.31711433408524092</v>
      </c>
      <c r="BG37" s="28">
        <f>IF(('Activity data'!BG6*EF!$H37*EF!AF55)*NtoN2O*kgtoGg=0,"NO",('Activity data'!BG6*EF!$H37*EF!AF55)*NtoN2O*kgtoGg)</f>
        <v>0.32106221267689766</v>
      </c>
      <c r="BH37" s="28">
        <f>IF(('Activity data'!BH6*EF!$H37*EF!AG55)*NtoN2O*kgtoGg=0,"NO",('Activity data'!BH6*EF!$H37*EF!AG55)*NtoN2O*kgtoGg)</f>
        <v>0.32515336781497262</v>
      </c>
      <c r="BI37" s="28">
        <f>IF(('Activity data'!BI6*EF!$H37*EF!AH55)*NtoN2O*kgtoGg=0,"NO",('Activity data'!BI6*EF!$H37*EF!AH55)*NtoN2O*kgtoGg)</f>
        <v>0.32939381037610976</v>
      </c>
      <c r="BJ37" s="28">
        <f>IF(('Activity data'!BJ6*EF!$H37*EF!AI55)*NtoN2O*kgtoGg=0,"NO",('Activity data'!BJ6*EF!$H37*EF!AI55)*NtoN2O*kgtoGg)</f>
        <v>0.33378411139273811</v>
      </c>
      <c r="BK37" s="28">
        <f>IF(('Activity data'!BK6*EF!$H37*EF!AJ55)*NtoN2O*kgtoGg=0,"NO",('Activity data'!BK6*EF!$H37*EF!AJ55)*NtoN2O*kgtoGg)</f>
        <v>0.3383637217392873</v>
      </c>
      <c r="BL37" s="28">
        <f>IF(('Activity data'!BL6*EF!$H37*EF!AK55)*NtoN2O*kgtoGg=0,"NO",('Activity data'!BL6*EF!$H37*EF!AK55)*NtoN2O*kgtoGg)</f>
        <v>0.34264105644461823</v>
      </c>
      <c r="BM37" s="28">
        <f>IF(('Activity data'!BM6*EF!$H37*EF!AL55)*NtoN2O*kgtoGg=0,"NO",('Activity data'!BM6*EF!$H37*EF!AL55)*NtoN2O*kgtoGg)</f>
        <v>0.34708666546931194</v>
      </c>
      <c r="BN37" s="28">
        <f>IF(('Activity data'!BN6*EF!$H37*EF!AM55)*NtoN2O*kgtoGg=0,"NO",('Activity data'!BN6*EF!$H37*EF!AM55)*NtoN2O*kgtoGg)</f>
        <v>0.35173727736600174</v>
      </c>
      <c r="BO37" s="28">
        <f>IF(('Activity data'!BO6*EF!$H37*EF!AN55)*NtoN2O*kgtoGg=0,"NO",('Activity data'!BO6*EF!$H37*EF!AN55)*NtoN2O*kgtoGg)</f>
        <v>0.35661167362131652</v>
      </c>
      <c r="BP37" s="28">
        <f>IF(('Activity data'!BP6*EF!$H37*EF!AO55)*NtoN2O*kgtoGg=0,"NO",('Activity data'!BP6*EF!$H37*EF!AO55)*NtoN2O*kgtoGg)</f>
        <v>0.36182554779804055</v>
      </c>
    </row>
    <row r="38" spans="1:68" x14ac:dyDescent="0.25">
      <c r="A38" t="str">
        <f t="shared" si="1"/>
        <v>3A Livestock</v>
      </c>
      <c r="B38" t="str">
        <f t="shared" ref="B38:B53" si="11">B37</f>
        <v>3A2 Manure management (N2O)</v>
      </c>
      <c r="C38" t="str">
        <f>EF!C56</f>
        <v>3A1aii Other cattle</v>
      </c>
      <c r="D38" t="str">
        <f>EF!D56</f>
        <v>Non-lactating</v>
      </c>
      <c r="E38" t="str">
        <f t="shared" si="9"/>
        <v>Manure management Emissions</v>
      </c>
      <c r="F38" t="s">
        <v>139</v>
      </c>
      <c r="G38" t="str">
        <f t="shared" si="10"/>
        <v>Gg N2O</v>
      </c>
      <c r="H38" s="28">
        <f>IF(('Activity data'!H7*EF!$H38*EF!$H56)*NtoN2O*kgtoGg=0,"NO",('Activity data'!H7*EF!$H38*EF!$H56)*NtoN2O*kgtoGg)</f>
        <v>1.1183611918471593E-2</v>
      </c>
      <c r="I38" s="28">
        <f>IF(('Activity data'!I7*EF!$H38*EF!$H56)*NtoN2O*kgtoGg=0,"NO",('Activity data'!I7*EF!$H38*EF!$H56)*NtoN2O*kgtoGg)</f>
        <v>1.2711960166782875E-2</v>
      </c>
      <c r="J38" s="28">
        <f>IF(('Activity data'!J7*EF!$H38*EF!$H56)*NtoN2O*kgtoGg=0,"NO",('Activity data'!J7*EF!$H38*EF!$H56)*NtoN2O*kgtoGg)</f>
        <v>1.0995878646861469E-2</v>
      </c>
      <c r="K38" s="28">
        <f>IF(('Activity data'!K7*EF!$H38*EF!$H56)*NtoN2O*kgtoGg=0,"NO",('Activity data'!K7*EF!$H38*EF!$H56)*NtoN2O*kgtoGg)</f>
        <v>1.1507534902584429E-2</v>
      </c>
      <c r="L38" s="28">
        <f>IF(('Activity data'!L7*EF!$H38*EF!$H56)*NtoN2O*kgtoGg=0,"NO",('Activity data'!L7*EF!$H38*EF!$H56)*NtoN2O*kgtoGg)</f>
        <v>1.0244945560421E-2</v>
      </c>
      <c r="M38" s="28">
        <f>IF(('Activity data'!M7*EF!$H38*EF!$H56)*NtoN2O*kgtoGg=0,"NO",('Activity data'!M7*EF!$H38*EF!$H56)*NtoN2O*kgtoGg)</f>
        <v>1.1132068359364188E-2</v>
      </c>
      <c r="N38" s="28">
        <f>IF(('Activity data'!N7*EF!$H38*EF!$H56)*NtoN2O*kgtoGg=0,"NO",('Activity data'!N7*EF!$H38*EF!$H56)*NtoN2O*kgtoGg)</f>
        <v>1.1319801630974307E-2</v>
      </c>
      <c r="O38" s="28">
        <f>IF(('Activity data'!O7*EF!$H38*EF!$H56)*NtoN2O*kgtoGg=0,"NO",('Activity data'!O7*EF!$H38*EF!$H56)*NtoN2O*kgtoGg)</f>
        <v>1.0937714568896487E-2</v>
      </c>
      <c r="P38" s="28">
        <f>IF(('Activity data'!P7*EF!$H38*EF!$H56)*NtoN2O*kgtoGg=0,"NO",('Activity data'!P7*EF!$H38*EF!$H56)*NtoN2O*kgtoGg)</f>
        <v>1.0374514754066132E-2</v>
      </c>
      <c r="Q38" s="28">
        <f>IF(('Activity data'!Q7*EF!$H38*EF!$H56)*NtoN2O*kgtoGg=0,"NO",('Activity data'!Q7*EF!$H38*EF!$H56)*NtoN2O*kgtoGg)</f>
        <v>1.0931094050038906E-2</v>
      </c>
      <c r="R38" s="28">
        <f>IF(('Activity data'!R7*EF!$H38*EF!$H56)*NtoN2O*kgtoGg=0,"NO",('Activity data'!R7*EF!$H38*EF!$H56)*NtoN2O*kgtoGg)</f>
        <v>1.3547539406618663E-2</v>
      </c>
      <c r="S38" s="28">
        <f>IF(('Activity data'!S7*EF!$H38*EF!$H56)*NtoN2O*kgtoGg=0,"NO",('Activity data'!S7*EF!$H38*EF!$H56)*NtoN2O*kgtoGg)</f>
        <v>1.3359806135008544E-2</v>
      </c>
      <c r="T38" s="28">
        <f>IF(('Activity data'!T7*EF!$H38*EF!$H56)*NtoN2O*kgtoGg=0,"NO",('Activity data'!T7*EF!$H38*EF!$H56)*NtoN2O*kgtoGg)</f>
        <v>1.2265088507882486E-2</v>
      </c>
      <c r="U38" s="28">
        <f>IF(('Activity data'!U7*EF!$H38*EF!$H56)*NtoN2O*kgtoGg=0,"NO",('Activity data'!U7*EF!$H38*EF!$H56)*NtoN2O*kgtoGg)</f>
        <v>1.0374514754066132E-2</v>
      </c>
      <c r="V38" s="28">
        <f>IF(('Activity data'!V7*EF!$H38*EF!$H56)*NtoN2O*kgtoGg=0,"NO",('Activity data'!V7*EF!$H38*EF!$H56)*NtoN2O*kgtoGg)</f>
        <v>9.6817457455906381E-3</v>
      </c>
      <c r="W38" s="28">
        <f>IF(('Activity data'!W7*EF!$H38*EF!$H56)*NtoN2O*kgtoGg=0,"NO",('Activity data'!W7*EF!$H38*EF!$H56)*NtoN2O*kgtoGg)</f>
        <v>1.0568868544533832E-2</v>
      </c>
      <c r="X38" s="28">
        <f>IF(('Activity data'!X7*EF!$H38*EF!$H56)*NtoN2O*kgtoGg=0,"NO",('Activity data'!X7*EF!$H38*EF!$H56)*NtoN2O*kgtoGg)</f>
        <v>1.0439299350888697E-2</v>
      </c>
      <c r="Y38" s="28">
        <f>IF(('Activity data'!Y7*EF!$H38*EF!$H56)*NtoN2O*kgtoGg=0,"NO",('Activity data'!Y7*EF!$H38*EF!$H56)*NtoN2O*kgtoGg)</f>
        <v>1.0562248025676249E-2</v>
      </c>
      <c r="Z38" s="28">
        <f>IF(('Activity data'!Z7*EF!$H38*EF!$H56)*NtoN2O*kgtoGg=0,"NO",('Activity data'!Z7*EF!$H38*EF!$H56)*NtoN2O*kgtoGg)</f>
        <v>1.2356355180135385E-2</v>
      </c>
      <c r="AA38" s="28">
        <f>IF(('Activity data'!AA7*EF!$H38*EF!$H56)*NtoN2O*kgtoGg=0,"NO",('Activity data'!AA7*EF!$H38*EF!$H56)*NtoN2O*kgtoGg)</f>
        <v>1.2861390917000753E-2</v>
      </c>
      <c r="AB38" s="28">
        <f>IF(('Activity data'!AB7*EF!$H38*EF!$H56)*NtoN2O*kgtoGg=0,"NO",('Activity data'!AB7*EF!$H38*EF!$H56)*NtoN2O*kgtoGg)</f>
        <v>1.2861390917000753E-2</v>
      </c>
      <c r="AC38" s="28">
        <f>IF(('Activity data'!AC7*EF!$H38*EF!$H56)*NtoN2O*kgtoGg=0,"NO",('Activity data'!AC7*EF!$H38*EF!$H56)*NtoN2O*kgtoGg)</f>
        <v>1.2103837311702698E-2</v>
      </c>
      <c r="AD38" s="28">
        <f>IF(('Activity data'!AD7*EF!$H38*EF!$H56)*NtoN2O*kgtoGg=0,"NO",('Activity data'!AD7*EF!$H38*EF!$H56)*NtoN2O*kgtoGg)</f>
        <v>1.1599232209193821E-2</v>
      </c>
      <c r="AE38" s="28">
        <f>IF(('Activity data'!AE7*EF!$H38*EF!$H56)*NtoN2O*kgtoGg=0,"NO",('Activity data'!AE7*EF!$H38*EF!$H56)*NtoN2O*kgtoGg)</f>
        <v>1.1683322382805207E-2</v>
      </c>
      <c r="AF38" s="28">
        <f>IF(('Activity data'!AF7*EF!$H38*EF!$H56)*NtoN2O*kgtoGg=0,"NO",('Activity data'!AF7*EF!$H38*EF!$H56)*NtoN2O*kgtoGg)</f>
        <v>1.17371475065401E-2</v>
      </c>
      <c r="AG38" s="28">
        <f>IF(('Activity data'!AG7*EF!$H38*EF!$H56)*NtoN2O*kgtoGg=0,"NO",('Activity data'!AG7*EF!$H38*EF!$H56)*NtoN2O*kgtoGg)</f>
        <v>1.1767173106247471E-2</v>
      </c>
      <c r="AH38" s="28">
        <f>IF(('Activity data'!AH7*EF!$H38*EF!$H56)*NtoN2O*kgtoGg=0,"NO",('Activity data'!AH7*EF!$H38*EF!$H56)*NtoN2O*kgtoGg)</f>
        <v>1.1783586491600447E-2</v>
      </c>
      <c r="AI38" s="28">
        <f>IF(('Activity data'!AI7*EF!$H38*EF!H56)*NtoN2O*kgtoGg=0,"NO",('Activity data'!AI7*EF!$H38*EF!H56)*NtoN2O*kgtoGg)</f>
        <v>1.1818930271405235E-2</v>
      </c>
      <c r="AJ38" s="28">
        <f>IF(('Activity data'!AJ7*EF!$H38*EF!I56)*NtoN2O*kgtoGg=0,"NO",('Activity data'!AJ7*EF!$H38*EF!I56)*NtoN2O*kgtoGg)</f>
        <v>1.1865796125104888E-2</v>
      </c>
      <c r="AK38" s="28">
        <f>IF(('Activity data'!AK7*EF!$H38*EF!J56)*NtoN2O*kgtoGg=0,"NO",('Activity data'!AK7*EF!$H38*EF!J56)*NtoN2O*kgtoGg)</f>
        <v>1.1913881091506574E-2</v>
      </c>
      <c r="AL38" s="28">
        <f>IF(('Activity data'!AL7*EF!$H38*EF!K56)*NtoN2O*kgtoGg=0,"NO",('Activity data'!AL7*EF!$H38*EF!K56)*NtoN2O*kgtoGg)</f>
        <v>1.1525399392274243E-2</v>
      </c>
      <c r="AM38" s="28">
        <f>IF(('Activity data'!AM7*EF!$H38*EF!L56)*NtoN2O*kgtoGg=0,"NO",('Activity data'!AM7*EF!$H38*EF!L56)*NtoN2O*kgtoGg)</f>
        <v>1.1615222833657171E-2</v>
      </c>
      <c r="AN38" s="28">
        <f>IF(('Activity data'!AN7*EF!$H38*EF!M56)*NtoN2O*kgtoGg=0,"NO",('Activity data'!AN7*EF!$H38*EF!M56)*NtoN2O*kgtoGg)</f>
        <v>1.1703721529310263E-2</v>
      </c>
      <c r="AO38" s="28">
        <f>IF(('Activity data'!AO7*EF!$H38*EF!N56)*NtoN2O*kgtoGg=0,"NO",('Activity data'!AO7*EF!$H38*EF!N56)*NtoN2O*kgtoGg)</f>
        <v>1.1799745393129625E-2</v>
      </c>
      <c r="AP38" s="28">
        <f>IF(('Activity data'!AP7*EF!$H38*EF!O56)*NtoN2O*kgtoGg=0,"NO",('Activity data'!AP7*EF!$H38*EF!O56)*NtoN2O*kgtoGg)</f>
        <v>1.1902527810204995E-2</v>
      </c>
      <c r="AQ38" s="28">
        <f>IF(('Activity data'!AQ7*EF!$H38*EF!P56)*NtoN2O*kgtoGg=0,"NO",('Activity data'!AQ7*EF!$H38*EF!P56)*NtoN2O*kgtoGg)</f>
        <v>1.200381532122663E-2</v>
      </c>
      <c r="AR38" s="28">
        <f>IF(('Activity data'!AR7*EF!$H38*EF!Q56)*NtoN2O*kgtoGg=0,"NO",('Activity data'!AR7*EF!$H38*EF!Q56)*NtoN2O*kgtoGg)</f>
        <v>1.2120766953702339E-2</v>
      </c>
      <c r="AS38" s="28">
        <f>IF(('Activity data'!AS7*EF!$H38*EF!R56)*NtoN2O*kgtoGg=0,"NO",('Activity data'!AS7*EF!$H38*EF!R56)*NtoN2O*kgtoGg)</f>
        <v>1.2241693390035585E-2</v>
      </c>
      <c r="AT38" s="28">
        <f>IF(('Activity data'!AT7*EF!$H38*EF!S56)*NtoN2O*kgtoGg=0,"NO",('Activity data'!AT7*EF!$H38*EF!S56)*NtoN2O*kgtoGg)</f>
        <v>1.2368829172210454E-2</v>
      </c>
      <c r="AU38" s="28">
        <f>IF(('Activity data'!AU7*EF!$H38*EF!T56)*NtoN2O*kgtoGg=0,"NO",('Activity data'!AU7*EF!$H38*EF!T56)*NtoN2O*kgtoGg)</f>
        <v>1.2499857931448794E-2</v>
      </c>
      <c r="AV38" s="28">
        <f>IF(('Activity data'!AV7*EF!$H38*EF!U56)*NtoN2O*kgtoGg=0,"NO",('Activity data'!AV7*EF!$H38*EF!U56)*NtoN2O*kgtoGg)</f>
        <v>1.2609500546828542E-2</v>
      </c>
      <c r="AW38" s="28">
        <f>IF(('Activity data'!AW7*EF!$H38*EF!V56)*NtoN2O*kgtoGg=0,"NO",('Activity data'!AW7*EF!$H38*EF!V56)*NtoN2O*kgtoGg)</f>
        <v>1.2748351358836446E-2</v>
      </c>
      <c r="AX38" s="28">
        <f>IF(('Activity data'!AX7*EF!$H38*EF!W56)*NtoN2O*kgtoGg=0,"NO",('Activity data'!AX7*EF!$H38*EF!W56)*NtoN2O*kgtoGg)</f>
        <v>1.2889623450098982E-2</v>
      </c>
      <c r="AY38" s="28">
        <f>IF(('Activity data'!AY7*EF!$H38*EF!X56)*NtoN2O*kgtoGg=0,"NO",('Activity data'!AY7*EF!$H38*EF!X56)*NtoN2O*kgtoGg)</f>
        <v>1.3034185684378996E-2</v>
      </c>
      <c r="AZ38" s="28">
        <f>IF(('Activity data'!AZ7*EF!$H38*EF!Y56)*NtoN2O*kgtoGg=0,"NO",('Activity data'!AZ7*EF!$H38*EF!Y56)*NtoN2O*kgtoGg)</f>
        <v>1.3171957511036374E-2</v>
      </c>
      <c r="BA38" s="28">
        <f>IF(('Activity data'!BA7*EF!$H38*EF!Z56)*NtoN2O*kgtoGg=0,"NO",('Activity data'!BA7*EF!$H38*EF!Z56)*NtoN2O*kgtoGg)</f>
        <v>1.3317096946781466E-2</v>
      </c>
      <c r="BB38" s="28">
        <f>IF(('Activity data'!BB7*EF!$H38*EF!AA56)*NtoN2O*kgtoGg=0,"NO",('Activity data'!BB7*EF!$H38*EF!AA56)*NtoN2O*kgtoGg)</f>
        <v>1.3469729827795153E-2</v>
      </c>
      <c r="BC38" s="28">
        <f>IF(('Activity data'!BC7*EF!$H38*EF!AB56)*NtoN2O*kgtoGg=0,"NO",('Activity data'!BC7*EF!$H38*EF!AB56)*NtoN2O*kgtoGg)</f>
        <v>1.3627060932640864E-2</v>
      </c>
      <c r="BD38" s="28">
        <f>IF(('Activity data'!BD7*EF!$H38*EF!AC56)*NtoN2O*kgtoGg=0,"NO",('Activity data'!BD7*EF!$H38*EF!AC56)*NtoN2O*kgtoGg)</f>
        <v>1.3781708786921447E-2</v>
      </c>
      <c r="BE38" s="28">
        <f>IF(('Activity data'!BE7*EF!$H38*EF!AD56)*NtoN2O*kgtoGg=0,"NO",('Activity data'!BE7*EF!$H38*EF!AD56)*NtoN2O*kgtoGg)</f>
        <v>1.394112296804137E-2</v>
      </c>
      <c r="BF38" s="28">
        <f>IF(('Activity data'!BF7*EF!$H38*EF!AE56)*NtoN2O*kgtoGg=0,"NO",('Activity data'!BF7*EF!$H38*EF!AE56)*NtoN2O*kgtoGg)</f>
        <v>1.4109715289476398E-2</v>
      </c>
      <c r="BG38" s="28">
        <f>IF(('Activity data'!BG7*EF!$H38*EF!AF56)*NtoN2O*kgtoGg=0,"NO",('Activity data'!BG7*EF!$H38*EF!AF56)*NtoN2O*kgtoGg)</f>
        <v>1.4285372574368229E-2</v>
      </c>
      <c r="BH38" s="28">
        <f>IF(('Activity data'!BH7*EF!$H38*EF!AG56)*NtoN2O*kgtoGg=0,"NO",('Activity data'!BH7*EF!$H38*EF!AG56)*NtoN2O*kgtoGg)</f>
        <v>1.4467404819519905E-2</v>
      </c>
      <c r="BI38" s="28">
        <f>IF(('Activity data'!BI7*EF!$H38*EF!AH56)*NtoN2O*kgtoGg=0,"NO",('Activity data'!BI7*EF!$H38*EF!AH56)*NtoN2O*kgtoGg)</f>
        <v>1.4656079473447539E-2</v>
      </c>
      <c r="BJ38" s="28">
        <f>IF(('Activity data'!BJ7*EF!$H38*EF!AI56)*NtoN2O*kgtoGg=0,"NO",('Activity data'!BJ7*EF!$H38*EF!AI56)*NtoN2O*kgtoGg)</f>
        <v>1.4851421943722227E-2</v>
      </c>
      <c r="BK38" s="28">
        <f>IF(('Activity data'!BK7*EF!$H38*EF!AJ56)*NtoN2O*kgtoGg=0,"NO",('Activity data'!BK7*EF!$H38*EF!AJ56)*NtoN2O*kgtoGg)</f>
        <v>1.5055187561296554E-2</v>
      </c>
      <c r="BL38" s="28">
        <f>IF(('Activity data'!BL7*EF!$H38*EF!AK56)*NtoN2O*kgtoGg=0,"NO",('Activity data'!BL7*EF!$H38*EF!AK56)*NtoN2O*kgtoGg)</f>
        <v>1.5245503697790696E-2</v>
      </c>
      <c r="BM38" s="28">
        <f>IF(('Activity data'!BM7*EF!$H38*EF!AL56)*NtoN2O*kgtoGg=0,"NO",('Activity data'!BM7*EF!$H38*EF!AL56)*NtoN2O*kgtoGg)</f>
        <v>1.5443307047827513E-2</v>
      </c>
      <c r="BN38" s="28">
        <f>IF(('Activity data'!BN7*EF!$H38*EF!AM56)*NtoN2O*kgtoGg=0,"NO",('Activity data'!BN7*EF!$H38*EF!AM56)*NtoN2O*kgtoGg)</f>
        <v>1.5650231815115094E-2</v>
      </c>
      <c r="BO38" s="28">
        <f>IF(('Activity data'!BO7*EF!$H38*EF!AN56)*NtoN2O*kgtoGg=0,"NO",('Activity data'!BO7*EF!$H38*EF!AN56)*NtoN2O*kgtoGg)</f>
        <v>1.5867113664902732E-2</v>
      </c>
      <c r="BP38" s="28">
        <f>IF(('Activity data'!BP7*EF!$H38*EF!AO56)*NtoN2O*kgtoGg=0,"NO",('Activity data'!BP7*EF!$H38*EF!AO56)*NtoN2O*kgtoGg)</f>
        <v>1.6099100277557565E-2</v>
      </c>
    </row>
    <row r="39" spans="1:68" x14ac:dyDescent="0.25">
      <c r="A39" t="str">
        <f t="shared" si="1"/>
        <v>3A Livestock</v>
      </c>
      <c r="B39" t="str">
        <f t="shared" si="11"/>
        <v>3A2 Manure management (N2O)</v>
      </c>
      <c r="C39" t="str">
        <f>EF!C57</f>
        <v>3A1aii Other cattle</v>
      </c>
      <c r="D39" t="str">
        <f>EF!D57</f>
        <v>Commercial</v>
      </c>
      <c r="E39" t="str">
        <f>E37</f>
        <v>Manure management Emissions</v>
      </c>
      <c r="F39" t="s">
        <v>139</v>
      </c>
      <c r="G39" t="str">
        <f>G37</f>
        <v>Gg N2O</v>
      </c>
      <c r="H39" s="28">
        <f>IF(('Activity data'!H8*EF!$H39*EF!$H57)*NtoN2O*kgtoGg=0,"NO",('Activity data'!H8*EF!$H39*EF!$H57)*NtoN2O*kgtoGg)</f>
        <v>0.60130464628072355</v>
      </c>
      <c r="I39" s="28">
        <f>IF(('Activity data'!I8*EF!$H39*EF!$H57)*NtoN2O*kgtoGg=0,"NO",('Activity data'!I8*EF!$H39*EF!$H57)*NtoN2O*kgtoGg)</f>
        <v>0.57535110604783257</v>
      </c>
      <c r="J39" s="28">
        <f>IF(('Activity data'!J8*EF!$H39*EF!$H57)*NtoN2O*kgtoGg=0,"NO",('Activity data'!J8*EF!$H39*EF!$H57)*NtoN2O*kgtoGg)</f>
        <v>0.57514205938404817</v>
      </c>
      <c r="K39" s="28">
        <f>IF(('Activity data'!K8*EF!$H39*EF!$H57)*NtoN2O*kgtoGg=0,"NO",('Activity data'!K8*EF!$H39*EF!$H57)*NtoN2O*kgtoGg)</f>
        <v>0.53806582535232794</v>
      </c>
      <c r="L39" s="28">
        <f>IF(('Activity data'!L8*EF!$H39*EF!$H57)*NtoN2O*kgtoGg=0,"NO",('Activity data'!L8*EF!$H39*EF!$H57)*NtoN2O*kgtoGg)</f>
        <v>0.55428678799788489</v>
      </c>
      <c r="M39" s="28">
        <f>IF(('Activity data'!M8*EF!$H39*EF!$H57)*NtoN2O*kgtoGg=0,"NO",('Activity data'!M8*EF!$H39*EF!$H57)*NtoN2O*kgtoGg)</f>
        <v>0.56688956745844588</v>
      </c>
      <c r="N39" s="28">
        <f>IF(('Activity data'!N8*EF!$H39*EF!$H57)*NtoN2O*kgtoGg=0,"NO",('Activity data'!N8*EF!$H39*EF!$H57)*NtoN2O*kgtoGg)</f>
        <v>0.59040599405405159</v>
      </c>
      <c r="O39" s="28">
        <f>IF(('Activity data'!O8*EF!$H39*EF!$H57)*NtoN2O*kgtoGg=0,"NO",('Activity data'!O8*EF!$H39*EF!$H57)*NtoN2O*kgtoGg)</f>
        <v>0.61277134091869179</v>
      </c>
      <c r="P39" s="28">
        <f>IF(('Activity data'!P8*EF!$H39*EF!$H57)*NtoN2O*kgtoGg=0,"NO",('Activity data'!P8*EF!$H39*EF!$H57)*NtoN2O*kgtoGg)</f>
        <v>0.6180786564292039</v>
      </c>
      <c r="Q39" s="28">
        <f>IF(('Activity data'!Q8*EF!$H39*EF!$H57)*NtoN2O*kgtoGg=0,"NO",('Activity data'!Q8*EF!$H39*EF!$H57)*NtoN2O*kgtoGg)</f>
        <v>0.60807705254459443</v>
      </c>
      <c r="R39" s="28">
        <f>IF(('Activity data'!R8*EF!$H39*EF!$H57)*NtoN2O*kgtoGg=0,"NO",('Activity data'!R8*EF!$H39*EF!$H57)*NtoN2O*kgtoGg)</f>
        <v>0.56676960819146394</v>
      </c>
      <c r="S39" s="28">
        <f>IF(('Activity data'!S8*EF!$H39*EF!$H57)*NtoN2O*kgtoGg=0,"NO",('Activity data'!S8*EF!$H39*EF!$H57)*NtoN2O*kgtoGg)</f>
        <v>0.56971478460655445</v>
      </c>
      <c r="T39" s="28">
        <f>IF(('Activity data'!T8*EF!$H39*EF!$H57)*NtoN2O*kgtoGg=0,"NO",('Activity data'!T8*EF!$H39*EF!$H57)*NtoN2O*kgtoGg)</f>
        <v>0.53097940806606359</v>
      </c>
      <c r="U39" s="28">
        <f>IF(('Activity data'!U8*EF!$H39*EF!$H57)*NtoN2O*kgtoGg=0,"NO",('Activity data'!U8*EF!$H39*EF!$H57)*NtoN2O*kgtoGg)</f>
        <v>0.54486822143294433</v>
      </c>
      <c r="V39" s="28">
        <f>IF(('Activity data'!V8*EF!$H39*EF!$H57)*NtoN2O*kgtoGg=0,"NO",('Activity data'!V8*EF!$H39*EF!$H57)*NtoN2O*kgtoGg)</f>
        <v>0.54989151573780826</v>
      </c>
      <c r="W39" s="28">
        <f>IF(('Activity data'!W8*EF!$H39*EF!$H57)*NtoN2O*kgtoGg=0,"NO",('Activity data'!W8*EF!$H39*EF!$H57)*NtoN2O*kgtoGg)</f>
        <v>0.55455581429516021</v>
      </c>
      <c r="X39" s="28">
        <f>IF(('Activity data'!X8*EF!$H39*EF!$H57)*NtoN2O*kgtoGg=0,"NO",('Activity data'!X8*EF!$H39*EF!$H57)*NtoN2O*kgtoGg)</f>
        <v>0.54192304501785393</v>
      </c>
      <c r="Y39" s="28">
        <f>IF(('Activity data'!Y8*EF!$H39*EF!$H57)*NtoN2O*kgtoGg=0,"NO",('Activity data'!Y8*EF!$H39*EF!$H57)*NtoN2O*kgtoGg)</f>
        <v>0.55780000682427144</v>
      </c>
      <c r="Z39" s="28">
        <f>IF(('Activity data'!Z8*EF!$H39*EF!$H57)*NtoN2O*kgtoGg=0,"NO",('Activity data'!Z8*EF!$H39*EF!$H57)*NtoN2O*kgtoGg)</f>
        <v>0.54229988029606202</v>
      </c>
      <c r="AA39" s="28">
        <f>IF(('Activity data'!AA8*EF!$H39*EF!$H57)*NtoN2O*kgtoGg=0,"NO",('Activity data'!AA8*EF!$H39*EF!$H57)*NtoN2O*kgtoGg)</f>
        <v>0.53319429569117582</v>
      </c>
      <c r="AB39" s="28">
        <f>IF(('Activity data'!AB8*EF!$H39*EF!$H57)*NtoN2O*kgtoGg=0,"NO",('Activity data'!AB8*EF!$H39*EF!$H57)*NtoN2O*kgtoGg)</f>
        <v>0.53151813690158023</v>
      </c>
      <c r="AC39" s="28">
        <f>IF(('Activity data'!AC8*EF!$H39*EF!$H57)*NtoN2O*kgtoGg=0,"NO",('Activity data'!AC8*EF!$H39*EF!$H57)*NtoN2O*kgtoGg)</f>
        <v>0.52960956438265261</v>
      </c>
      <c r="AD39" s="28">
        <f>IF(('Activity data'!AD8*EF!$H39*EF!$H57)*NtoN2O*kgtoGg=0,"NO",('Activity data'!AD8*EF!$H39*EF!$H57)*NtoN2O*kgtoGg)</f>
        <v>0.52813486661303077</v>
      </c>
      <c r="AE39" s="28">
        <f>IF(('Activity data'!AE8*EF!$H39*EF!$H57)*NtoN2O*kgtoGg=0,"NO",('Activity data'!AE8*EF!$H39*EF!$H57)*NtoN2O*kgtoGg)</f>
        <v>0.52626411861137201</v>
      </c>
      <c r="AF39" s="28">
        <f>IF(('Activity data'!AF8*EF!$H39*EF!$H57)*NtoN2O*kgtoGg=0,"NO",('Activity data'!AF8*EF!$H39*EF!$H57)*NtoN2O*kgtoGg)</f>
        <v>0.5193802761158044</v>
      </c>
      <c r="AG39" s="28">
        <f>IF(('Activity data'!AG8*EF!$H39*EF!$H57)*NtoN2O*kgtoGg=0,"NO",('Activity data'!AG8*EF!$H39*EF!$H57)*NtoN2O*kgtoGg)</f>
        <v>0.50873276569819204</v>
      </c>
      <c r="AH39" s="28">
        <f>IF(('Activity data'!AH8*EF!$H39*EF!$H57)*NtoN2O*kgtoGg=0,"NO",('Activity data'!AH8*EF!$H39*EF!$H57)*NtoN2O*kgtoGg)</f>
        <v>0.49592862968761897</v>
      </c>
      <c r="AI39" s="28">
        <f>IF(('Activity data'!AI8*EF!$H39*EF!$H57)*NtoN2O*kgtoGg=0,"NO",('Activity data'!AI8*EF!$H39*EF!H57)*NtoN2O*kgtoGg)</f>
        <v>0.48519334992329455</v>
      </c>
      <c r="AJ39" s="28">
        <f>IF(('Activity data'!AJ8*EF!$H39*EF!$H57)*NtoN2O*kgtoGg=0,"NO",('Activity data'!AJ8*EF!$H39*EF!I57)*NtoN2O*kgtoGg)</f>
        <v>0.47570376340669057</v>
      </c>
      <c r="AK39" s="28">
        <f>IF(('Activity data'!AK8*EF!$H39*EF!$H57)*NtoN2O*kgtoGg=0,"NO",('Activity data'!AK8*EF!$H39*EF!J57)*NtoN2O*kgtoGg)</f>
        <v>0.4661452732188453</v>
      </c>
      <c r="AL39" s="28">
        <f>IF(('Activity data'!AL8*EF!$H39*EF!$H57)*NtoN2O*kgtoGg=0,"NO",('Activity data'!AL8*EF!$H39*EF!K57)*NtoN2O*kgtoGg)</f>
        <v>0.40635535788750249</v>
      </c>
      <c r="AM39" s="28">
        <f>IF(('Activity data'!AM8*EF!$H39*EF!$H57)*NtoN2O*kgtoGg=0,"NO",('Activity data'!AM8*EF!$H39*EF!L57)*NtoN2O*kgtoGg)</f>
        <v>0.40867820468721433</v>
      </c>
      <c r="AN39" s="28">
        <f>IF(('Activity data'!AN8*EF!$H39*EF!$H57)*NtoN2O*kgtoGg=0,"NO",('Activity data'!AN8*EF!$H39*EF!M57)*NtoN2O*kgtoGg)</f>
        <v>0.41100006200200001</v>
      </c>
      <c r="AO39" s="28">
        <f>IF(('Activity data'!AO8*EF!$H39*EF!$H57)*NtoN2O*kgtoGg=0,"NO",('Activity data'!AO8*EF!$H39*EF!N57)*NtoN2O*kgtoGg)</f>
        <v>0.41430799991821726</v>
      </c>
      <c r="AP39" s="28">
        <f>IF(('Activity data'!AP8*EF!$H39*EF!$H57)*NtoN2O*kgtoGg=0,"NO",('Activity data'!AP8*EF!$H39*EF!O57)*NtoN2O*kgtoGg)</f>
        <v>0.41818142900832311</v>
      </c>
      <c r="AQ39" s="28">
        <f>IF(('Activity data'!AQ8*EF!$H39*EF!$H57)*NtoN2O*kgtoGg=0,"NO",('Activity data'!AQ8*EF!$H39*EF!P57)*NtoN2O*kgtoGg)</f>
        <v>0.42172467560158977</v>
      </c>
      <c r="AR39" s="28">
        <f>IF(('Activity data'!AR8*EF!$H39*EF!$H57)*NtoN2O*kgtoGg=0,"NO",('Activity data'!AR8*EF!$H39*EF!Q57)*NtoN2O*kgtoGg)</f>
        <v>0.42675732674114564</v>
      </c>
      <c r="AS39" s="28">
        <f>IF(('Activity data'!AS8*EF!$H39*EF!$H57)*NtoN2O*kgtoGg=0,"NO",('Activity data'!AS8*EF!$H39*EF!R57)*NtoN2O*kgtoGg)</f>
        <v>0.43201168283429903</v>
      </c>
      <c r="AT39" s="28">
        <f>IF(('Activity data'!AT8*EF!$H39*EF!$H57)*NtoN2O*kgtoGg=0,"NO",('Activity data'!AT8*EF!$H39*EF!S57)*NtoN2O*kgtoGg)</f>
        <v>0.43770908013056897</v>
      </c>
      <c r="AU39" s="28">
        <f>IF(('Activity data'!AU8*EF!$H39*EF!$H57)*NtoN2O*kgtoGg=0,"NO",('Activity data'!AU8*EF!$H39*EF!T57)*NtoN2O*kgtoGg)</f>
        <v>0.44356510944005123</v>
      </c>
      <c r="AV39" s="28">
        <f>IF(('Activity data'!AV8*EF!$H39*EF!$H57)*NtoN2O*kgtoGg=0,"NO",('Activity data'!AV8*EF!$H39*EF!U57)*NtoN2O*kgtoGg)</f>
        <v>0.44707286343187891</v>
      </c>
      <c r="AW39" s="28">
        <f>IF(('Activity data'!AW8*EF!$H39*EF!$H57)*NtoN2O*kgtoGg=0,"NO",('Activity data'!AW8*EF!$H39*EF!V57)*NtoN2O*kgtoGg)</f>
        <v>0.44945817389051829</v>
      </c>
      <c r="AX39" s="28">
        <f>IF(('Activity data'!AX8*EF!$H39*EF!$H57)*NtoN2O*kgtoGg=0,"NO",('Activity data'!AX8*EF!$H39*EF!W57)*NtoN2O*kgtoGg)</f>
        <v>0.45167111147964628</v>
      </c>
      <c r="AY39" s="28">
        <f>IF(('Activity data'!AY8*EF!$H39*EF!$H57)*NtoN2O*kgtoGg=0,"NO",('Activity data'!AY8*EF!$H39*EF!X57)*NtoN2O*kgtoGg)</f>
        <v>0.45378644169699467</v>
      </c>
      <c r="AZ39" s="28">
        <f>IF(('Activity data'!AZ8*EF!$H39*EF!$H57)*NtoN2O*kgtoGg=0,"NO",('Activity data'!AZ8*EF!$H39*EF!Y57)*NtoN2O*kgtoGg)</f>
        <v>0.4548746778573684</v>
      </c>
      <c r="BA39" s="28">
        <f>IF(('Activity data'!BA8*EF!$H39*EF!$H57)*NtoN2O*kgtoGg=0,"NO",('Activity data'!BA8*EF!$H39*EF!Z57)*NtoN2O*kgtoGg)</f>
        <v>0.45623491167239044</v>
      </c>
      <c r="BB39" s="28">
        <f>IF(('Activity data'!BB8*EF!$H39*EF!$H57)*NtoN2O*kgtoGg=0,"NO",('Activity data'!BB8*EF!$H39*EF!AA57)*NtoN2O*kgtoGg)</f>
        <v>0.4578397577217595</v>
      </c>
      <c r="BC39" s="28">
        <f>IF(('Activity data'!BC8*EF!$H39*EF!$H57)*NtoN2O*kgtoGg=0,"NO",('Activity data'!BC8*EF!$H39*EF!AB57)*NtoN2O*kgtoGg)</f>
        <v>0.45941618478613278</v>
      </c>
      <c r="BD39" s="28">
        <f>IF(('Activity data'!BD8*EF!$H39*EF!$H57)*NtoN2O*kgtoGg=0,"NO",('Activity data'!BD8*EF!$H39*EF!AC57)*NtoN2O*kgtoGg)</f>
        <v>0.46033903746179411</v>
      </c>
      <c r="BE39" s="28">
        <f>IF(('Activity data'!BE8*EF!$H39*EF!$H57)*NtoN2O*kgtoGg=0,"NO",('Activity data'!BE8*EF!$H39*EF!AD57)*NtoN2O*kgtoGg)</f>
        <v>0.46121820242875866</v>
      </c>
      <c r="BF39" s="28">
        <f>IF(('Activity data'!BF8*EF!$H39*EF!$H57)*NtoN2O*kgtoGg=0,"NO",('Activity data'!BF8*EF!$H39*EF!AE57)*NtoN2O*kgtoGg)</f>
        <v>0.46237578565002913</v>
      </c>
      <c r="BG39" s="28">
        <f>IF(('Activity data'!BG8*EF!$H39*EF!$H57)*NtoN2O*kgtoGg=0,"NO",('Activity data'!BG8*EF!$H39*EF!AF57)*NtoN2O*kgtoGg)</f>
        <v>0.46596953275772757</v>
      </c>
      <c r="BH39" s="28">
        <f>IF(('Activity data'!BH8*EF!$H39*EF!$H57)*NtoN2O*kgtoGg=0,"NO",('Activity data'!BH8*EF!$H39*EF!AG57)*NtoN2O*kgtoGg)</f>
        <v>0.46966010279904508</v>
      </c>
      <c r="BI39" s="28">
        <f>IF(('Activity data'!BI8*EF!$H39*EF!$H57)*NtoN2O*kgtoGg=0,"NO",('Activity data'!BI8*EF!$H39*EF!AH57)*NtoN2O*kgtoGg)</f>
        <v>0.47344365758755957</v>
      </c>
      <c r="BJ39" s="28">
        <f>IF(('Activity data'!BJ8*EF!$H39*EF!$H57)*NtoN2O*kgtoGg=0,"NO",('Activity data'!BJ8*EF!$H39*EF!AI57)*NtoN2O*kgtoGg)</f>
        <v>0.47729732864848812</v>
      </c>
      <c r="BK39" s="28">
        <f>IF(('Activity data'!BK8*EF!$H39*EF!$H57)*NtoN2O*kgtoGg=0,"NO",('Activity data'!BK8*EF!$H39*EF!AJ57)*NtoN2O*kgtoGg)</f>
        <v>0.4813200270704151</v>
      </c>
      <c r="BL39" s="28">
        <f>IF(('Activity data'!BL8*EF!$H39*EF!$H57)*NtoN2O*kgtoGg=0,"NO",('Activity data'!BL8*EF!$H39*EF!AK57)*NtoN2O*kgtoGg)</f>
        <v>0.48397853681097608</v>
      </c>
      <c r="BM39" s="28">
        <f>IF(('Activity data'!BM8*EF!$H39*EF!$H57)*NtoN2O*kgtoGg=0,"NO",('Activity data'!BM8*EF!$H39*EF!AL57)*NtoN2O*kgtoGg)</f>
        <v>0.48674456620831236</v>
      </c>
      <c r="BN39" s="28">
        <f>IF(('Activity data'!BN8*EF!$H39*EF!$H57)*NtoN2O*kgtoGg=0,"NO",('Activity data'!BN8*EF!$H39*EF!AM57)*NtoN2O*kgtoGg)</f>
        <v>0.48969768633168731</v>
      </c>
      <c r="BO39" s="28">
        <f>IF(('Activity data'!BO8*EF!$H39*EF!$H57)*NtoN2O*kgtoGg=0,"NO",('Activity data'!BO8*EF!$H39*EF!AN57)*NtoN2O*kgtoGg)</f>
        <v>0.49285802365431736</v>
      </c>
      <c r="BP39" s="28">
        <f>IF(('Activity data'!BP8*EF!$H39*EF!$H57)*NtoN2O*kgtoGg=0,"NO",('Activity data'!BP8*EF!$H39*EF!AO57)*NtoN2O*kgtoGg)</f>
        <v>0.49651150039907122</v>
      </c>
    </row>
    <row r="40" spans="1:68" x14ac:dyDescent="0.25">
      <c r="A40" t="str">
        <f t="shared" si="1"/>
        <v>3A Livestock</v>
      </c>
      <c r="B40" t="str">
        <f t="shared" si="11"/>
        <v>3A2 Manure management (N2O)</v>
      </c>
      <c r="C40" t="str">
        <f>EF!C58</f>
        <v>3A1aii Other cattle</v>
      </c>
      <c r="D40" t="str">
        <f>EF!D58</f>
        <v>Subsistence</v>
      </c>
      <c r="E40" t="str">
        <f t="shared" si="9"/>
        <v>Manure management Emissions</v>
      </c>
      <c r="F40" t="s">
        <v>139</v>
      </c>
      <c r="G40" t="str">
        <f t="shared" si="10"/>
        <v>Gg N2O</v>
      </c>
      <c r="H40" s="28">
        <f>IF(('Activity data'!H9*EF!$H40*EF!$H58)*NtoN2O*kgtoGg=0,"NO",('Activity data'!H9*EF!$H40*EF!$H58)*NtoN2O*kgtoGg)</f>
        <v>0.69929058547122203</v>
      </c>
      <c r="I40" s="28">
        <f>IF(('Activity data'!I9*EF!$H40*EF!$H58)*NtoN2O*kgtoGg=0,"NO",('Activity data'!I9*EF!$H40*EF!$H58)*NtoN2O*kgtoGg)</f>
        <v>0.7419488346938673</v>
      </c>
      <c r="J40" s="28">
        <f>IF(('Activity data'!J9*EF!$H40*EF!$H58)*NtoN2O*kgtoGg=0,"NO",('Activity data'!J9*EF!$H40*EF!$H58)*NtoN2O*kgtoGg)</f>
        <v>0.77698953941246884</v>
      </c>
      <c r="K40" s="28">
        <f>IF(('Activity data'!K9*EF!$H40*EF!$H58)*NtoN2O*kgtoGg=0,"NO",('Activity data'!K9*EF!$H40*EF!$H58)*NtoN2O*kgtoGg)</f>
        <v>0.76784848600761624</v>
      </c>
      <c r="L40" s="28">
        <f>IF(('Activity data'!L9*EF!$H40*EF!$H58)*NtoN2O*kgtoGg=0,"NO",('Activity data'!L9*EF!$H40*EF!$H58)*NtoN2O*kgtoGg)</f>
        <v>0.66882040745504678</v>
      </c>
      <c r="M40" s="28">
        <f>IF(('Activity data'!M9*EF!$H40*EF!$H58)*NtoN2O*kgtoGg=0,"NO",('Activity data'!M9*EF!$H40*EF!$H58)*NtoN2O*kgtoGg)</f>
        <v>0.64596777394291538</v>
      </c>
      <c r="N40" s="28">
        <f>IF(('Activity data'!N9*EF!$H40*EF!$H58)*NtoN2O*kgtoGg=0,"NO",('Activity data'!N9*EF!$H40*EF!$H58)*NtoN2O*kgtoGg)</f>
        <v>0.66424988075262037</v>
      </c>
      <c r="O40" s="28">
        <f>IF(('Activity data'!O9*EF!$H40*EF!$H58)*NtoN2O*kgtoGg=0,"NO",('Activity data'!O9*EF!$H40*EF!$H58)*NtoN2O*kgtoGg)</f>
        <v>0.69472005876879561</v>
      </c>
      <c r="P40" s="28">
        <f>IF(('Activity data'!P9*EF!$H40*EF!$H58)*NtoN2O*kgtoGg=0,"NO",('Activity data'!P9*EF!$H40*EF!$H58)*NtoN2O*kgtoGg)</f>
        <v>0.73737830799144111</v>
      </c>
      <c r="Q40" s="28">
        <f>IF(('Activity data'!Q9*EF!$H40*EF!$H58)*NtoN2O*kgtoGg=0,"NO",('Activity data'!Q9*EF!$H40*EF!$H58)*NtoN2O*kgtoGg)</f>
        <v>0.76784848600761624</v>
      </c>
      <c r="R40" s="28">
        <f>IF(('Activity data'!R9*EF!$H40*EF!$H58)*NtoN2O*kgtoGg=0,"NO",('Activity data'!R9*EF!$H40*EF!$H58)*NtoN2O*kgtoGg)</f>
        <v>0.74956637919791114</v>
      </c>
      <c r="S40" s="28">
        <f>IF(('Activity data'!S9*EF!$H40*EF!$H58)*NtoN2O*kgtoGg=0,"NO",('Activity data'!S9*EF!$H40*EF!$H58)*NtoN2O*kgtoGg)</f>
        <v>0.73128427238820592</v>
      </c>
      <c r="T40" s="28">
        <f>IF(('Activity data'!T9*EF!$H40*EF!$H58)*NtoN2O*kgtoGg=0,"NO",('Activity data'!T9*EF!$H40*EF!$H58)*NtoN2O*kgtoGg)</f>
        <v>0.82878884203996683</v>
      </c>
      <c r="U40" s="28">
        <f>IF(('Activity data'!U9*EF!$H40*EF!$H58)*NtoN2O*kgtoGg=0,"NO",('Activity data'!U9*EF!$H40*EF!$H58)*NtoN2O*kgtoGg)</f>
        <v>0.84859445775048059</v>
      </c>
      <c r="V40" s="28">
        <f>IF(('Activity data'!V9*EF!$H40*EF!$H58)*NtoN2O*kgtoGg=0,"NO",('Activity data'!V9*EF!$H40*EF!$H58)*NtoN2O*kgtoGg)</f>
        <v>0.83488287764320168</v>
      </c>
      <c r="W40" s="28">
        <f>IF(('Activity data'!W9*EF!$H40*EF!$H58)*NtoN2O*kgtoGg=0,"NO",('Activity data'!W9*EF!$H40*EF!$H58)*NtoN2O*kgtoGg)</f>
        <v>0.81050673523026162</v>
      </c>
      <c r="X40" s="28">
        <f>IF(('Activity data'!X9*EF!$H40*EF!$H58)*NtoN2O*kgtoGg=0,"NO",('Activity data'!X9*EF!$H40*EF!$H58)*NtoN2O*kgtoGg)</f>
        <v>0.83640638654401056</v>
      </c>
      <c r="Y40" s="28">
        <f>IF(('Activity data'!Y9*EF!$H40*EF!$H58)*NtoN2O*kgtoGg=0,"NO",('Activity data'!Y9*EF!$H40*EF!$H58)*NtoN2O*kgtoGg)</f>
        <v>0.86992358236180345</v>
      </c>
      <c r="Z40" s="28">
        <f>IF(('Activity data'!Z9*EF!$H40*EF!$H58)*NtoN2O*kgtoGg=0,"NO",('Activity data'!Z9*EF!$H40*EF!$H58)*NtoN2O*kgtoGg)</f>
        <v>0.85621200225452454</v>
      </c>
      <c r="AA40" s="28">
        <f>IF(('Activity data'!AA9*EF!$H40*EF!$H58)*NtoN2O*kgtoGg=0,"NO",('Activity data'!AA9*EF!$H40*EF!$H58)*NtoN2O*kgtoGg)</f>
        <v>0.84707094884967205</v>
      </c>
      <c r="AB40" s="28">
        <f>IF(('Activity data'!AB9*EF!$H40*EF!$H58)*NtoN2O*kgtoGg=0,"NO",('Activity data'!AB9*EF!$H40*EF!$H58)*NtoN2O*kgtoGg)</f>
        <v>0.83488287764320168</v>
      </c>
      <c r="AC40" s="28">
        <f>IF(('Activity data'!AC9*EF!$H40*EF!$H58)*NtoN2O*kgtoGg=0,"NO",('Activity data'!AC9*EF!$H40*EF!$H58)*NtoN2O*kgtoGg)</f>
        <v>0.84097691324643697</v>
      </c>
      <c r="AD40" s="28">
        <f>IF(('Activity data'!AD9*EF!$H40*EF!$H58)*NtoN2O*kgtoGg=0,"NO",('Activity data'!AD9*EF!$H40*EF!$H58)*NtoN2O*kgtoGg)</f>
        <v>0.80894115187650661</v>
      </c>
      <c r="AE40" s="28">
        <f>IF(('Activity data'!AE9*EF!$H40*EF!$H58)*NtoN2O*kgtoGg=0,"NO",('Activity data'!AE9*EF!$H40*EF!$H58)*NtoN2O*kgtoGg)</f>
        <v>0.80607573787148634</v>
      </c>
      <c r="AF40" s="28">
        <f>IF(('Activity data'!AF9*EF!$H40*EF!$H58)*NtoN2O*kgtoGg=0,"NO",('Activity data'!AF9*EF!$H40*EF!$H58)*NtoN2O*kgtoGg)</f>
        <v>0.79553179572766808</v>
      </c>
      <c r="AG40" s="28">
        <f>IF(('Activity data'!AG9*EF!$H40*EF!$H58)*NtoN2O*kgtoGg=0,"NO",('Activity data'!AG9*EF!$H40*EF!$H58)*NtoN2O*kgtoGg)</f>
        <v>0.77922306497281812</v>
      </c>
      <c r="AH40" s="28">
        <f>IF(('Activity data'!AH9*EF!$H40*EF!$H58)*NtoN2O*kgtoGg=0,"NO",('Activity data'!AH9*EF!$H40*EF!$H58)*NtoN2O*kgtoGg)</f>
        <v>0.75961104314286088</v>
      </c>
      <c r="AI40" s="28">
        <f>IF(('Activity data'!AI9*EF!$H40*EF!H58)*NtoN2O*kgtoGg=0,"NO",('Activity data'!AI9*EF!$H40*EF!H58)*NtoN2O*kgtoGg)</f>
        <v>0.74316787658208894</v>
      </c>
      <c r="AJ40" s="28">
        <f>IF(('Activity data'!AJ9*EF!$H40*EF!I58)*NtoN2O*kgtoGg=0,"NO",('Activity data'!AJ9*EF!$H40*EF!I58)*NtoN2O*kgtoGg)</f>
        <v>0.72863273123786365</v>
      </c>
      <c r="AK40" s="28">
        <f>IF(('Activity data'!AK9*EF!$H40*EF!J58)*NtoN2O*kgtoGg=0,"NO",('Activity data'!AK9*EF!$H40*EF!J58)*NtoN2O*kgtoGg)</f>
        <v>0.71399204653483828</v>
      </c>
      <c r="AL40" s="28">
        <f>IF(('Activity data'!AL9*EF!$H40*EF!K58)*NtoN2O*kgtoGg=0,"NO",('Activity data'!AL9*EF!$H40*EF!K58)*NtoN2O*kgtoGg)</f>
        <v>0.62241217548994099</v>
      </c>
      <c r="AM40" s="28">
        <f>IF(('Activity data'!AM9*EF!$H40*EF!L58)*NtoN2O*kgtoGg=0,"NO",('Activity data'!AM9*EF!$H40*EF!L58)*NtoN2O*kgtoGg)</f>
        <v>0.62597006663589394</v>
      </c>
      <c r="AN40" s="28">
        <f>IF(('Activity data'!AN9*EF!$H40*EF!M58)*NtoN2O*kgtoGg=0,"NO",('Activity data'!AN9*EF!$H40*EF!M58)*NtoN2O*kgtoGg)</f>
        <v>0.62952644219345</v>
      </c>
      <c r="AO40" s="28">
        <f>IF(('Activity data'!AO9*EF!$H40*EF!N58)*NtoN2O*kgtoGg=0,"NO",('Activity data'!AO9*EF!$H40*EF!N58)*NtoN2O*kgtoGg)</f>
        <v>0.6345931917633878</v>
      </c>
      <c r="AP40" s="28">
        <f>IF(('Activity data'!AP9*EF!$H40*EF!O58)*NtoN2O*kgtoGg=0,"NO",('Activity data'!AP9*EF!$H40*EF!O58)*NtoN2O*kgtoGg)</f>
        <v>0.6405261009272093</v>
      </c>
      <c r="AQ40" s="28">
        <f>IF(('Activity data'!AQ9*EF!$H40*EF!P58)*NtoN2O*kgtoGg=0,"NO",('Activity data'!AQ9*EF!$H40*EF!P58)*NtoN2O*kgtoGg)</f>
        <v>0.64595327145075632</v>
      </c>
      <c r="AR40" s="28">
        <f>IF(('Activity data'!AR9*EF!$H40*EF!Q58)*NtoN2O*kgtoGg=0,"NO",('Activity data'!AR9*EF!$H40*EF!Q58)*NtoN2O*kgtoGg)</f>
        <v>0.65366175439173935</v>
      </c>
      <c r="AS40" s="28">
        <f>IF(('Activity data'!AS9*EF!$H40*EF!R58)*NtoN2O*kgtoGg=0,"NO",('Activity data'!AS9*EF!$H40*EF!R58)*NtoN2O*kgtoGg)</f>
        <v>0.66170982154099534</v>
      </c>
      <c r="AT40" s="28">
        <f>IF(('Activity data'!AT9*EF!$H40*EF!S58)*NtoN2O*kgtoGg=0,"NO",('Activity data'!AT9*EF!$H40*EF!S58)*NtoN2O*kgtoGg)</f>
        <v>0.67043649236486957</v>
      </c>
      <c r="AU40" s="28">
        <f>IF(('Activity data'!AU9*EF!$H40*EF!T58)*NtoN2O*kgtoGg=0,"NO",('Activity data'!AU9*EF!$H40*EF!T58)*NtoN2O*kgtoGg)</f>
        <v>0.67940613893529012</v>
      </c>
      <c r="AV40" s="28">
        <f>IF(('Activity data'!AV9*EF!$H40*EF!U58)*NtoN2O*kgtoGg=0,"NO",('Activity data'!AV9*EF!$H40*EF!U58)*NtoN2O*kgtoGg)</f>
        <v>0.68477894564439101</v>
      </c>
      <c r="AW40" s="28">
        <f>IF(('Activity data'!AW9*EF!$H40*EF!V58)*NtoN2O*kgtoGg=0,"NO",('Activity data'!AW9*EF!$H40*EF!V58)*NtoN2O*kgtoGg)</f>
        <v>0.68843251201914901</v>
      </c>
      <c r="AX40" s="28">
        <f>IF(('Activity data'!AX9*EF!$H40*EF!W58)*NtoN2O*kgtoGg=0,"NO",('Activity data'!AX9*EF!$H40*EF!W58)*NtoN2O*kgtoGg)</f>
        <v>0.69182205585642753</v>
      </c>
      <c r="AY40" s="28">
        <f>IF(('Activity data'!AY9*EF!$H40*EF!X58)*NtoN2O*kgtoGg=0,"NO",('Activity data'!AY9*EF!$H40*EF!X58)*NtoN2O*kgtoGg)</f>
        <v>0.69506209504110572</v>
      </c>
      <c r="AZ40" s="28">
        <f>IF(('Activity data'!AZ9*EF!$H40*EF!Y58)*NtoN2O*kgtoGg=0,"NO",('Activity data'!AZ9*EF!$H40*EF!Y58)*NtoN2O*kgtoGg)</f>
        <v>0.69672894013832842</v>
      </c>
      <c r="BA40" s="28">
        <f>IF(('Activity data'!BA9*EF!$H40*EF!Z58)*NtoN2O*kgtoGg=0,"NO",('Activity data'!BA9*EF!$H40*EF!Z58)*NtoN2O*kgtoGg)</f>
        <v>0.69881240248612231</v>
      </c>
      <c r="BB40" s="28">
        <f>IF(('Activity data'!BB9*EF!$H40*EF!AA58)*NtoN2O*kgtoGg=0,"NO",('Activity data'!BB9*EF!$H40*EF!AA58)*NtoN2O*kgtoGg)</f>
        <v>0.7012705359929795</v>
      </c>
      <c r="BC40" s="28">
        <f>IF(('Activity data'!BC9*EF!$H40*EF!AB58)*NtoN2O*kgtoGg=0,"NO",('Activity data'!BC9*EF!$H40*EF!AB58)*NtoN2O*kgtoGg)</f>
        <v>0.70368514030320339</v>
      </c>
      <c r="BD40" s="28">
        <f>IF(('Activity data'!BD9*EF!$H40*EF!AC58)*NtoN2O*kgtoGg=0,"NO",('Activity data'!BD9*EF!$H40*EF!AC58)*NtoN2O*kgtoGg)</f>
        <v>0.70509866846363234</v>
      </c>
      <c r="BE40" s="28">
        <f>IF(('Activity data'!BE9*EF!$H40*EF!AD58)*NtoN2O*kgtoGg=0,"NO",('Activity data'!BE9*EF!$H40*EF!AD58)*NtoN2O*kgtoGg)</f>
        <v>0.70644528041074117</v>
      </c>
      <c r="BF40" s="28">
        <f>IF(('Activity data'!BF9*EF!$H40*EF!AE58)*NtoN2O*kgtoGg=0,"NO",('Activity data'!BF9*EF!$H40*EF!AE58)*NtoN2O*kgtoGg)</f>
        <v>0.70821834400416106</v>
      </c>
      <c r="BG40" s="28">
        <f>IF(('Activity data'!BG9*EF!$H40*EF!AF58)*NtoN2O*kgtoGg=0,"NO",('Activity data'!BG9*EF!$H40*EF!AF58)*NtoN2O*kgtoGg)</f>
        <v>0.71372286587657263</v>
      </c>
      <c r="BH40" s="28">
        <f>IF(('Activity data'!BH9*EF!$H40*EF!AG58)*NtoN2O*kgtoGg=0,"NO",('Activity data'!BH9*EF!$H40*EF!AG58)*NtoN2O*kgtoGg)</f>
        <v>0.71937569088214426</v>
      </c>
      <c r="BI40" s="28">
        <f>IF(('Activity data'!BI9*EF!$H40*EF!AH58)*NtoN2O*kgtoGg=0,"NO",('Activity data'!BI9*EF!$H40*EF!AH58)*NtoN2O*kgtoGg)</f>
        <v>0.72517094009270477</v>
      </c>
      <c r="BJ40" s="28">
        <f>IF(('Activity data'!BJ9*EF!$H40*EF!AI58)*NtoN2O*kgtoGg=0,"NO",('Activity data'!BJ9*EF!$H40*EF!AI58)*NtoN2O*kgtoGg)</f>
        <v>0.73107358599634054</v>
      </c>
      <c r="BK40" s="28">
        <f>IF(('Activity data'!BK9*EF!$H40*EF!AJ58)*NtoN2O*kgtoGg=0,"NO",('Activity data'!BK9*EF!$H40*EF!AJ58)*NtoN2O*kgtoGg)</f>
        <v>0.73723513014121866</v>
      </c>
      <c r="BL40" s="28">
        <f>IF(('Activity data'!BL9*EF!$H40*EF!AK58)*NtoN2O*kgtoGg=0,"NO",('Activity data'!BL9*EF!$H40*EF!AK58)*NtoN2O*kgtoGg)</f>
        <v>0.74130715429216354</v>
      </c>
      <c r="BM40" s="28">
        <f>IF(('Activity data'!BM9*EF!$H40*EF!AL58)*NtoN2O*kgtoGg=0,"NO",('Activity data'!BM9*EF!$H40*EF!AL58)*NtoN2O*kgtoGg)</f>
        <v>0.74554386568589337</v>
      </c>
      <c r="BN40" s="28">
        <f>IF(('Activity data'!BN9*EF!$H40*EF!AM58)*NtoN2O*kgtoGg=0,"NO",('Activity data'!BN9*EF!$H40*EF!AM58)*NtoN2O*kgtoGg)</f>
        <v>0.7500671428736938</v>
      </c>
      <c r="BO40" s="28">
        <f>IF(('Activity data'!BO9*EF!$H40*EF!AN58)*NtoN2O*kgtoGg=0,"NO",('Activity data'!BO9*EF!$H40*EF!AN58)*NtoN2O*kgtoGg)</f>
        <v>0.7549078134593753</v>
      </c>
      <c r="BP40" s="28">
        <f>IF(('Activity data'!BP9*EF!$H40*EF!AO58)*NtoN2O*kgtoGg=0,"NO",('Activity data'!BP9*EF!$H40*EF!AO58)*NtoN2O*kgtoGg)</f>
        <v>0.76050382287494145</v>
      </c>
    </row>
    <row r="41" spans="1:68" x14ac:dyDescent="0.25">
      <c r="A41" t="str">
        <f t="shared" si="1"/>
        <v>3A Livestock</v>
      </c>
      <c r="B41" t="str">
        <f t="shared" si="11"/>
        <v>3A2 Manure management (N2O)</v>
      </c>
      <c r="C41" t="str">
        <f>EF!C59</f>
        <v>3A1aii Other cattle</v>
      </c>
      <c r="D41" t="str">
        <f>EF!D59</f>
        <v>Feedlot</v>
      </c>
      <c r="E41" t="str">
        <f t="shared" si="9"/>
        <v>Manure management Emissions</v>
      </c>
      <c r="F41" t="s">
        <v>139</v>
      </c>
      <c r="G41" t="str">
        <f t="shared" si="10"/>
        <v>Gg N2O</v>
      </c>
      <c r="H41" s="28">
        <f>IF(('Activity data'!H10*EF!$H41*EF!$H59)*NtoN2O*kgtoGg=0,"NO",('Activity data'!H10*EF!$H41*EF!$H59)*NtoN2O*kgtoGg)</f>
        <v>0.75959383499999988</v>
      </c>
      <c r="I41" s="28">
        <f>IF(('Activity data'!I10*EF!$H41*EF!$H59)*NtoN2O*kgtoGg=0,"NO",('Activity data'!I10*EF!$H41*EF!$H59)*NtoN2O*kgtoGg)</f>
        <v>0.75959383499999988</v>
      </c>
      <c r="J41" s="28">
        <f>IF(('Activity data'!J10*EF!$H41*EF!$H59)*NtoN2O*kgtoGg=0,"NO",('Activity data'!J10*EF!$H41*EF!$H59)*NtoN2O*kgtoGg)</f>
        <v>0.75959383499999988</v>
      </c>
      <c r="K41" s="28">
        <f>IF(('Activity data'!K10*EF!$H41*EF!$H59)*NtoN2O*kgtoGg=0,"NO",('Activity data'!K10*EF!$H41*EF!$H59)*NtoN2O*kgtoGg)</f>
        <v>0.75959383499999988</v>
      </c>
      <c r="L41" s="28">
        <f>IF(('Activity data'!L10*EF!$H41*EF!$H59)*NtoN2O*kgtoGg=0,"NO",('Activity data'!L10*EF!$H41*EF!$H59)*NtoN2O*kgtoGg)</f>
        <v>0.75959383499999988</v>
      </c>
      <c r="M41" s="28">
        <f>IF(('Activity data'!M10*EF!$H41*EF!$H59)*NtoN2O*kgtoGg=0,"NO",('Activity data'!M10*EF!$H41*EF!$H59)*NtoN2O*kgtoGg)</f>
        <v>0.75959383499999988</v>
      </c>
      <c r="N41" s="28">
        <f>IF(('Activity data'!N10*EF!$H41*EF!$H59)*NtoN2O*kgtoGg=0,"NO",('Activity data'!N10*EF!$H41*EF!$H59)*NtoN2O*kgtoGg)</f>
        <v>0.75959383499999988</v>
      </c>
      <c r="O41" s="28">
        <f>IF(('Activity data'!O10*EF!$H41*EF!$H59)*NtoN2O*kgtoGg=0,"NO",('Activity data'!O10*EF!$H41*EF!$H59)*NtoN2O*kgtoGg)</f>
        <v>0.75959383499999988</v>
      </c>
      <c r="P41" s="28">
        <f>IF(('Activity data'!P10*EF!$H41*EF!$H59)*NtoN2O*kgtoGg=0,"NO",('Activity data'!P10*EF!$H41*EF!$H59)*NtoN2O*kgtoGg)</f>
        <v>0.75959383499999988</v>
      </c>
      <c r="Q41" s="28">
        <f>IF(('Activity data'!Q10*EF!$H41*EF!$H59)*NtoN2O*kgtoGg=0,"NO",('Activity data'!Q10*EF!$H41*EF!$H59)*NtoN2O*kgtoGg)</f>
        <v>0.75959383499999988</v>
      </c>
      <c r="R41" s="28">
        <f>IF(('Activity data'!R10*EF!$H41*EF!$H59)*NtoN2O*kgtoGg=0,"NO",('Activity data'!R10*EF!$H41*EF!$H59)*NtoN2O*kgtoGg)</f>
        <v>0.75959383499999988</v>
      </c>
      <c r="S41" s="28">
        <f>IF(('Activity data'!S10*EF!$H41*EF!$H59)*NtoN2O*kgtoGg=0,"NO",('Activity data'!S10*EF!$H41*EF!$H59)*NtoN2O*kgtoGg)</f>
        <v>0.75959383499999988</v>
      </c>
      <c r="T41" s="28">
        <f>IF(('Activity data'!T10*EF!$H41*EF!$H59)*NtoN2O*kgtoGg=0,"NO",('Activity data'!T10*EF!$H41*EF!$H59)*NtoN2O*kgtoGg)</f>
        <v>0.75959383499999988</v>
      </c>
      <c r="U41" s="28">
        <f>IF(('Activity data'!U10*EF!$H41*EF!$H59)*NtoN2O*kgtoGg=0,"NO",('Activity data'!U10*EF!$H41*EF!$H59)*NtoN2O*kgtoGg)</f>
        <v>0.75959383499999988</v>
      </c>
      <c r="V41" s="28">
        <f>IF(('Activity data'!V10*EF!$H41*EF!$H59)*NtoN2O*kgtoGg=0,"NO",('Activity data'!V10*EF!$H41*EF!$H59)*NtoN2O*kgtoGg)</f>
        <v>0.75959383499999988</v>
      </c>
      <c r="W41" s="28">
        <f>IF(('Activity data'!W10*EF!$H41*EF!$H59)*NtoN2O*kgtoGg=0,"NO",('Activity data'!W10*EF!$H41*EF!$H59)*NtoN2O*kgtoGg)</f>
        <v>0.75959383499999988</v>
      </c>
      <c r="X41" s="28">
        <f>IF(('Activity data'!X10*EF!$H41*EF!$H59)*NtoN2O*kgtoGg=0,"NO",('Activity data'!X10*EF!$H41*EF!$H59)*NtoN2O*kgtoGg)</f>
        <v>0.75959383499999988</v>
      </c>
      <c r="Y41" s="28">
        <f>IF(('Activity data'!Y10*EF!$H41*EF!$H59)*NtoN2O*kgtoGg=0,"NO",('Activity data'!Y10*EF!$H41*EF!$H59)*NtoN2O*kgtoGg)</f>
        <v>0.75959383499999988</v>
      </c>
      <c r="Z41" s="28">
        <f>IF(('Activity data'!Z10*EF!$H41*EF!$H59)*NtoN2O*kgtoGg=0,"NO",('Activity data'!Z10*EF!$H41*EF!$H59)*NtoN2O*kgtoGg)</f>
        <v>0.70741290350981256</v>
      </c>
      <c r="AA41" s="28">
        <f>IF(('Activity data'!AA10*EF!$H41*EF!$H59)*NtoN2O*kgtoGg=0,"NO",('Activity data'!AA10*EF!$H41*EF!$H59)*NtoN2O*kgtoGg)</f>
        <v>0.72490466154356248</v>
      </c>
      <c r="AB41" s="28">
        <f>IF(('Activity data'!AB10*EF!$H41*EF!$H59)*NtoN2O*kgtoGg=0,"NO",('Activity data'!AB10*EF!$H41*EF!$H59)*NtoN2O*kgtoGg)</f>
        <v>0.72310137975074984</v>
      </c>
      <c r="AC41" s="28">
        <f>IF(('Activity data'!AC10*EF!$H41*EF!$H59)*NtoN2O*kgtoGg=0,"NO",('Activity data'!AC10*EF!$H41*EF!$H59)*NtoN2O*kgtoGg)</f>
        <v>0.83519180857612507</v>
      </c>
      <c r="AD41" s="28">
        <f>IF(('Activity data'!AD10*EF!$H41*EF!$H59)*NtoN2O*kgtoGg=0,"NO",('Activity data'!AD10*EF!$H41*EF!$H59)*NtoN2O*kgtoGg)</f>
        <v>0.98250578082354734</v>
      </c>
      <c r="AE41" s="28">
        <f>IF(('Activity data'!AE10*EF!$H41*EF!$H59)*NtoN2O*kgtoGg=0,"NO",('Activity data'!AE10*EF!$H41*EF!$H59)*NtoN2O*kgtoGg)</f>
        <v>1.0207366424985382</v>
      </c>
      <c r="AF41" s="28">
        <f>IF(('Activity data'!AF10*EF!$H41*EF!$H59)*NtoN2O*kgtoGg=0,"NO",('Activity data'!AF10*EF!$H41*EF!$H59)*NtoN2O*kgtoGg)</f>
        <v>1.0497279078958699</v>
      </c>
      <c r="AG41" s="28">
        <f>IF(('Activity data'!AG10*EF!$H41*EF!$H59)*NtoN2O*kgtoGg=0,"NO",('Activity data'!AG10*EF!$H41*EF!$H59)*NtoN2O*kgtoGg)</f>
        <v>1.0709385239774496</v>
      </c>
      <c r="AH41" s="28">
        <f>IF(('Activity data'!AH10*EF!$H41*EF!$H59)*NtoN2O*kgtoGg=0,"NO",('Activity data'!AH10*EF!$H41*EF!$H59)*NtoN2O*kgtoGg)</f>
        <v>1.0869635271185691</v>
      </c>
      <c r="AI41" s="28">
        <f>IF(('Activity data'!AI10*EF!$H41*EF!H59)*NtoN2O*kgtoGg=0,"NO",('Activity data'!AI10*EF!$H41*EF!H59)*NtoN2O*kgtoGg)</f>
        <v>1.1068787358058159</v>
      </c>
      <c r="AJ41" s="28">
        <f>IF(('Activity data'!AJ10*EF!$H41*EF!I59)*NtoN2O*kgtoGg=0,"NO",('Activity data'!AJ10*EF!$H41*EF!I59)*NtoN2O*kgtoGg)</f>
        <v>1.1292948770553348</v>
      </c>
      <c r="AK41" s="28">
        <f>IF(('Activity data'!AK10*EF!$H41*EF!J59)*NtoN2O*kgtoGg=0,"NO",('Activity data'!AK10*EF!$H41*EF!J59)*NtoN2O*kgtoGg)</f>
        <v>1.1513272977346207</v>
      </c>
      <c r="AL41" s="28">
        <f>IF(('Activity data'!AL10*EF!$H41*EF!K59)*NtoN2O*kgtoGg=0,"NO",('Activity data'!AL10*EF!$H41*EF!K59)*NtoN2O*kgtoGg)</f>
        <v>1.0440812983414205</v>
      </c>
      <c r="AM41" s="28">
        <f>IF(('Activity data'!AM10*EF!$H41*EF!L59)*NtoN2O*kgtoGg=0,"NO",('Activity data'!AM10*EF!$H41*EF!L59)*NtoN2O*kgtoGg)</f>
        <v>1.0752116114912467</v>
      </c>
      <c r="AN41" s="28">
        <f>IF(('Activity data'!AN10*EF!$H41*EF!M59)*NtoN2O*kgtoGg=0,"NO",('Activity data'!AN10*EF!$H41*EF!M59)*NtoN2O*kgtoGg)</f>
        <v>1.1068761203692163</v>
      </c>
      <c r="AO41" s="28">
        <f>IF(('Activity data'!AO10*EF!$H41*EF!N59)*NtoN2O*kgtoGg=0,"NO",('Activity data'!AO10*EF!$H41*EF!N59)*NtoN2O*kgtoGg)</f>
        <v>1.1418202934898292</v>
      </c>
      <c r="AP41" s="28">
        <f>IF(('Activity data'!AP10*EF!$H41*EF!O59)*NtoN2O*kgtoGg=0,"NO",('Activity data'!AP10*EF!$H41*EF!O59)*NtoN2O*kgtoGg)</f>
        <v>1.1790711658391222</v>
      </c>
      <c r="AQ41" s="28">
        <f>IF(('Activity data'!AQ10*EF!$H41*EF!P59)*NtoN2O*kgtoGg=0,"NO",('Activity data'!AQ10*EF!$H41*EF!P59)*NtoN2O*kgtoGg)</f>
        <v>1.2161817367911885</v>
      </c>
      <c r="AR41" s="28">
        <f>IF(('Activity data'!AR10*EF!$H41*EF!Q59)*NtoN2O*kgtoGg=0,"NO",('Activity data'!AR10*EF!$H41*EF!Q59)*NtoN2O*kgtoGg)</f>
        <v>1.2584816479965886</v>
      </c>
      <c r="AS41" s="28">
        <f>IF(('Activity data'!AS10*EF!$H41*EF!R59)*NtoN2O*kgtoGg=0,"NO",('Activity data'!AS10*EF!$H41*EF!R59)*NtoN2O*kgtoGg)</f>
        <v>1.3024713404890547</v>
      </c>
      <c r="AT41" s="28">
        <f>IF(('Activity data'!AT10*EF!$H41*EF!S59)*NtoN2O*kgtoGg=0,"NO",('Activity data'!AT10*EF!$H41*EF!S59)*NtoN2O*kgtoGg)</f>
        <v>1.3489093770997262</v>
      </c>
      <c r="AU41" s="28">
        <f>IF(('Activity data'!AU10*EF!$H41*EF!T59)*NtoN2O*kgtoGg=0,"NO",('Activity data'!AU10*EF!$H41*EF!T59)*NtoN2O*kgtoGg)</f>
        <v>1.3970233683240378</v>
      </c>
      <c r="AV41" s="28">
        <f>IF(('Activity data'!AV10*EF!$H41*EF!U59)*NtoN2O*kgtoGg=0,"NO",('Activity data'!AV10*EF!$H41*EF!U59)*NtoN2O*kgtoGg)</f>
        <v>1.4388134089186999</v>
      </c>
      <c r="AW41" s="28">
        <f>IF(('Activity data'!AW10*EF!$H41*EF!V59)*NtoN2O*kgtoGg=0,"NO",('Activity data'!AW10*EF!$H41*EF!V59)*NtoN2O*kgtoGg)</f>
        <v>1.4942912228921317</v>
      </c>
      <c r="AX41" s="28">
        <f>IF(('Activity data'!AX10*EF!$H41*EF!W59)*NtoN2O*kgtoGg=0,"NO",('Activity data'!AX10*EF!$H41*EF!W59)*NtoN2O*kgtoGg)</f>
        <v>1.5513693763242147</v>
      </c>
      <c r="AY41" s="28">
        <f>IF(('Activity data'!AY10*EF!$H41*EF!X59)*NtoN2O*kgtoGg=0,"NO",('Activity data'!AY10*EF!$H41*EF!X59)*NtoN2O*kgtoGg)</f>
        <v>1.6103764602087172</v>
      </c>
      <c r="AZ41" s="28">
        <f>IF(('Activity data'!AZ10*EF!$H41*EF!Y59)*NtoN2O*kgtoGg=0,"NO",('Activity data'!AZ10*EF!$H41*EF!Y59)*NtoN2O*kgtoGg)</f>
        <v>1.6679979782987353</v>
      </c>
      <c r="BA41" s="28">
        <f>IF(('Activity data'!BA10*EF!$H41*EF!Z59)*NtoN2O*kgtoGg=0,"NO",('Activity data'!BA10*EF!$H41*EF!Z59)*NtoN2O*kgtoGg)</f>
        <v>1.7289153791977747</v>
      </c>
      <c r="BB41" s="28">
        <f>IF(('Activity data'!BB10*EF!$H41*EF!AA59)*NtoN2O*kgtoGg=0,"NO",('Activity data'!BB10*EF!$H41*EF!AA59)*NtoN2O*kgtoGg)</f>
        <v>1.7932569226720474</v>
      </c>
      <c r="BC41" s="28">
        <f>IF(('Activity data'!BC10*EF!$H41*EF!AB59)*NtoN2O*kgtoGg=0,"NO",('Activity data'!BC10*EF!$H41*EF!AB59)*NtoN2O*kgtoGg)</f>
        <v>1.8601594697785597</v>
      </c>
      <c r="BD41" s="28">
        <f>IF(('Activity data'!BD10*EF!$H41*EF!AC59)*NtoN2O*kgtoGg=0,"NO",('Activity data'!BD10*EF!$H41*EF!AC59)*NtoN2O*kgtoGg)</f>
        <v>1.9271542739343694</v>
      </c>
      <c r="BE41" s="28">
        <f>IF(('Activity data'!BE10*EF!$H41*EF!AD59)*NtoN2O*kgtoGg=0,"NO",('Activity data'!BE10*EF!$H41*EF!AD59)*NtoN2O*kgtoGg)</f>
        <v>1.9967733877117861</v>
      </c>
      <c r="BF41" s="28">
        <f>IF(('Activity data'!BF10*EF!$H41*EF!AE59)*NtoN2O*kgtoGg=0,"NO",('Activity data'!BF10*EF!$H41*EF!AE59)*NtoN2O*kgtoGg)</f>
        <v>2.0706137043215627</v>
      </c>
      <c r="BG41" s="28">
        <f>IF(('Activity data'!BG10*EF!$H41*EF!AF59)*NtoN2O*kgtoGg=0,"NO",('Activity data'!BG10*EF!$H41*EF!AF59)*NtoN2O*kgtoGg)</f>
        <v>2.1453584174836786</v>
      </c>
      <c r="BH41" s="28">
        <f>IF(('Activity data'!BH10*EF!$H41*EF!AG59)*NtoN2O*kgtoGg=0,"NO",('Activity data'!BH10*EF!$H41*EF!AG59)*NtoN2O*kgtoGg)</f>
        <v>2.2233394100427954</v>
      </c>
      <c r="BI41" s="28">
        <f>IF(('Activity data'!BI10*EF!$H41*EF!AH59)*NtoN2O*kgtoGg=0,"NO",('Activity data'!BI10*EF!$H41*EF!AH59)*NtoN2O*kgtoGg)</f>
        <v>2.3047135145149777</v>
      </c>
      <c r="BJ41" s="28">
        <f>IF(('Activity data'!BJ10*EF!$H41*EF!AI59)*NtoN2O*kgtoGg=0,"NO",('Activity data'!BJ10*EF!$H41*EF!AI59)*NtoN2O*kgtoGg)</f>
        <v>2.3895513381445417</v>
      </c>
      <c r="BK41" s="28">
        <f>IF(('Activity data'!BK10*EF!$H41*EF!AJ59)*NtoN2O*kgtoGg=0,"NO",('Activity data'!BK10*EF!$H41*EF!AJ59)*NtoN2O*kgtoGg)</f>
        <v>2.4785494969019934</v>
      </c>
      <c r="BL41" s="28">
        <f>IF(('Activity data'!BL10*EF!$H41*EF!AK59)*NtoN2O*kgtoGg=0,"NO",('Activity data'!BL10*EF!$H41*EF!AK59)*NtoN2O*kgtoGg)</f>
        <v>2.5638294284809606</v>
      </c>
      <c r="BM41" s="28">
        <f>IF(('Activity data'!BM10*EF!$H41*EF!AL59)*NtoN2O*kgtoGg=0,"NO",('Activity data'!BM10*EF!$H41*EF!AL59)*NtoN2O*kgtoGg)</f>
        <v>2.6529686131979893</v>
      </c>
      <c r="BN41" s="28">
        <f>IF(('Activity data'!BN10*EF!$H41*EF!AM59)*NtoN2O*kgtoGg=0,"NO",('Activity data'!BN10*EF!$H41*EF!AM59)*NtoN2O*kgtoGg)</f>
        <v>2.7466371295315115</v>
      </c>
      <c r="BO41" s="28">
        <f>IF(('Activity data'!BO10*EF!$H41*EF!AN59)*NtoN2O*kgtoGg=0,"NO",('Activity data'!BO10*EF!$H41*EF!AN59)*NtoN2O*kgtoGg)</f>
        <v>2.8452296556913641</v>
      </c>
      <c r="BP41" s="28">
        <f>IF(('Activity data'!BP10*EF!$H41*EF!AO59)*NtoN2O*kgtoGg=0,"NO",('Activity data'!BP10*EF!$H41*EF!AO59)*NtoN2O*kgtoGg)</f>
        <v>2.9507539642876024</v>
      </c>
    </row>
    <row r="42" spans="1:68" x14ac:dyDescent="0.25">
      <c r="A42" t="str">
        <f t="shared" si="1"/>
        <v>3A Livestock</v>
      </c>
      <c r="B42" t="str">
        <f t="shared" si="11"/>
        <v>3A2 Manure management (N2O)</v>
      </c>
      <c r="C42" t="str">
        <f>EF!C60</f>
        <v>3A1c Sheep</v>
      </c>
      <c r="D42" t="str">
        <f>EF!D60</f>
        <v>Commercial</v>
      </c>
      <c r="E42" t="str">
        <f t="shared" si="9"/>
        <v>Manure management Emissions</v>
      </c>
      <c r="F42" t="s">
        <v>139</v>
      </c>
      <c r="G42" t="str">
        <f t="shared" si="10"/>
        <v>Gg N2O</v>
      </c>
      <c r="H42" s="28">
        <f>IF(('Activity data'!H11*EF!$H42*EF!$H60)*NtoN2O*kgtoGg=0,"NO",('Activity data'!H11*EF!$H42*EF!$H60)*NtoN2O*kgtoGg)</f>
        <v>0.18472261121735453</v>
      </c>
      <c r="I42" s="28">
        <f>IF(('Activity data'!I11*EF!$H42*EF!$H60)*NtoN2O*kgtoGg=0,"NO",('Activity data'!I11*EF!$H42*EF!$H60)*NtoN2O*kgtoGg)</f>
        <v>0.17641659434150833</v>
      </c>
      <c r="J42" s="28">
        <f>IF(('Activity data'!J11*EF!$H42*EF!$H60)*NtoN2O*kgtoGg=0,"NO",('Activity data'!J11*EF!$H42*EF!$H60)*NtoN2O*kgtoGg)</f>
        <v>0.16912726350758692</v>
      </c>
      <c r="K42" s="28">
        <f>IF(('Activity data'!K11*EF!$H42*EF!$H60)*NtoN2O*kgtoGg=0,"NO",('Activity data'!K11*EF!$H42*EF!$H60)*NtoN2O*kgtoGg)</f>
        <v>0.15817170118914878</v>
      </c>
      <c r="L42" s="28">
        <f>IF(('Activity data'!L11*EF!$H42*EF!$H60)*NtoN2O*kgtoGg=0,"NO",('Activity data'!L11*EF!$H42*EF!$H60)*NtoN2O*kgtoGg)</f>
        <v>0.15928697496847238</v>
      </c>
      <c r="M42" s="28">
        <f>IF(('Activity data'!M11*EF!$H42*EF!$H60)*NtoN2O*kgtoGg=0,"NO",('Activity data'!M11*EF!$H42*EF!$H60)*NtoN2O*kgtoGg)</f>
        <v>0.15700713354112583</v>
      </c>
      <c r="N42" s="28">
        <f>IF(('Activity data'!N11*EF!$H42*EF!$H60)*NtoN2O*kgtoGg=0,"NO",('Activity data'!N11*EF!$H42*EF!$H60)*NtoN2O*kgtoGg)</f>
        <v>0.1575308808960568</v>
      </c>
      <c r="O42" s="28">
        <f>IF(('Activity data'!O11*EF!$H42*EF!$H60)*NtoN2O*kgtoGg=0,"NO",('Activity data'!O11*EF!$H42*EF!$H60)*NtoN2O*kgtoGg)</f>
        <v>0.15410495702144961</v>
      </c>
      <c r="P42" s="28">
        <f>IF(('Activity data'!P11*EF!$H42*EF!$H60)*NtoN2O*kgtoGg=0,"NO",('Activity data'!P11*EF!$H42*EF!$H60)*NtoN2O*kgtoGg)</f>
        <v>0.15453011663898178</v>
      </c>
      <c r="Q42" s="28">
        <f>IF(('Activity data'!Q11*EF!$H42*EF!$H60)*NtoN2O*kgtoGg=0,"NO",('Activity data'!Q11*EF!$H42*EF!$H60)*NtoN2O*kgtoGg)</f>
        <v>0.1507344887491292</v>
      </c>
      <c r="R42" s="28">
        <f>IF(('Activity data'!R11*EF!$H42*EF!$H60)*NtoN2O*kgtoGg=0,"NO",('Activity data'!R11*EF!$H42*EF!$H60)*NtoN2O*kgtoGg)</f>
        <v>0.14533064839295923</v>
      </c>
      <c r="S42" s="28">
        <f>IF(('Activity data'!S11*EF!$H42*EF!$H60)*NtoN2O*kgtoGg=0,"NO",('Activity data'!S11*EF!$H42*EF!$H60)*NtoN2O*kgtoGg)</f>
        <v>0.14170754904355451</v>
      </c>
      <c r="T42" s="28">
        <f>IF(('Activity data'!T11*EF!$H42*EF!$H60)*NtoN2O*kgtoGg=0,"NO",('Activity data'!T11*EF!$H42*EF!$H60)*NtoN2O*kgtoGg)</f>
        <v>0.13934144334598406</v>
      </c>
      <c r="U42" s="28">
        <f>IF(('Activity data'!U11*EF!$H42*EF!$H60)*NtoN2O*kgtoGg=0,"NO",('Activity data'!U11*EF!$H42*EF!$H60)*NtoN2O*kgtoGg)</f>
        <v>0.13982822029939046</v>
      </c>
      <c r="V42" s="28">
        <f>IF(('Activity data'!V11*EF!$H42*EF!$H60)*NtoN2O*kgtoGg=0,"NO",('Activity data'!V11*EF!$H42*EF!$H60)*NtoN2O*kgtoGg)</f>
        <v>0.13733887993007157</v>
      </c>
      <c r="W42" s="28">
        <f>IF(('Activity data'!W11*EF!$H42*EF!$H60)*NtoN2O*kgtoGg=0,"NO",('Activity data'!W11*EF!$H42*EF!$H60)*NtoN2O*kgtoGg)</f>
        <v>0.13701230804993814</v>
      </c>
      <c r="X42" s="28">
        <f>IF(('Activity data'!X11*EF!$H42*EF!$H60)*NtoN2O*kgtoGg=0,"NO",('Activity data'!X11*EF!$H42*EF!$H60)*NtoN2O*kgtoGg)</f>
        <v>0.13521924357599804</v>
      </c>
      <c r="Y42" s="28">
        <f>IF(('Activity data'!Y11*EF!$H42*EF!$H60)*NtoN2O*kgtoGg=0,"NO",('Activity data'!Y11*EF!$H42*EF!$H60)*NtoN2O*kgtoGg)</f>
        <v>0.13508984717066219</v>
      </c>
      <c r="Z42" s="28">
        <f>IF(('Activity data'!Z11*EF!$H42*EF!$H60)*NtoN2O*kgtoGg=0,"NO",('Activity data'!Z11*EF!$H42*EF!$H60)*NtoN2O*kgtoGg)</f>
        <v>0.1355273302553692</v>
      </c>
      <c r="AA42" s="28">
        <f>IF(('Activity data'!AA11*EF!$H42*EF!$H60)*NtoN2O*kgtoGg=0,"NO",('Activity data'!AA11*EF!$H42*EF!$H60)*NtoN2O*kgtoGg)</f>
        <v>0.13504671503555021</v>
      </c>
      <c r="AB42" s="28">
        <f>IF(('Activity data'!AB11*EF!$H42*EF!$H60)*NtoN2O*kgtoGg=0,"NO",('Activity data'!AB11*EF!$H42*EF!$H60)*NtoN2O*kgtoGg)</f>
        <v>0.13243413999448284</v>
      </c>
      <c r="AC42" s="28">
        <f>IF(('Activity data'!AC11*EF!$H42*EF!$H60)*NtoN2O*kgtoGg=0,"NO",('Activity data'!AC11*EF!$H42*EF!$H60)*NtoN2O*kgtoGg)</f>
        <v>0.1313989687517958</v>
      </c>
      <c r="AD42" s="28">
        <f>IF(('Activity data'!AD11*EF!$H42*EF!$H60)*NtoN2O*kgtoGg=0,"NO",('Activity data'!AD11*EF!$H42*EF!$H60)*NtoN2O*kgtoGg)</f>
        <v>0.11718346540044593</v>
      </c>
      <c r="AE42" s="28">
        <f>IF(('Activity data'!AE11*EF!$H42*EF!$H60)*NtoN2O*kgtoGg=0,"NO",('Activity data'!AE11*EF!$H42*EF!$H60)*NtoN2O*kgtoGg)</f>
        <v>0.11724935341088503</v>
      </c>
      <c r="AF42" s="28">
        <f>IF(('Activity data'!AF11*EF!$H42*EF!$H60)*NtoN2O*kgtoGg=0,"NO",('Activity data'!AF11*EF!$H42*EF!$H60)*NtoN2O*kgtoGg)</f>
        <v>0.11739332070459192</v>
      </c>
      <c r="AG42" s="28">
        <f>IF(('Activity data'!AG11*EF!$H42*EF!$H60)*NtoN2O*kgtoGg=0,"NO",('Activity data'!AG11*EF!$H42*EF!$H60)*NtoN2O*kgtoGg)</f>
        <v>0.11761152026943933</v>
      </c>
      <c r="AH42" s="28">
        <f>IF(('Activity data'!AH11*EF!$H42*EF!$H60)*NtoN2O*kgtoGg=0,"NO",('Activity data'!AH11*EF!$H42*EF!$H60)*NtoN2O*kgtoGg)</f>
        <v>0.11790178372045702</v>
      </c>
      <c r="AI42" s="28">
        <f>IF(('Activity data'!AI11*EF!$H42*EF!H60)*NtoN2O*kgtoGg=0,"NO",('Activity data'!AI11*EF!$H42*EF!H60)*NtoN2O*kgtoGg)</f>
        <v>0.11826655684729252</v>
      </c>
      <c r="AJ42" s="28">
        <f>IF(('Activity data'!AJ11*EF!$H42*EF!I60)*NtoN2O*kgtoGg=0,"NO",('Activity data'!AJ11*EF!$H42*EF!I60)*NtoN2O*kgtoGg)</f>
        <v>0.11867348553546303</v>
      </c>
      <c r="AK42" s="28">
        <f>IF(('Activity data'!AK11*EF!$H42*EF!J60)*NtoN2O*kgtoGg=0,"NO",('Activity data'!AK11*EF!$H42*EF!J60)*NtoN2O*kgtoGg)</f>
        <v>0.11912145027806179</v>
      </c>
      <c r="AL42" s="28">
        <f>IF(('Activity data'!AL11*EF!$H42*EF!K60)*NtoN2O*kgtoGg=0,"NO",('Activity data'!AL11*EF!$H42*EF!K60)*NtoN2O*kgtoGg)</f>
        <v>0.11953443470206677</v>
      </c>
      <c r="AM42" s="28">
        <f>IF(('Activity data'!AM11*EF!$H42*EF!L60)*NtoN2O*kgtoGg=0,"NO",('Activity data'!AM11*EF!$H42*EF!L60)*NtoN2O*kgtoGg)</f>
        <v>0.11984463634001583</v>
      </c>
      <c r="AN42" s="28">
        <f>IF(('Activity data'!AN11*EF!$H42*EF!M60)*NtoN2O*kgtoGg=0,"NO",('Activity data'!AN11*EF!$H42*EF!M60)*NtoN2O*kgtoGg)</f>
        <v>0.12011360441441001</v>
      </c>
      <c r="AO42" s="28">
        <f>IF(('Activity data'!AO11*EF!$H42*EF!N60)*NtoN2O*kgtoGg=0,"NO",('Activity data'!AO11*EF!$H42*EF!N60)*NtoN2O*kgtoGg)</f>
        <v>0.1203396829333143</v>
      </c>
      <c r="AP42" s="28">
        <f>IF(('Activity data'!AP11*EF!$H42*EF!O60)*NtoN2O*kgtoGg=0,"NO",('Activity data'!AP11*EF!$H42*EF!O60)*NtoN2O*kgtoGg)</f>
        <v>0.12056668209576495</v>
      </c>
      <c r="AQ42" s="28">
        <f>IF(('Activity data'!AQ11*EF!$H42*EF!P60)*NtoN2O*kgtoGg=0,"NO",('Activity data'!AQ11*EF!$H42*EF!P60)*NtoN2O*kgtoGg)</f>
        <v>0.1207913874224706</v>
      </c>
      <c r="AR42" s="28">
        <f>IF(('Activity data'!AR11*EF!$H42*EF!Q60)*NtoN2O*kgtoGg=0,"NO",('Activity data'!AR11*EF!$H42*EF!Q60)*NtoN2O*kgtoGg)</f>
        <v>0.12101500837546533</v>
      </c>
      <c r="AS42" s="28">
        <f>IF(('Activity data'!AS11*EF!$H42*EF!R60)*NtoN2O*kgtoGg=0,"NO",('Activity data'!AS11*EF!$H42*EF!R60)*NtoN2O*kgtoGg)</f>
        <v>0.12123403750840747</v>
      </c>
      <c r="AT42" s="28">
        <f>IF(('Activity data'!AT11*EF!$H42*EF!S60)*NtoN2O*kgtoGg=0,"NO",('Activity data'!AT11*EF!$H42*EF!S60)*NtoN2O*kgtoGg)</f>
        <v>0.12144742584278885</v>
      </c>
      <c r="AU42" s="28">
        <f>IF(('Activity data'!AU11*EF!$H42*EF!T60)*NtoN2O*kgtoGg=0,"NO",('Activity data'!AU11*EF!$H42*EF!T60)*NtoN2O*kgtoGg)</f>
        <v>0.12165917636695248</v>
      </c>
      <c r="AV42" s="28">
        <f>IF(('Activity data'!AV11*EF!$H42*EF!U60)*NtoN2O*kgtoGg=0,"NO",('Activity data'!AV11*EF!$H42*EF!U60)*NtoN2O*kgtoGg)</f>
        <v>0.12186389863299046</v>
      </c>
      <c r="AW42" s="28">
        <f>IF(('Activity data'!AW11*EF!$H42*EF!V60)*NtoN2O*kgtoGg=0,"NO",('Activity data'!AW11*EF!$H42*EF!V60)*NtoN2O*kgtoGg)</f>
        <v>0.12206902270524184</v>
      </c>
      <c r="AX42" s="28">
        <f>IF(('Activity data'!AX11*EF!$H42*EF!W60)*NtoN2O*kgtoGg=0,"NO",('Activity data'!AX11*EF!$H42*EF!W60)*NtoN2O*kgtoGg)</f>
        <v>0.12226905539389415</v>
      </c>
      <c r="AY42" s="28">
        <f>IF(('Activity data'!AY11*EF!$H42*EF!X60)*NtoN2O*kgtoGg=0,"NO",('Activity data'!AY11*EF!$H42*EF!X60)*NtoN2O*kgtoGg)</f>
        <v>0.12246321278248644</v>
      </c>
      <c r="AZ42" s="28">
        <f>IF(('Activity data'!AZ11*EF!$H42*EF!Y60)*NtoN2O*kgtoGg=0,"NO",('Activity data'!AZ11*EF!$H42*EF!Y60)*NtoN2O*kgtoGg)</f>
        <v>0.12265056013066583</v>
      </c>
      <c r="BA42" s="28">
        <f>IF(('Activity data'!BA11*EF!$H42*EF!Z60)*NtoN2O*kgtoGg=0,"NO",('Activity data'!BA11*EF!$H42*EF!Z60)*NtoN2O*kgtoGg)</f>
        <v>0.12283267532206264</v>
      </c>
      <c r="BB42" s="28">
        <f>IF(('Activity data'!BB11*EF!$H42*EF!AA60)*NtoN2O*kgtoGg=0,"NO",('Activity data'!BB11*EF!$H42*EF!AA60)*NtoN2O*kgtoGg)</f>
        <v>0.12300882915585094</v>
      </c>
      <c r="BC42" s="28">
        <f>IF(('Activity data'!BC11*EF!$H42*EF!AB60)*NtoN2O*kgtoGg=0,"NO",('Activity data'!BC11*EF!$H42*EF!AB60)*NtoN2O*kgtoGg)</f>
        <v>0.1231778468871353</v>
      </c>
      <c r="BD42" s="28">
        <f>IF(('Activity data'!BD11*EF!$H42*EF!AC60)*NtoN2O*kgtoGg=0,"NO",('Activity data'!BD11*EF!$H42*EF!AC60)*NtoN2O*kgtoGg)</f>
        <v>0.12333782622692732</v>
      </c>
      <c r="BE42" s="28">
        <f>IF(('Activity data'!BE11*EF!$H42*EF!AD60)*NtoN2O*kgtoGg=0,"NO",('Activity data'!BE11*EF!$H42*EF!AD60)*NtoN2O*kgtoGg)</f>
        <v>0.12349111176674592</v>
      </c>
      <c r="BF42" s="28">
        <f>IF(('Activity data'!BF11*EF!$H42*EF!AE60)*NtoN2O*kgtoGg=0,"NO",('Activity data'!BF11*EF!$H42*EF!AE60)*NtoN2O*kgtoGg)</f>
        <v>0.12363786800908332</v>
      </c>
      <c r="BG42" s="28">
        <f>IF(('Activity data'!BG11*EF!$H42*EF!AF60)*NtoN2O*kgtoGg=0,"NO",('Activity data'!BG11*EF!$H42*EF!AF60)*NtoN2O*kgtoGg)</f>
        <v>0.12377719752281797</v>
      </c>
      <c r="BH42" s="28">
        <f>IF(('Activity data'!BH11*EF!$H42*EF!AG60)*NtoN2O*kgtoGg=0,"NO",('Activity data'!BH11*EF!$H42*EF!AG60)*NtoN2O*kgtoGg)</f>
        <v>0.12390847141586514</v>
      </c>
      <c r="BI42" s="28">
        <f>IF(('Activity data'!BI11*EF!$H42*EF!AH60)*NtoN2O*kgtoGg=0,"NO",('Activity data'!BI11*EF!$H42*EF!AH60)*NtoN2O*kgtoGg)</f>
        <v>0.12403124937547082</v>
      </c>
      <c r="BJ42" s="28">
        <f>IF(('Activity data'!BJ11*EF!$H42*EF!AI60)*NtoN2O*kgtoGg=0,"NO",('Activity data'!BJ11*EF!$H42*EF!AI60)*NtoN2O*kgtoGg)</f>
        <v>0.12414514741148472</v>
      </c>
      <c r="BK42" s="28">
        <f>IF(('Activity data'!BK11*EF!$H42*EF!AJ60)*NtoN2O*kgtoGg=0,"NO",('Activity data'!BK11*EF!$H42*EF!AJ60)*NtoN2O*kgtoGg)</f>
        <v>0.12425002666284753</v>
      </c>
      <c r="BL42" s="28">
        <f>IF(('Activity data'!BL11*EF!$H42*EF!AK60)*NtoN2O*kgtoGg=0,"NO",('Activity data'!BL11*EF!$H42*EF!AK60)*NtoN2O*kgtoGg)</f>
        <v>0.12434181663999871</v>
      </c>
      <c r="BM42" s="28">
        <f>IF(('Activity data'!BM11*EF!$H42*EF!AL60)*NtoN2O*kgtoGg=0,"NO",('Activity data'!BM11*EF!$H42*EF!AL60)*NtoN2O*kgtoGg)</f>
        <v>0.12442363751411362</v>
      </c>
      <c r="BN42" s="28">
        <f>IF(('Activity data'!BN11*EF!$H42*EF!AM60)*NtoN2O*kgtoGg=0,"NO",('Activity data'!BN11*EF!$H42*EF!AM60)*NtoN2O*kgtoGg)</f>
        <v>0.12449539887116545</v>
      </c>
      <c r="BO42" s="28">
        <f>IF(('Activity data'!BO11*EF!$H42*EF!AN60)*NtoN2O*kgtoGg=0,"NO",('Activity data'!BO11*EF!$H42*EF!AN60)*NtoN2O*kgtoGg)</f>
        <v>0.12455666583000685</v>
      </c>
      <c r="BP42" s="28">
        <f>IF(('Activity data'!BP11*EF!$H42*EF!AO60)*NtoN2O*kgtoGg=0,"NO",('Activity data'!BP11*EF!$H42*EF!AO60)*NtoN2O*kgtoGg)</f>
        <v>0.12460797598831413</v>
      </c>
    </row>
    <row r="43" spans="1:68" x14ac:dyDescent="0.25">
      <c r="A43" t="str">
        <f t="shared" si="1"/>
        <v>3A Livestock</v>
      </c>
      <c r="B43" t="str">
        <f t="shared" si="11"/>
        <v>3A2 Manure management (N2O)</v>
      </c>
      <c r="C43" t="str">
        <f>EF!C61</f>
        <v>3A1c Sheep</v>
      </c>
      <c r="D43" t="str">
        <f>EF!D61</f>
        <v>Subsistence</v>
      </c>
      <c r="E43" t="str">
        <f t="shared" si="9"/>
        <v>Manure management Emissions</v>
      </c>
      <c r="F43" t="s">
        <v>139</v>
      </c>
      <c r="G43" t="str">
        <f t="shared" si="10"/>
        <v>Gg N2O</v>
      </c>
      <c r="H43" s="28">
        <f>IF(('Activity data'!H12*EF!$H43*EF!$H61)*NtoN2O*kgtoGg=0,"NO",('Activity data'!H12*EF!$H43*EF!$H61)*NtoN2O*kgtoGg)</f>
        <v>9.2257162292800898E-2</v>
      </c>
      <c r="I43" s="28">
        <f>IF(('Activity data'!I12*EF!$H43*EF!$H61)*NtoN2O*kgtoGg=0,"NO",('Activity data'!I12*EF!$H43*EF!$H61)*NtoN2O*kgtoGg)</f>
        <v>8.810883663915349E-2</v>
      </c>
      <c r="J43" s="28">
        <f>IF(('Activity data'!J12*EF!$H43*EF!$H61)*NtoN2O*kgtoGg=0,"NO",('Activity data'!J12*EF!$H43*EF!$H61)*NtoN2O*kgtoGg)</f>
        <v>8.4468280816998517E-2</v>
      </c>
      <c r="K43" s="28">
        <f>IF(('Activity data'!K12*EF!$H43*EF!$H61)*NtoN2O*kgtoGg=0,"NO",('Activity data'!K12*EF!$H43*EF!$H61)*NtoN2O*kgtoGg)</f>
        <v>7.8996676208552608E-2</v>
      </c>
      <c r="L43" s="28">
        <f>IF(('Activity data'!L12*EF!$H43*EF!$H61)*NtoN2O*kgtoGg=0,"NO",('Activity data'!L12*EF!$H43*EF!$H61)*NtoN2O*kgtoGg)</f>
        <v>7.9553684326735249E-2</v>
      </c>
      <c r="M43" s="28">
        <f>IF(('Activity data'!M12*EF!$H43*EF!$H61)*NtoN2O*kgtoGg=0,"NO",('Activity data'!M12*EF!$H43*EF!$H61)*NtoN2O*kgtoGg)</f>
        <v>7.8415048947024904E-2</v>
      </c>
      <c r="N43" s="28">
        <f>IF(('Activity data'!N12*EF!$H43*EF!$H61)*NtoN2O*kgtoGg=0,"NO",('Activity data'!N12*EF!$H43*EF!$H61)*NtoN2O*kgtoGg)</f>
        <v>7.867662734506646E-2</v>
      </c>
      <c r="O43" s="28">
        <f>IF(('Activity data'!O12*EF!$H43*EF!$H61)*NtoN2O*kgtoGg=0,"NO",('Activity data'!O12*EF!$H43*EF!$H61)*NtoN2O*kgtoGg)</f>
        <v>7.6965596882582824E-2</v>
      </c>
      <c r="P43" s="28">
        <f>IF(('Activity data'!P12*EF!$H43*EF!$H61)*NtoN2O*kgtoGg=0,"NO",('Activity data'!P12*EF!$H43*EF!$H61)*NtoN2O*kgtoGg)</f>
        <v>7.7177936993934437E-2</v>
      </c>
      <c r="Q43" s="28">
        <f>IF(('Activity data'!Q12*EF!$H43*EF!$H61)*NtoN2O*kgtoGg=0,"NO",('Activity data'!Q12*EF!$H43*EF!$H61)*NtoN2O*kgtoGg)</f>
        <v>7.5282262956362631E-2</v>
      </c>
      <c r="R43" s="28">
        <f>IF(('Activity data'!R12*EF!$H43*EF!$H61)*NtoN2O*kgtoGg=0,"NO",('Activity data'!R12*EF!$H43*EF!$H61)*NtoN2O*kgtoGg)</f>
        <v>7.2583389367157303E-2</v>
      </c>
      <c r="S43" s="28">
        <f>IF(('Activity data'!S12*EF!$H43*EF!$H61)*NtoN2O*kgtoGg=0,"NO",('Activity data'!S12*EF!$H43*EF!$H61)*NtoN2O*kgtoGg)</f>
        <v>7.0773882331293281E-2</v>
      </c>
      <c r="T43" s="28">
        <f>IF(('Activity data'!T12*EF!$H43*EF!$H61)*NtoN2O*kgtoGg=0,"NO",('Activity data'!T12*EF!$H43*EF!$H61)*NtoN2O*kgtoGg)</f>
        <v>6.9592163450729036E-2</v>
      </c>
      <c r="U43" s="28">
        <f>IF(('Activity data'!U12*EF!$H43*EF!$H61)*NtoN2O*kgtoGg=0,"NO",('Activity data'!U12*EF!$H43*EF!$H61)*NtoN2O*kgtoGg)</f>
        <v>6.9835277491261782E-2</v>
      </c>
      <c r="V43" s="28">
        <f>IF(('Activity data'!V12*EF!$H43*EF!$H61)*NtoN2O*kgtoGg=0,"NO",('Activity data'!V12*EF!$H43*EF!$H61)*NtoN2O*kgtoGg)</f>
        <v>6.8592010752334814E-2</v>
      </c>
      <c r="W43" s="28">
        <f>IF(('Activity data'!W12*EF!$H43*EF!$H61)*NtoN2O*kgtoGg=0,"NO",('Activity data'!W12*EF!$H43*EF!$H61)*NtoN2O*kgtoGg)</f>
        <v>6.8428908927673615E-2</v>
      </c>
      <c r="X43" s="28">
        <f>IF(('Activity data'!X12*EF!$H43*EF!$H61)*NtoN2O*kgtoGg=0,"NO",('Activity data'!X12*EF!$H43*EF!$H61)*NtoN2O*kgtoGg)</f>
        <v>6.7533387588496016E-2</v>
      </c>
      <c r="Y43" s="28">
        <f>IF(('Activity data'!Y12*EF!$H43*EF!$H61)*NtoN2O*kgtoGg=0,"NO",('Activity data'!Y12*EF!$H43*EF!$H61)*NtoN2O*kgtoGg)</f>
        <v>6.746876233721516E-2</v>
      </c>
      <c r="Z43" s="28">
        <f>IF(('Activity data'!Z12*EF!$H43*EF!$H61)*NtoN2O*kgtoGg=0,"NO",('Activity data'!Z12*EF!$H43*EF!$H61)*NtoN2O*kgtoGg)</f>
        <v>6.7687257234402817E-2</v>
      </c>
      <c r="AA43" s="28">
        <f>IF(('Activity data'!AA12*EF!$H43*EF!$H61)*NtoN2O*kgtoGg=0,"NO",('Activity data'!AA12*EF!$H43*EF!$H61)*NtoN2O*kgtoGg)</f>
        <v>6.7447220586788204E-2</v>
      </c>
      <c r="AB43" s="28">
        <f>IF(('Activity data'!AB12*EF!$H43*EF!$H61)*NtoN2O*kgtoGg=0,"NO",('Activity data'!AB12*EF!$H43*EF!$H61)*NtoN2O*kgtoGg)</f>
        <v>6.6142405989498512E-2</v>
      </c>
      <c r="AC43" s="28">
        <f>IF(('Activity data'!AC12*EF!$H43*EF!$H61)*NtoN2O*kgtoGg=0,"NO",('Activity data'!AC12*EF!$H43*EF!$H61)*NtoN2O*kgtoGg)</f>
        <v>6.5625403979251651E-2</v>
      </c>
      <c r="AD43" s="28">
        <f>IF(('Activity data'!AD12*EF!$H43*EF!$H61)*NtoN2O*kgtoGg=0,"NO",('Activity data'!AD12*EF!$H43*EF!$H61)*NtoN2O*kgtoGg)</f>
        <v>6.2662855436114717E-2</v>
      </c>
      <c r="AE43" s="28">
        <f>IF(('Activity data'!AE12*EF!$H43*EF!$H61)*NtoN2O*kgtoGg=0,"NO",('Activity data'!AE12*EF!$H43*EF!$H61)*NtoN2O*kgtoGg)</f>
        <v>6.2698088485922648E-2</v>
      </c>
      <c r="AF43" s="28">
        <f>IF(('Activity data'!AF12*EF!$H43*EF!$H61)*NtoN2O*kgtoGg=0,"NO",('Activity data'!AF12*EF!$H43*EF!$H61)*NtoN2O*kgtoGg)</f>
        <v>6.2775073764368333E-2</v>
      </c>
      <c r="AG43" s="28">
        <f>IF(('Activity data'!AG12*EF!$H43*EF!$H61)*NtoN2O*kgtoGg=0,"NO",('Activity data'!AG12*EF!$H43*EF!$H61)*NtoN2O*kgtoGg)</f>
        <v>6.2891754114633894E-2</v>
      </c>
      <c r="AH43" s="28">
        <f>IF(('Activity data'!AH12*EF!$H43*EF!$H61)*NtoN2O*kgtoGg=0,"NO",('Activity data'!AH12*EF!$H43*EF!$H61)*NtoN2O*kgtoGg)</f>
        <v>6.3046970011410408E-2</v>
      </c>
      <c r="AI43" s="28">
        <f>IF(('Activity data'!AI12*EF!$H43*EF!H61)*NtoN2O*kgtoGg=0,"NO",('Activity data'!AI12*EF!$H43*EF!H61)*NtoN2O*kgtoGg)</f>
        <v>6.3242029319784329E-2</v>
      </c>
      <c r="AJ43" s="28">
        <f>IF(('Activity data'!AJ12*EF!$H43*EF!I61)*NtoN2O*kgtoGg=0,"NO",('Activity data'!AJ12*EF!$H43*EF!I61)*NtoN2O*kgtoGg)</f>
        <v>6.3459630953875801E-2</v>
      </c>
      <c r="AK43" s="28">
        <f>IF(('Activity data'!AK12*EF!$H43*EF!J61)*NtoN2O*kgtoGg=0,"NO",('Activity data'!AK12*EF!$H43*EF!J61)*NtoN2O*kgtoGg)</f>
        <v>6.369917626694549E-2</v>
      </c>
      <c r="AL43" s="28">
        <f>IF(('Activity data'!AL12*EF!$H43*EF!K61)*NtoN2O*kgtoGg=0,"NO",('Activity data'!AL12*EF!$H43*EF!K61)*NtoN2O*kgtoGg)</f>
        <v>6.3920016153958203E-2</v>
      </c>
      <c r="AM43" s="28">
        <f>IF(('Activity data'!AM12*EF!$H43*EF!L61)*NtoN2O*kgtoGg=0,"NO",('Activity data'!AM12*EF!$H43*EF!L61)*NtoN2O*kgtoGg)</f>
        <v>6.4085893825594042E-2</v>
      </c>
      <c r="AN43" s="28">
        <f>IF(('Activity data'!AN12*EF!$H43*EF!M61)*NtoN2O*kgtoGg=0,"NO",('Activity data'!AN12*EF!$H43*EF!M61)*NtoN2O*kgtoGg)</f>
        <v>6.4229722201936235E-2</v>
      </c>
      <c r="AO43" s="28">
        <f>IF(('Activity data'!AO12*EF!$H43*EF!N61)*NtoN2O*kgtoGg=0,"NO",('Activity data'!AO12*EF!$H43*EF!N61)*NtoN2O*kgtoGg)</f>
        <v>6.4350615755466981E-2</v>
      </c>
      <c r="AP43" s="28">
        <f>IF(('Activity data'!AP12*EF!$H43*EF!O61)*NtoN2O*kgtoGg=0,"NO",('Activity data'!AP12*EF!$H43*EF!O61)*NtoN2O*kgtoGg)</f>
        <v>6.4472001615256638E-2</v>
      </c>
      <c r="AQ43" s="28">
        <f>IF(('Activity data'!AQ12*EF!$H43*EF!P61)*NtoN2O*kgtoGg=0,"NO",('Activity data'!AQ12*EF!$H43*EF!P61)*NtoN2O*kgtoGg)</f>
        <v>6.4592160866008982E-2</v>
      </c>
      <c r="AR43" s="28">
        <f>IF(('Activity data'!AR12*EF!$H43*EF!Q61)*NtoN2O*kgtoGg=0,"NO",('Activity data'!AR12*EF!$H43*EF!Q61)*NtoN2O*kgtoGg)</f>
        <v>6.4711740257197919E-2</v>
      </c>
      <c r="AS43" s="28">
        <f>IF(('Activity data'!AS12*EF!$H43*EF!R61)*NtoN2O*kgtoGg=0,"NO",('Activity data'!AS12*EF!$H43*EF!R61)*NtoN2O*kgtoGg)</f>
        <v>6.4828864211903911E-2</v>
      </c>
      <c r="AT43" s="28">
        <f>IF(('Activity data'!AT12*EF!$H43*EF!S61)*NtoN2O*kgtoGg=0,"NO",('Activity data'!AT12*EF!$H43*EF!S61)*NtoN2O*kgtoGg)</f>
        <v>6.494297179784532E-2</v>
      </c>
      <c r="AU43" s="28">
        <f>IF(('Activity data'!AU12*EF!$H43*EF!T61)*NtoN2O*kgtoGg=0,"NO",('Activity data'!AU12*EF!$H43*EF!T61)*NtoN2O*kgtoGg)</f>
        <v>6.5056203578786789E-2</v>
      </c>
      <c r="AV43" s="28">
        <f>IF(('Activity data'!AV12*EF!$H43*EF!U61)*NtoN2O*kgtoGg=0,"NO",('Activity data'!AV12*EF!$H43*EF!U61)*NtoN2O*kgtoGg)</f>
        <v>6.5165677058833277E-2</v>
      </c>
      <c r="AW43" s="28">
        <f>IF(('Activity data'!AW12*EF!$H43*EF!V61)*NtoN2O*kgtoGg=0,"NO",('Activity data'!AW12*EF!$H43*EF!V61)*NtoN2O*kgtoGg)</f>
        <v>6.5275365401314261E-2</v>
      </c>
      <c r="AX43" s="28">
        <f>IF(('Activity data'!AX12*EF!$H43*EF!W61)*NtoN2O*kgtoGg=0,"NO",('Activity data'!AX12*EF!$H43*EF!W61)*NtoN2O*kgtoGg)</f>
        <v>6.5382331169980365E-2</v>
      </c>
      <c r="AY43" s="28">
        <f>IF(('Activity data'!AY12*EF!$H43*EF!X61)*NtoN2O*kgtoGg=0,"NO",('Activity data'!AY12*EF!$H43*EF!X61)*NtoN2O*kgtoGg)</f>
        <v>6.5486155172211707E-2</v>
      </c>
      <c r="AZ43" s="28">
        <f>IF(('Activity data'!AZ12*EF!$H43*EF!Y61)*NtoN2O*kgtoGg=0,"NO",('Activity data'!AZ12*EF!$H43*EF!Y61)*NtoN2O*kgtoGg)</f>
        <v>6.5586337563602742E-2</v>
      </c>
      <c r="BA43" s="28">
        <f>IF(('Activity data'!BA12*EF!$H43*EF!Z61)*NtoN2O*kgtoGg=0,"NO",('Activity data'!BA12*EF!$H43*EF!Z61)*NtoN2O*kgtoGg)</f>
        <v>6.5683722103923523E-2</v>
      </c>
      <c r="BB43" s="28">
        <f>IF(('Activity data'!BB12*EF!$H43*EF!AA61)*NtoN2O*kgtoGg=0,"NO",('Activity data'!BB12*EF!$H43*EF!AA61)*NtoN2O*kgtoGg)</f>
        <v>6.5777918859271853E-2</v>
      </c>
      <c r="BC43" s="28">
        <f>IF(('Activity data'!BC12*EF!$H43*EF!AB61)*NtoN2O*kgtoGg=0,"NO",('Activity data'!BC12*EF!$H43*EF!AB61)*NtoN2O*kgtoGg)</f>
        <v>6.5868299644866637E-2</v>
      </c>
      <c r="BD43" s="28">
        <f>IF(('Activity data'!BD12*EF!$H43*EF!AC61)*NtoN2O*kgtoGg=0,"NO",('Activity data'!BD12*EF!$H43*EF!AC61)*NtoN2O*kgtoGg)</f>
        <v>6.5953847227948378E-2</v>
      </c>
      <c r="BE43" s="28">
        <f>IF(('Activity data'!BE12*EF!$H43*EF!AD61)*NtoN2O*kgtoGg=0,"NO",('Activity data'!BE12*EF!$H43*EF!AD61)*NtoN2O*kgtoGg)</f>
        <v>6.6035815358770206E-2</v>
      </c>
      <c r="BF43" s="28">
        <f>IF(('Activity data'!BF12*EF!$H43*EF!AE61)*NtoN2O*kgtoGg=0,"NO",('Activity data'!BF12*EF!$H43*EF!AE61)*NtoN2O*kgtoGg)</f>
        <v>6.6114292003632294E-2</v>
      </c>
      <c r="BG43" s="28">
        <f>IF(('Activity data'!BG12*EF!$H43*EF!AF61)*NtoN2O*kgtoGg=0,"NO",('Activity data'!BG12*EF!$H43*EF!AF61)*NtoN2O*kgtoGg)</f>
        <v>6.6188797268921226E-2</v>
      </c>
      <c r="BH43" s="28">
        <f>IF(('Activity data'!BH12*EF!$H43*EF!AG61)*NtoN2O*kgtoGg=0,"NO",('Activity data'!BH12*EF!$H43*EF!AG61)*NtoN2O*kgtoGg)</f>
        <v>6.6258994859975912E-2</v>
      </c>
      <c r="BI43" s="28">
        <f>IF(('Activity data'!BI12*EF!$H43*EF!AH61)*NtoN2O*kgtoGg=0,"NO",('Activity data'!BI12*EF!$H43*EF!AH61)*NtoN2O*kgtoGg)</f>
        <v>6.6324649323318663E-2</v>
      </c>
      <c r="BJ43" s="28">
        <f>IF(('Activity data'!BJ12*EF!$H43*EF!AI61)*NtoN2O*kgtoGg=0,"NO",('Activity data'!BJ12*EF!$H43*EF!AI61)*NtoN2O*kgtoGg)</f>
        <v>6.6385555323502293E-2</v>
      </c>
      <c r="BK43" s="28">
        <f>IF(('Activity data'!BK12*EF!$H43*EF!AJ61)*NtoN2O*kgtoGg=0,"NO",('Activity data'!BK12*EF!$H43*EF!AJ61)*NtoN2O*kgtoGg)</f>
        <v>6.6441638605763464E-2</v>
      </c>
      <c r="BL43" s="28">
        <f>IF(('Activity data'!BL12*EF!$H43*EF!AK61)*NtoN2O*kgtoGg=0,"NO",('Activity data'!BL12*EF!$H43*EF!AK61)*NtoN2O*kgtoGg)</f>
        <v>6.6490722510639061E-2</v>
      </c>
      <c r="BM43" s="28">
        <f>IF(('Activity data'!BM12*EF!$H43*EF!AL61)*NtoN2O*kgtoGg=0,"NO",('Activity data'!BM12*EF!$H43*EF!AL61)*NtoN2O*kgtoGg)</f>
        <v>6.6534475522967207E-2</v>
      </c>
      <c r="BN43" s="28">
        <f>IF(('Activity data'!BN12*EF!$H43*EF!AM61)*NtoN2O*kgtoGg=0,"NO",('Activity data'!BN12*EF!$H43*EF!AM61)*NtoN2O*kgtoGg)</f>
        <v>6.6572849294620651E-2</v>
      </c>
      <c r="BO43" s="28">
        <f>IF(('Activity data'!BO12*EF!$H43*EF!AN61)*NtoN2O*kgtoGg=0,"NO",('Activity data'!BO12*EF!$H43*EF!AN61)*NtoN2O*kgtoGg)</f>
        <v>6.6605611276626994E-2</v>
      </c>
      <c r="BP43" s="28">
        <f>IF(('Activity data'!BP12*EF!$H43*EF!AO61)*NtoN2O*kgtoGg=0,"NO",('Activity data'!BP12*EF!$H43*EF!AO61)*NtoN2O*kgtoGg)</f>
        <v>6.6633048944743603E-2</v>
      </c>
    </row>
    <row r="44" spans="1:68" x14ac:dyDescent="0.25">
      <c r="A44" t="str">
        <f t="shared" si="1"/>
        <v>3A Livestock</v>
      </c>
      <c r="B44" t="str">
        <f t="shared" si="11"/>
        <v>3A2 Manure management (N2O)</v>
      </c>
      <c r="C44" t="str">
        <f>EF!C62</f>
        <v>3A1d Goats</v>
      </c>
      <c r="D44" t="str">
        <f>EF!D62</f>
        <v>Commercial</v>
      </c>
      <c r="E44" t="str">
        <f t="shared" si="9"/>
        <v>Manure management Emissions</v>
      </c>
      <c r="F44" t="s">
        <v>139</v>
      </c>
      <c r="G44" t="str">
        <f t="shared" si="10"/>
        <v>Gg N2O</v>
      </c>
      <c r="H44" s="28">
        <f>IF(('Activity data'!H13*EF!$H44*EF!$H62)*NtoN2O*kgtoGg=0,"NO",('Activity data'!H13*EF!$H44*EF!$H62)*NtoN2O*kgtoGg)</f>
        <v>1.9430751682320124E-2</v>
      </c>
      <c r="I44" s="28">
        <f>IF(('Activity data'!I13*EF!$H44*EF!$H62)*NtoN2O*kgtoGg=0,"NO",('Activity data'!I13*EF!$H44*EF!$H62)*NtoN2O*kgtoGg)</f>
        <v>1.7182276091107163E-2</v>
      </c>
      <c r="J44" s="28">
        <f>IF(('Activity data'!J13*EF!$H44*EF!$H62)*NtoN2O*kgtoGg=0,"NO",('Activity data'!J13*EF!$H44*EF!$H62)*NtoN2O*kgtoGg)</f>
        <v>1.6005503819070465E-2</v>
      </c>
      <c r="K44" s="28">
        <f>IF(('Activity data'!K13*EF!$H44*EF!$H62)*NtoN2O*kgtoGg=0,"NO",('Activity data'!K13*EF!$H44*EF!$H62)*NtoN2O*kgtoGg)</f>
        <v>1.5122924615042945E-2</v>
      </c>
      <c r="L44" s="28">
        <f>IF(('Activity data'!L13*EF!$H44*EF!$H62)*NtoN2O*kgtoGg=0,"NO",('Activity data'!L13*EF!$H44*EF!$H62)*NtoN2O*kgtoGg)</f>
        <v>1.6369742855653249E-2</v>
      </c>
      <c r="M44" s="28">
        <f>IF(('Activity data'!M13*EF!$H44*EF!$H62)*NtoN2O*kgtoGg=0,"NO",('Activity data'!M13*EF!$H44*EF!$H62)*NtoN2O*kgtoGg)</f>
        <v>1.6593889955088814E-2</v>
      </c>
      <c r="N44" s="28">
        <f>IF(('Activity data'!N13*EF!$H44*EF!$H62)*NtoN2O*kgtoGg=0,"NO",('Activity data'!N13*EF!$H44*EF!$H62)*NtoN2O*kgtoGg)</f>
        <v>1.6853060038811176E-2</v>
      </c>
      <c r="O44" s="28">
        <f>IF(('Activity data'!O13*EF!$H44*EF!$H62)*NtoN2O*kgtoGg=0,"NO",('Activity data'!O13*EF!$H44*EF!$H62)*NtoN2O*kgtoGg)</f>
        <v>1.6769004876522844E-2</v>
      </c>
      <c r="P44" s="28">
        <f>IF(('Activity data'!P13*EF!$H44*EF!$H62)*NtoN2O*kgtoGg=0,"NO",('Activity data'!P13*EF!$H44*EF!$H62)*NtoN2O*kgtoGg)</f>
        <v>1.6530848583372559E-2</v>
      </c>
      <c r="Q44" s="28">
        <f>IF(('Activity data'!Q13*EF!$H44*EF!$H62)*NtoN2O*kgtoGg=0,"NO",('Activity data'!Q13*EF!$H44*EF!$H62)*NtoN2O*kgtoGg)</f>
        <v>1.6285687693364925E-2</v>
      </c>
      <c r="R44" s="28">
        <f>IF(('Activity data'!R13*EF!$H44*EF!$H62)*NtoN2O*kgtoGg=0,"NO",('Activity data'!R13*EF!$H44*EF!$H62)*NtoN2O*kgtoGg)</f>
        <v>1.6495825599085752E-2</v>
      </c>
      <c r="S44" s="28">
        <f>IF(('Activity data'!S13*EF!$H44*EF!$H62)*NtoN2O*kgtoGg=0,"NO",('Activity data'!S13*EF!$H44*EF!$H62)*NtoN2O*kgtoGg)</f>
        <v>1.7000156572815769E-2</v>
      </c>
      <c r="T44" s="28">
        <f>IF(('Activity data'!T13*EF!$H44*EF!$H62)*NtoN2O*kgtoGg=0,"NO",('Activity data'!T13*EF!$H44*EF!$H62)*NtoN2O*kgtoGg)</f>
        <v>1.5522186635912547E-2</v>
      </c>
      <c r="U44" s="28">
        <f>IF(('Activity data'!U13*EF!$H44*EF!$H62)*NtoN2O*kgtoGg=0,"NO",('Activity data'!U13*EF!$H44*EF!$H62)*NtoN2O*kgtoGg)</f>
        <v>1.512992921190031E-2</v>
      </c>
      <c r="V44" s="28">
        <f>IF(('Activity data'!V13*EF!$H44*EF!$H62)*NtoN2O*kgtoGg=0,"NO",('Activity data'!V13*EF!$H44*EF!$H62)*NtoN2O*kgtoGg)</f>
        <v>1.5157947599329761E-2</v>
      </c>
      <c r="W44" s="28">
        <f>IF(('Activity data'!W13*EF!$H44*EF!$H62)*NtoN2O*kgtoGg=0,"NO",('Activity data'!W13*EF!$H44*EF!$H62)*NtoN2O*kgtoGg)</f>
        <v>1.4961818887323638E-2</v>
      </c>
      <c r="X44" s="28">
        <f>IF(('Activity data'!X13*EF!$H44*EF!$H62)*NtoN2O*kgtoGg=0,"NO",('Activity data'!X13*EF!$H44*EF!$H62)*NtoN2O*kgtoGg)</f>
        <v>1.5277025745904898E-2</v>
      </c>
      <c r="Y44" s="28">
        <f>IF(('Activity data'!Y13*EF!$H44*EF!$H62)*NtoN2O*kgtoGg=0,"NO",('Activity data'!Y13*EF!$H44*EF!$H62)*NtoN2O*kgtoGg)</f>
        <v>1.4821726950176417E-2</v>
      </c>
      <c r="Z44" s="28">
        <f>IF(('Activity data'!Z13*EF!$H44*EF!$H62)*NtoN2O*kgtoGg=0,"NO",('Activity data'!Z13*EF!$H44*EF!$H62)*NtoN2O*kgtoGg)</f>
        <v>1.4807717756461695E-2</v>
      </c>
      <c r="AA44" s="28">
        <f>IF(('Activity data'!AA13*EF!$H44*EF!$H62)*NtoN2O*kgtoGg=0,"NO",('Activity data'!AA13*EF!$H44*EF!$H62)*NtoN2O*kgtoGg)</f>
        <v>1.4548547672739326E-2</v>
      </c>
      <c r="AB44" s="28">
        <f>IF(('Activity data'!AB13*EF!$H44*EF!$H62)*NtoN2O*kgtoGg=0,"NO",('Activity data'!AB13*EF!$H44*EF!$H62)*NtoN2O*kgtoGg)</f>
        <v>1.4373432751305298E-2</v>
      </c>
      <c r="AC44" s="28">
        <f>IF(('Activity data'!AC13*EF!$H44*EF!$H62)*NtoN2O*kgtoGg=0,"NO",('Activity data'!AC13*EF!$H44*EF!$H62)*NtoN2O*kgtoGg)</f>
        <v>1.4240345411015433E-2</v>
      </c>
      <c r="AD44" s="28">
        <f>IF(('Activity data'!AD13*EF!$H44*EF!$H62)*NtoN2O*kgtoGg=0,"NO",('Activity data'!AD13*EF!$H44*EF!$H62)*NtoN2O*kgtoGg)</f>
        <v>1.4485177267163116E-2</v>
      </c>
      <c r="AE44" s="28">
        <f>IF(('Activity data'!AE13*EF!$H44*EF!$H62)*NtoN2O*kgtoGg=0,"NO",('Activity data'!AE13*EF!$H44*EF!$H62)*NtoN2O*kgtoGg)</f>
        <v>1.4523331373359861E-2</v>
      </c>
      <c r="AF44" s="28">
        <f>IF(('Activity data'!AF13*EF!$H44*EF!$H62)*NtoN2O*kgtoGg=0,"NO",('Activity data'!AF13*EF!$H44*EF!$H62)*NtoN2O*kgtoGg)</f>
        <v>1.4573810598011811E-2</v>
      </c>
      <c r="AG44" s="28">
        <f>IF(('Activity data'!AG13*EF!$H44*EF!$H62)*NtoN2O*kgtoGg=0,"NO",('Activity data'!AG13*EF!$H44*EF!$H62)*NtoN2O*kgtoGg)</f>
        <v>1.4636092790285486E-2</v>
      </c>
      <c r="AH44" s="28">
        <f>IF(('Activity data'!AH13*EF!$H44*EF!$H62)*NtoN2O*kgtoGg=0,"NO",('Activity data'!AH13*EF!$H44*EF!$H62)*NtoN2O*kgtoGg)</f>
        <v>1.4709937886246105E-2</v>
      </c>
      <c r="AI44" s="28">
        <f>IF(('Activity data'!AI13*EF!$H44*EF!H62)*NtoN2O*kgtoGg=0,"NO",('Activity data'!AI13*EF!$H44*EF!H62)*NtoN2O*kgtoGg)</f>
        <v>1.4795961328939573E-2</v>
      </c>
      <c r="AJ44" s="28">
        <f>IF(('Activity data'!AJ13*EF!$H44*EF!I62)*NtoN2O*kgtoGg=0,"NO",('Activity data'!AJ13*EF!$H44*EF!I62)*NtoN2O*kgtoGg)</f>
        <v>1.4888035936093894E-2</v>
      </c>
      <c r="AK44" s="28">
        <f>IF(('Activity data'!AK13*EF!$H44*EF!J62)*NtoN2O*kgtoGg=0,"NO",('Activity data'!AK13*EF!$H44*EF!J62)*NtoN2O*kgtoGg)</f>
        <v>1.4986079151086842E-2</v>
      </c>
      <c r="AL44" s="28">
        <f>IF(('Activity data'!AL13*EF!$H44*EF!K62)*NtoN2O*kgtoGg=0,"NO",('Activity data'!AL13*EF!$H44*EF!K62)*NtoN2O*kgtoGg)</f>
        <v>1.5075634911231621E-2</v>
      </c>
      <c r="AM44" s="28">
        <f>IF(('Activity data'!AM13*EF!$H44*EF!L62)*NtoN2O*kgtoGg=0,"NO",('Activity data'!AM13*EF!$H44*EF!L62)*NtoN2O*kgtoGg)</f>
        <v>1.5143949040762278E-2</v>
      </c>
      <c r="AN44" s="28">
        <f>IF(('Activity data'!AN13*EF!$H44*EF!M62)*NtoN2O*kgtoGg=0,"NO",('Activity data'!AN13*EF!$H44*EF!M62)*NtoN2O*kgtoGg)</f>
        <v>1.5203036298850987E-2</v>
      </c>
      <c r="AO44" s="28">
        <f>IF(('Activity data'!AO13*EF!$H44*EF!N62)*NtoN2O*kgtoGg=0,"NO",('Activity data'!AO13*EF!$H44*EF!N62)*NtoN2O*kgtoGg)</f>
        <v>1.5252751224585401E-2</v>
      </c>
      <c r="AP44" s="28">
        <f>IF(('Activity data'!AP13*EF!$H44*EF!O62)*NtoN2O*kgtoGg=0,"NO",('Activity data'!AP13*EF!$H44*EF!O62)*NtoN2O*kgtoGg)</f>
        <v>1.5301560836910148E-2</v>
      </c>
      <c r="AQ44" s="28">
        <f>IF(('Activity data'!AQ13*EF!$H44*EF!P62)*NtoN2O*kgtoGg=0,"NO",('Activity data'!AQ13*EF!$H44*EF!P62)*NtoN2O*kgtoGg)</f>
        <v>1.5348939408679301E-2</v>
      </c>
      <c r="AR44" s="28">
        <f>IF(('Activity data'!AR13*EF!$H44*EF!Q62)*NtoN2O*kgtoGg=0,"NO",('Activity data'!AR13*EF!$H44*EF!Q62)*NtoN2O*kgtoGg)</f>
        <v>1.5395192894093192E-2</v>
      </c>
      <c r="AS44" s="28">
        <f>IF(('Activity data'!AS13*EF!$H44*EF!R62)*NtoN2O*kgtoGg=0,"NO",('Activity data'!AS13*EF!$H44*EF!R62)*NtoN2O*kgtoGg)</f>
        <v>1.5439728255290294E-2</v>
      </c>
      <c r="AT44" s="28">
        <f>IF(('Activity data'!AT13*EF!$H44*EF!S62)*NtoN2O*kgtoGg=0,"NO",('Activity data'!AT13*EF!$H44*EF!S62)*NtoN2O*kgtoGg)</f>
        <v>1.5482413448604671E-2</v>
      </c>
      <c r="AU44" s="28">
        <f>IF(('Activity data'!AU13*EF!$H44*EF!T62)*NtoN2O*kgtoGg=0,"NO",('Activity data'!AU13*EF!$H44*EF!T62)*NtoN2O*kgtoGg)</f>
        <v>1.5524059584222167E-2</v>
      </c>
      <c r="AV44" s="28">
        <f>IF(('Activity data'!AV13*EF!$H44*EF!U62)*NtoN2O*kgtoGg=0,"NO",('Activity data'!AV13*EF!$H44*EF!U62)*NtoN2O*kgtoGg)</f>
        <v>1.5563707431032886E-2</v>
      </c>
      <c r="AW44" s="28">
        <f>IF(('Activity data'!AW13*EF!$H44*EF!V62)*NtoN2O*kgtoGg=0,"NO",('Activity data'!AW13*EF!$H44*EF!V62)*NtoN2O*kgtoGg)</f>
        <v>1.5602796502545363E-2</v>
      </c>
      <c r="AX44" s="28">
        <f>IF(('Activity data'!AX13*EF!$H44*EF!W62)*NtoN2O*kgtoGg=0,"NO",('Activity data'!AX13*EF!$H44*EF!W62)*NtoN2O*kgtoGg)</f>
        <v>1.5640341345456808E-2</v>
      </c>
      <c r="AY44" s="28">
        <f>IF(('Activity data'!AY13*EF!$H44*EF!X62)*NtoN2O*kgtoGg=0,"NO",('Activity data'!AY13*EF!$H44*EF!X62)*NtoN2O*kgtoGg)</f>
        <v>1.567623738695334E-2</v>
      </c>
      <c r="AZ44" s="28">
        <f>IF(('Activity data'!AZ13*EF!$H44*EF!Y62)*NtoN2O*kgtoGg=0,"NO",('Activity data'!AZ13*EF!$H44*EF!Y62)*NtoN2O*kgtoGg)</f>
        <v>1.5710349847819226E-2</v>
      </c>
      <c r="BA44" s="28">
        <f>IF(('Activity data'!BA13*EF!$H44*EF!Z62)*NtoN2O*kgtoGg=0,"NO",('Activity data'!BA13*EF!$H44*EF!Z62)*NtoN2O*kgtoGg)</f>
        <v>1.5743007959122455E-2</v>
      </c>
      <c r="BB44" s="28">
        <f>IF(('Activity data'!BB13*EF!$H44*EF!AA62)*NtoN2O*kgtoGg=0,"NO",('Activity data'!BB13*EF!$H44*EF!AA62)*NtoN2O*kgtoGg)</f>
        <v>1.5774109229300261E-2</v>
      </c>
      <c r="BC44" s="28">
        <f>IF(('Activity data'!BC13*EF!$H44*EF!AB62)*NtoN2O*kgtoGg=0,"NO",('Activity data'!BC13*EF!$H44*EF!AB62)*NtoN2O*kgtoGg)</f>
        <v>1.5803467526487133E-2</v>
      </c>
      <c r="BD44" s="28">
        <f>IF(('Activity data'!BD13*EF!$H44*EF!AC62)*NtoN2O*kgtoGg=0,"NO",('Activity data'!BD13*EF!$H44*EF!AC62)*NtoN2O*kgtoGg)</f>
        <v>1.5830762064095734E-2</v>
      </c>
      <c r="BE44" s="28">
        <f>IF(('Activity data'!BE13*EF!$H44*EF!AD62)*NtoN2O*kgtoGg=0,"NO",('Activity data'!BE13*EF!$H44*EF!AD62)*NtoN2O*kgtoGg)</f>
        <v>1.5856453870476163E-2</v>
      </c>
      <c r="BF44" s="28">
        <f>IF(('Activity data'!BF13*EF!$H44*EF!AE62)*NtoN2O*kgtoGg=0,"NO",('Activity data'!BF13*EF!$H44*EF!AE62)*NtoN2O*kgtoGg)</f>
        <v>1.5880598682649769E-2</v>
      </c>
      <c r="BG44" s="28">
        <f>IF(('Activity data'!BG13*EF!$H44*EF!AF62)*NtoN2O*kgtoGg=0,"NO",('Activity data'!BG13*EF!$H44*EF!AF62)*NtoN2O*kgtoGg)</f>
        <v>1.5903055741242136E-2</v>
      </c>
      <c r="BH44" s="28">
        <f>IF(('Activity data'!BH13*EF!$H44*EF!AG62)*NtoN2O*kgtoGg=0,"NO",('Activity data'!BH13*EF!$H44*EF!AG62)*NtoN2O*kgtoGg)</f>
        <v>1.5923733103541633E-2</v>
      </c>
      <c r="BI44" s="28">
        <f>IF(('Activity data'!BI13*EF!$H44*EF!AH62)*NtoN2O*kgtoGg=0,"NO",('Activity data'!BI13*EF!$H44*EF!AH62)*NtoN2O*kgtoGg)</f>
        <v>1.5942572702848185E-2</v>
      </c>
      <c r="BJ44" s="28">
        <f>IF(('Activity data'!BJ13*EF!$H44*EF!AI62)*NtoN2O*kgtoGg=0,"NO",('Activity data'!BJ13*EF!$H44*EF!AI62)*NtoN2O*kgtoGg)</f>
        <v>1.5959526026717363E-2</v>
      </c>
      <c r="BK44" s="28">
        <f>IF(('Activity data'!BK13*EF!$H44*EF!AJ62)*NtoN2O*kgtoGg=0,"NO",('Activity data'!BK13*EF!$H44*EF!AJ62)*NtoN2O*kgtoGg)</f>
        <v>1.5974588492102686E-2</v>
      </c>
      <c r="BL44" s="28">
        <f>IF(('Activity data'!BL13*EF!$H44*EF!AK62)*NtoN2O*kgtoGg=0,"NO",('Activity data'!BL13*EF!$H44*EF!AK62)*NtoN2O*kgtoGg)</f>
        <v>1.5987039996222484E-2</v>
      </c>
      <c r="BM44" s="28">
        <f>IF(('Activity data'!BM13*EF!$H44*EF!AL62)*NtoN2O*kgtoGg=0,"NO",('Activity data'!BM13*EF!$H44*EF!AL62)*NtoN2O*kgtoGg)</f>
        <v>1.5997469100177034E-2</v>
      </c>
      <c r="BN44" s="28">
        <f>IF(('Activity data'!BN13*EF!$H44*EF!AM62)*NtoN2O*kgtoGg=0,"NO",('Activity data'!BN13*EF!$H44*EF!AM62)*NtoN2O*kgtoGg)</f>
        <v>1.6005878035407865E-2</v>
      </c>
      <c r="BO44" s="28">
        <f>IF(('Activity data'!BO13*EF!$H44*EF!AN62)*NtoN2O*kgtoGg=0,"NO",('Activity data'!BO13*EF!$H44*EF!AN62)*NtoN2O*kgtoGg)</f>
        <v>1.6012205962679688E-2</v>
      </c>
      <c r="BP44" s="28">
        <f>IF(('Activity data'!BP13*EF!$H44*EF!AO62)*NtoN2O*kgtoGg=0,"NO",('Activity data'!BP13*EF!$H44*EF!AO62)*NtoN2O*kgtoGg)</f>
        <v>1.6016567357142634E-2</v>
      </c>
    </row>
    <row r="45" spans="1:68" x14ac:dyDescent="0.25">
      <c r="A45" t="str">
        <f t="shared" si="1"/>
        <v>3A Livestock</v>
      </c>
      <c r="B45" t="str">
        <f t="shared" si="11"/>
        <v>3A2 Manure management (N2O)</v>
      </c>
      <c r="C45" t="str">
        <f>EF!C63</f>
        <v>3A1d Goats</v>
      </c>
      <c r="D45" t="str">
        <f>EF!D63</f>
        <v>Subsistence</v>
      </c>
      <c r="E45" t="str">
        <f t="shared" si="9"/>
        <v>Manure management Emissions</v>
      </c>
      <c r="F45" t="s">
        <v>139</v>
      </c>
      <c r="G45" t="str">
        <f t="shared" si="10"/>
        <v>Gg N2O</v>
      </c>
      <c r="H45" s="28">
        <f>IF(('Activity data'!H14*EF!$H45*EF!$H63)*NtoN2O*kgtoGg=0,"NO",('Activity data'!H14*EF!$H45*EF!$H63)*NtoN2O*kgtoGg)</f>
        <v>0.15674707216898293</v>
      </c>
      <c r="I45" s="28">
        <f>IF(('Activity data'!I14*EF!$H45*EF!$H63)*NtoN2O*kgtoGg=0,"NO",('Activity data'!I14*EF!$H45*EF!$H63)*NtoN2O*kgtoGg)</f>
        <v>0.13860871233976757</v>
      </c>
      <c r="J45" s="28">
        <f>IF(('Activity data'!J14*EF!$H45*EF!$H63)*NtoN2O*kgtoGg=0,"NO",('Activity data'!J14*EF!$H45*EF!$H63)*NtoN2O*kgtoGg)</f>
        <v>0.12911573897120623</v>
      </c>
      <c r="K45" s="28">
        <f>IF(('Activity data'!K14*EF!$H45*EF!$H63)*NtoN2O*kgtoGg=0,"NO",('Activity data'!K14*EF!$H45*EF!$H63)*NtoN2O*kgtoGg)</f>
        <v>0.12199600894478523</v>
      </c>
      <c r="L45" s="28">
        <f>IF(('Activity data'!L14*EF!$H45*EF!$H63)*NtoN2O*kgtoGg=0,"NO",('Activity data'!L14*EF!$H45*EF!$H63)*NtoN2O*kgtoGg)</f>
        <v>0.13205404025195139</v>
      </c>
      <c r="M45" s="28">
        <f>IF(('Activity data'!M14*EF!$H45*EF!$H63)*NtoN2O*kgtoGg=0,"NO",('Activity data'!M14*EF!$H45*EF!$H63)*NtoN2O*kgtoGg)</f>
        <v>0.13386222565548689</v>
      </c>
      <c r="N45" s="28">
        <f>IF(('Activity data'!N14*EF!$H45*EF!$H63)*NtoN2O*kgtoGg=0,"NO",('Activity data'!N14*EF!$H45*EF!$H63)*NtoN2O*kgtoGg)</f>
        <v>0.13595294002832481</v>
      </c>
      <c r="O45" s="28">
        <f>IF(('Activity data'!O14*EF!$H45*EF!$H63)*NtoN2O*kgtoGg=0,"NO",('Activity data'!O14*EF!$H45*EF!$H63)*NtoN2O*kgtoGg)</f>
        <v>0.13527487050199902</v>
      </c>
      <c r="P45" s="28">
        <f>IF(('Activity data'!P14*EF!$H45*EF!$H63)*NtoN2O*kgtoGg=0,"NO",('Activity data'!P14*EF!$H45*EF!$H63)*NtoN2O*kgtoGg)</f>
        <v>0.13335367351074254</v>
      </c>
      <c r="Q45" s="28">
        <f>IF(('Activity data'!Q14*EF!$H45*EF!$H63)*NtoN2O*kgtoGg=0,"NO",('Activity data'!Q14*EF!$H45*EF!$H63)*NtoN2O*kgtoGg)</f>
        <v>0.1313759707256256</v>
      </c>
      <c r="R45" s="28">
        <f>IF(('Activity data'!R14*EF!$H45*EF!$H63)*NtoN2O*kgtoGg=0,"NO",('Activity data'!R14*EF!$H45*EF!$H63)*NtoN2O*kgtoGg)</f>
        <v>0.13307114454144012</v>
      </c>
      <c r="S45" s="28">
        <f>IF(('Activity data'!S14*EF!$H45*EF!$H63)*NtoN2O*kgtoGg=0,"NO",('Activity data'!S14*EF!$H45*EF!$H63)*NtoN2O*kgtoGg)</f>
        <v>0.13713956169939495</v>
      </c>
      <c r="T45" s="28">
        <f>IF(('Activity data'!T14*EF!$H45*EF!$H63)*NtoN2O*kgtoGg=0,"NO",('Activity data'!T14*EF!$H45*EF!$H63)*NtoN2O*kgtoGg)</f>
        <v>0.12521683919483284</v>
      </c>
      <c r="U45" s="28">
        <f>IF(('Activity data'!U14*EF!$H45*EF!$H63)*NtoN2O*kgtoGg=0,"NO",('Activity data'!U14*EF!$H45*EF!$H63)*NtoN2O*kgtoGg)</f>
        <v>0.12205251473864571</v>
      </c>
      <c r="V45" s="28">
        <f>IF(('Activity data'!V14*EF!$H45*EF!$H63)*NtoN2O*kgtoGg=0,"NO",('Activity data'!V14*EF!$H45*EF!$H63)*NtoN2O*kgtoGg)</f>
        <v>0.12227853791408765</v>
      </c>
      <c r="W45" s="28">
        <f>IF(('Activity data'!W14*EF!$H45*EF!$H63)*NtoN2O*kgtoGg=0,"NO",('Activity data'!W14*EF!$H45*EF!$H63)*NtoN2O*kgtoGg)</f>
        <v>0.12069637568599409</v>
      </c>
      <c r="X45" s="28">
        <f>IF(('Activity data'!X14*EF!$H45*EF!$H63)*NtoN2O*kgtoGg=0,"NO",('Activity data'!X14*EF!$H45*EF!$H63)*NtoN2O*kgtoGg)</f>
        <v>0.12323913640971589</v>
      </c>
      <c r="Y45" s="28">
        <f>IF(('Activity data'!Y14*EF!$H45*EF!$H63)*NtoN2O*kgtoGg=0,"NO",('Activity data'!Y14*EF!$H45*EF!$H63)*NtoN2O*kgtoGg)</f>
        <v>0.11956625980878442</v>
      </c>
      <c r="Z45" s="28">
        <f>IF(('Activity data'!Z14*EF!$H45*EF!$H63)*NtoN2O*kgtoGg=0,"NO",('Activity data'!Z14*EF!$H45*EF!$H63)*NtoN2O*kgtoGg)</f>
        <v>0.11945324822106343</v>
      </c>
      <c r="AA45" s="28">
        <f>IF(('Activity data'!AA14*EF!$H45*EF!$H63)*NtoN2O*kgtoGg=0,"NO",('Activity data'!AA14*EF!$H45*EF!$H63)*NtoN2O*kgtoGg)</f>
        <v>0.11736253384822554</v>
      </c>
      <c r="AB45" s="28">
        <f>IF(('Activity data'!AB14*EF!$H45*EF!$H63)*NtoN2O*kgtoGg=0,"NO",('Activity data'!AB14*EF!$H45*EF!$H63)*NtoN2O*kgtoGg)</f>
        <v>0.11594988900171342</v>
      </c>
      <c r="AC45" s="28">
        <f>IF(('Activity data'!AC14*EF!$H45*EF!$H63)*NtoN2O*kgtoGg=0,"NO",('Activity data'!AC14*EF!$H45*EF!$H63)*NtoN2O*kgtoGg)</f>
        <v>0.11487627891836423</v>
      </c>
      <c r="AD45" s="28">
        <f>IF(('Activity data'!AD14*EF!$H45*EF!$H63)*NtoN2O*kgtoGg=0,"NO",('Activity data'!AD14*EF!$H45*EF!$H63)*NtoN2O*kgtoGg)</f>
        <v>0.11483684227620476</v>
      </c>
      <c r="AE45" s="28">
        <f>IF(('Activity data'!AE14*EF!$H45*EF!$H63)*NtoN2O*kgtoGg=0,"NO",('Activity data'!AE14*EF!$H45*EF!$H63)*NtoN2O*kgtoGg)</f>
        <v>0.11513932370219583</v>
      </c>
      <c r="AF45" s="28">
        <f>IF(('Activity data'!AF14*EF!$H45*EF!$H63)*NtoN2O*kgtoGg=0,"NO",('Activity data'!AF14*EF!$H45*EF!$H63)*NtoN2O*kgtoGg)</f>
        <v>0.11553951726922401</v>
      </c>
      <c r="AG45" s="28">
        <f>IF(('Activity data'!AG14*EF!$H45*EF!$H63)*NtoN2O*kgtoGg=0,"NO",('Activity data'!AG14*EF!$H45*EF!$H63)*NtoN2O*kgtoGg)</f>
        <v>0.11603328342471053</v>
      </c>
      <c r="AH45" s="28">
        <f>IF(('Activity data'!AH14*EF!$H45*EF!$H63)*NtoN2O*kgtoGg=0,"NO",('Activity data'!AH14*EF!$H45*EF!$H63)*NtoN2O*kgtoGg)</f>
        <v>0.11661871896901171</v>
      </c>
      <c r="AI45" s="28">
        <f>IF(('Activity data'!AI14*EF!$H45*EF!H63)*NtoN2O*kgtoGg=0,"NO",('Activity data'!AI14*EF!$H45*EF!H63)*NtoN2O*kgtoGg)</f>
        <v>0.11730070306478389</v>
      </c>
      <c r="AJ45" s="28">
        <f>IF(('Activity data'!AJ14*EF!$H45*EF!I63)*NtoN2O*kgtoGg=0,"NO",('Activity data'!AJ14*EF!$H45*EF!I63)*NtoN2O*kgtoGg)</f>
        <v>0.11803066010599968</v>
      </c>
      <c r="AK45" s="28">
        <f>IF(('Activity data'!AK14*EF!$H45*EF!J63)*NtoN2O*kgtoGg=0,"NO",('Activity data'!AK14*EF!$H45*EF!J63)*NtoN2O*kgtoGg)</f>
        <v>0.11880793559312265</v>
      </c>
      <c r="AL45" s="28">
        <f>IF(('Activity data'!AL14*EF!$H45*EF!K63)*NtoN2O*kgtoGg=0,"NO",('Activity data'!AL14*EF!$H45*EF!K63)*NtoN2O*kgtoGg)</f>
        <v>0.11951792350096729</v>
      </c>
      <c r="AM45" s="28">
        <f>IF(('Activity data'!AM14*EF!$H45*EF!L63)*NtoN2O*kgtoGg=0,"NO",('Activity data'!AM14*EF!$H45*EF!L63)*NtoN2O*kgtoGg)</f>
        <v>0.1200595101708061</v>
      </c>
      <c r="AN45" s="28">
        <f>IF(('Activity data'!AN14*EF!$H45*EF!M63)*NtoN2O*kgtoGg=0,"NO",('Activity data'!AN14*EF!$H45*EF!M63)*NtoN2O*kgtoGg)</f>
        <v>0.12052794725048538</v>
      </c>
      <c r="AO45" s="28">
        <f>IF(('Activity data'!AO14*EF!$H45*EF!N63)*NtoN2O*kgtoGg=0,"NO",('Activity data'!AO14*EF!$H45*EF!N63)*NtoN2O*kgtoGg)</f>
        <v>0.12092208154239208</v>
      </c>
      <c r="AP45" s="28">
        <f>IF(('Activity data'!AP14*EF!$H45*EF!O63)*NtoN2O*kgtoGg=0,"NO",('Activity data'!AP14*EF!$H45*EF!O63)*NtoN2O*kgtoGg)</f>
        <v>0.1213090386122794</v>
      </c>
      <c r="AQ45" s="28">
        <f>IF(('Activity data'!AQ14*EF!$H45*EF!P63)*NtoN2O*kgtoGg=0,"NO",('Activity data'!AQ14*EF!$H45*EF!P63)*NtoN2O*kgtoGg)</f>
        <v>0.12168465055496924</v>
      </c>
      <c r="AR45" s="28">
        <f>IF(('Activity data'!AR14*EF!$H45*EF!Q63)*NtoN2O*kgtoGg=0,"NO",('Activity data'!AR14*EF!$H45*EF!Q63)*NtoN2O*kgtoGg)</f>
        <v>0.12205134294065656</v>
      </c>
      <c r="AS45" s="28">
        <f>IF(('Activity data'!AS14*EF!$H45*EF!R63)*NtoN2O*kgtoGg=0,"NO",('Activity data'!AS14*EF!$H45*EF!R63)*NtoN2O*kgtoGg)</f>
        <v>0.12240441423244523</v>
      </c>
      <c r="AT45" s="28">
        <f>IF(('Activity data'!AT14*EF!$H45*EF!S63)*NtoN2O*kgtoGg=0,"NO",('Activity data'!AT14*EF!$H45*EF!S63)*NtoN2O*kgtoGg)</f>
        <v>0.12274281760312988</v>
      </c>
      <c r="AU45" s="28">
        <f>IF(('Activity data'!AU14*EF!$H45*EF!T63)*NtoN2O*kgtoGg=0,"NO",('Activity data'!AU14*EF!$H45*EF!T63)*NtoN2O*kgtoGg)</f>
        <v>0.12307298344225717</v>
      </c>
      <c r="AV45" s="28">
        <f>IF(('Activity data'!AV14*EF!$H45*EF!U63)*NtoN2O*kgtoGg=0,"NO",('Activity data'!AV14*EF!$H45*EF!U63)*NtoN2O*kgtoGg)</f>
        <v>0.12338730707439627</v>
      </c>
      <c r="AW45" s="28">
        <f>IF(('Activity data'!AW14*EF!$H45*EF!V63)*NtoN2O*kgtoGg=0,"NO",('Activity data'!AW14*EF!$H45*EF!V63)*NtoN2O*kgtoGg)</f>
        <v>0.12369720079935449</v>
      </c>
      <c r="AX45" s="28">
        <f>IF(('Activity data'!AX14*EF!$H45*EF!W63)*NtoN2O*kgtoGg=0,"NO",('Activity data'!AX14*EF!$H45*EF!W63)*NtoN2O*kgtoGg)</f>
        <v>0.12399485205513031</v>
      </c>
      <c r="AY45" s="28">
        <f>IF(('Activity data'!AY14*EF!$H45*EF!X63)*NtoN2O*kgtoGg=0,"NO",('Activity data'!AY14*EF!$H45*EF!X63)*NtoN2O*kgtoGg)</f>
        <v>0.12427943180031731</v>
      </c>
      <c r="AZ45" s="28">
        <f>IF(('Activity data'!AZ14*EF!$H45*EF!Y63)*NtoN2O*kgtoGg=0,"NO",('Activity data'!AZ14*EF!$H45*EF!Y63)*NtoN2O*kgtoGg)</f>
        <v>0.12454987152058146</v>
      </c>
      <c r="BA45" s="28">
        <f>IF(('Activity data'!BA14*EF!$H45*EF!Z63)*NtoN2O*kgtoGg=0,"NO",('Activity data'!BA14*EF!$H45*EF!Z63)*NtoN2O*kgtoGg)</f>
        <v>0.12480878132248427</v>
      </c>
      <c r="BB45" s="28">
        <f>IF(('Activity data'!BB14*EF!$H45*EF!AA63)*NtoN2O*kgtoGg=0,"NO",('Activity data'!BB14*EF!$H45*EF!AA63)*NtoN2O*kgtoGg)</f>
        <v>0.1250553486645419</v>
      </c>
      <c r="BC45" s="28">
        <f>IF(('Activity data'!BC14*EF!$H45*EF!AB63)*NtoN2O*kgtoGg=0,"NO",('Activity data'!BC14*EF!$H45*EF!AB63)*NtoN2O*kgtoGg)</f>
        <v>0.12528809791443818</v>
      </c>
      <c r="BD45" s="28">
        <f>IF(('Activity data'!BD14*EF!$H45*EF!AC63)*NtoN2O*kgtoGg=0,"NO",('Activity data'!BD14*EF!$H45*EF!AC63)*NtoN2O*kgtoGg)</f>
        <v>0.12550448591249647</v>
      </c>
      <c r="BE45" s="28">
        <f>IF(('Activity data'!BE14*EF!$H45*EF!AD63)*NtoN2O*kgtoGg=0,"NO",('Activity data'!BE14*EF!$H45*EF!AD63)*NtoN2O*kgtoGg)</f>
        <v>0.12570816763918052</v>
      </c>
      <c r="BF45" s="28">
        <f>IF(('Activity data'!BF14*EF!$H45*EF!AE63)*NtoN2O*kgtoGg=0,"NO",('Activity data'!BF14*EF!$H45*EF!AE63)*NtoN2O*kgtoGg)</f>
        <v>0.12589958497127313</v>
      </c>
      <c r="BG45" s="28">
        <f>IF(('Activity data'!BG14*EF!$H45*EF!AF63)*NtoN2O*kgtoGg=0,"NO",('Activity data'!BG14*EF!$H45*EF!AF63)*NtoN2O*kgtoGg)</f>
        <v>0.12607762198442071</v>
      </c>
      <c r="BH45" s="28">
        <f>IF(('Activity data'!BH14*EF!$H45*EF!AG63)*NtoN2O*kgtoGg=0,"NO",('Activity data'!BH14*EF!$H45*EF!AG63)*NtoN2O*kgtoGg)</f>
        <v>0.12624154976723476</v>
      </c>
      <c r="BI45" s="28">
        <f>IF(('Activity data'!BI14*EF!$H45*EF!AH63)*NtoN2O*kgtoGg=0,"NO",('Activity data'!BI14*EF!$H45*EF!AH63)*NtoN2O*kgtoGg)</f>
        <v>0.12639090797350394</v>
      </c>
      <c r="BJ45" s="28">
        <f>IF(('Activity data'!BJ14*EF!$H45*EF!AI63)*NtoN2O*kgtoGg=0,"NO",('Activity data'!BJ14*EF!$H45*EF!AI63)*NtoN2O*kgtoGg)</f>
        <v>0.12652531200207148</v>
      </c>
      <c r="BK45" s="28">
        <f>IF(('Activity data'!BK14*EF!$H45*EF!AJ63)*NtoN2O*kgtoGg=0,"NO",('Activity data'!BK14*EF!$H45*EF!AJ63)*NtoN2O*kgtoGg)</f>
        <v>0.12664472551906492</v>
      </c>
      <c r="BL45" s="28">
        <f>IF(('Activity data'!BL14*EF!$H45*EF!AK63)*NtoN2O*kgtoGg=0,"NO",('Activity data'!BL14*EF!$H45*EF!AK63)*NtoN2O*kgtoGg)</f>
        <v>0.12674343963131454</v>
      </c>
      <c r="BM45" s="28">
        <f>IF(('Activity data'!BM14*EF!$H45*EF!AL63)*NtoN2O*kgtoGg=0,"NO",('Activity data'!BM14*EF!$H45*EF!AL63)*NtoN2O*kgtoGg)</f>
        <v>0.12682612038446112</v>
      </c>
      <c r="BN45" s="28">
        <f>IF(('Activity data'!BN14*EF!$H45*EF!AM63)*NtoN2O*kgtoGg=0,"NO",('Activity data'!BN14*EF!$H45*EF!AM63)*NtoN2O*kgtoGg)</f>
        <v>0.12689278546911997</v>
      </c>
      <c r="BO45" s="28">
        <f>IF(('Activity data'!BO14*EF!$H45*EF!AN63)*NtoN2O*kgtoGg=0,"NO",('Activity data'!BO14*EF!$H45*EF!AN63)*NtoN2O*kgtoGg)</f>
        <v>0.12694295255873489</v>
      </c>
      <c r="BP45" s="28">
        <f>IF(('Activity data'!BP14*EF!$H45*EF!AO63)*NtoN2O*kgtoGg=0,"NO",('Activity data'!BP14*EF!$H45*EF!AO63)*NtoN2O*kgtoGg)</f>
        <v>0.12697752919931085</v>
      </c>
    </row>
    <row r="46" spans="1:68" x14ac:dyDescent="0.25">
      <c r="A46" t="str">
        <f t="shared" si="1"/>
        <v>3A Livestock</v>
      </c>
      <c r="B46" t="str">
        <f t="shared" si="11"/>
        <v>3A2 Manure management (N2O)</v>
      </c>
      <c r="C46" t="str">
        <f>EF!C64</f>
        <v>3A1f Horses</v>
      </c>
      <c r="D46" t="str">
        <f>EF!D64</f>
        <v>Horses</v>
      </c>
      <c r="E46" t="str">
        <f t="shared" si="9"/>
        <v>Manure management Emissions</v>
      </c>
      <c r="F46" t="s">
        <v>139</v>
      </c>
      <c r="G46" t="str">
        <f t="shared" si="10"/>
        <v>Gg N2O</v>
      </c>
      <c r="H46" s="28" t="str">
        <f>IF(('Activity data'!H15*EF!$H46*EF!$H64)*NtoN2O*kgtoGg=0,"NO",('Activity data'!H15*EF!$H46*EF!$H64)*NtoN2O*kgtoGg)</f>
        <v>NO</v>
      </c>
      <c r="I46" s="28" t="str">
        <f>IF(('Activity data'!I15*EF!$H46*EF!$H64)*NtoN2O*kgtoGg=0,"NO",('Activity data'!I15*EF!$H46*EF!$H64)*NtoN2O*kgtoGg)</f>
        <v>NO</v>
      </c>
      <c r="J46" s="28" t="str">
        <f>IF(('Activity data'!J15*EF!$H46*EF!$H64)*NtoN2O*kgtoGg=0,"NO",('Activity data'!J15*EF!$H46*EF!$H64)*NtoN2O*kgtoGg)</f>
        <v>NO</v>
      </c>
      <c r="K46" s="28" t="str">
        <f>IF(('Activity data'!K15*EF!$H46*EF!$H64)*NtoN2O*kgtoGg=0,"NO",('Activity data'!K15*EF!$H46*EF!$H64)*NtoN2O*kgtoGg)</f>
        <v>NO</v>
      </c>
      <c r="L46" s="28" t="str">
        <f>IF(('Activity data'!L15*EF!$H46*EF!$H64)*NtoN2O*kgtoGg=0,"NO",('Activity data'!L15*EF!$H46*EF!$H64)*NtoN2O*kgtoGg)</f>
        <v>NO</v>
      </c>
      <c r="M46" s="28" t="str">
        <f>IF(('Activity data'!M15*EF!$H46*EF!$H64)*NtoN2O*kgtoGg=0,"NO",('Activity data'!M15*EF!$H46*EF!$H64)*NtoN2O*kgtoGg)</f>
        <v>NO</v>
      </c>
      <c r="N46" s="28" t="str">
        <f>IF(('Activity data'!N15*EF!$H46*EF!$H64)*NtoN2O*kgtoGg=0,"NO",('Activity data'!N15*EF!$H46*EF!$H64)*NtoN2O*kgtoGg)</f>
        <v>NO</v>
      </c>
      <c r="O46" s="28" t="str">
        <f>IF(('Activity data'!O15*EF!$H46*EF!$H64)*NtoN2O*kgtoGg=0,"NO",('Activity data'!O15*EF!$H46*EF!$H64)*NtoN2O*kgtoGg)</f>
        <v>NO</v>
      </c>
      <c r="P46" s="28" t="str">
        <f>IF(('Activity data'!P15*EF!$H46*EF!$H64)*NtoN2O*kgtoGg=0,"NO",('Activity data'!P15*EF!$H46*EF!$H64)*NtoN2O*kgtoGg)</f>
        <v>NO</v>
      </c>
      <c r="Q46" s="28" t="str">
        <f>IF(('Activity data'!Q15*EF!$H46*EF!$H64)*NtoN2O*kgtoGg=0,"NO",('Activity data'!Q15*EF!$H46*EF!$H64)*NtoN2O*kgtoGg)</f>
        <v>NO</v>
      </c>
      <c r="R46" s="28" t="str">
        <f>IF(('Activity data'!R15*EF!$H46*EF!$H64)*NtoN2O*kgtoGg=0,"NO",('Activity data'!R15*EF!$H46*EF!$H64)*NtoN2O*kgtoGg)</f>
        <v>NO</v>
      </c>
      <c r="S46" s="28" t="str">
        <f>IF(('Activity data'!S15*EF!$H46*EF!$H64)*NtoN2O*kgtoGg=0,"NO",('Activity data'!S15*EF!$H46*EF!$H64)*NtoN2O*kgtoGg)</f>
        <v>NO</v>
      </c>
      <c r="T46" s="28" t="str">
        <f>IF(('Activity data'!T15*EF!$H46*EF!$H64)*NtoN2O*kgtoGg=0,"NO",('Activity data'!T15*EF!$H46*EF!$H64)*NtoN2O*kgtoGg)</f>
        <v>NO</v>
      </c>
      <c r="U46" s="28" t="str">
        <f>IF(('Activity data'!U15*EF!$H46*EF!$H64)*NtoN2O*kgtoGg=0,"NO",('Activity data'!U15*EF!$H46*EF!$H64)*NtoN2O*kgtoGg)</f>
        <v>NO</v>
      </c>
      <c r="V46" s="28" t="str">
        <f>IF(('Activity data'!V15*EF!$H46*EF!$H64)*NtoN2O*kgtoGg=0,"NO",('Activity data'!V15*EF!$H46*EF!$H64)*NtoN2O*kgtoGg)</f>
        <v>NO</v>
      </c>
      <c r="W46" s="28" t="str">
        <f>IF(('Activity data'!W15*EF!$H46*EF!$H64)*NtoN2O*kgtoGg=0,"NO",('Activity data'!W15*EF!$H46*EF!$H64)*NtoN2O*kgtoGg)</f>
        <v>NO</v>
      </c>
      <c r="X46" s="28" t="str">
        <f>IF(('Activity data'!X15*EF!$H46*EF!$H64)*NtoN2O*kgtoGg=0,"NO",('Activity data'!X15*EF!$H46*EF!$H64)*NtoN2O*kgtoGg)</f>
        <v>NO</v>
      </c>
      <c r="Y46" s="28" t="str">
        <f>IF(('Activity data'!Y15*EF!$H46*EF!$H64)*NtoN2O*kgtoGg=0,"NO",('Activity data'!Y15*EF!$H46*EF!$H64)*NtoN2O*kgtoGg)</f>
        <v>NO</v>
      </c>
      <c r="Z46" s="28" t="str">
        <f>IF(('Activity data'!Z15*EF!$H46*EF!$H64)*NtoN2O*kgtoGg=0,"NO",('Activity data'!Z15*EF!$H46*EF!$H64)*NtoN2O*kgtoGg)</f>
        <v>NO</v>
      </c>
      <c r="AA46" s="28" t="str">
        <f>IF(('Activity data'!AA15*EF!$H46*EF!$H64)*NtoN2O*kgtoGg=0,"NO",('Activity data'!AA15*EF!$H46*EF!$H64)*NtoN2O*kgtoGg)</f>
        <v>NO</v>
      </c>
      <c r="AB46" s="28" t="str">
        <f>IF(('Activity data'!AB15*EF!$H46*EF!$H64)*NtoN2O*kgtoGg=0,"NO",('Activity data'!AB15*EF!$H46*EF!$H64)*NtoN2O*kgtoGg)</f>
        <v>NO</v>
      </c>
      <c r="AC46" s="28" t="str">
        <f>IF(('Activity data'!AC15*EF!$H46*EF!$H64)*NtoN2O*kgtoGg=0,"NO",('Activity data'!AC15*EF!$H46*EF!$H64)*NtoN2O*kgtoGg)</f>
        <v>NO</v>
      </c>
      <c r="AD46" s="28" t="str">
        <f>IF(('Activity data'!AD15*EF!$H46*EF!$H64)*NtoN2O*kgtoGg=0,"NO",('Activity data'!AD15*EF!$H46*EF!$H64)*NtoN2O*kgtoGg)</f>
        <v>NO</v>
      </c>
      <c r="AE46" s="28" t="str">
        <f>IF(('Activity data'!AE15*EF!$H46*EF!$H64)*NtoN2O*kgtoGg=0,"NO",('Activity data'!AE15*EF!$H46*EF!$H64)*NtoN2O*kgtoGg)</f>
        <v>NO</v>
      </c>
      <c r="AF46" s="28" t="str">
        <f>IF(('Activity data'!AF15*EF!$H46*EF!$H64)*NtoN2O*kgtoGg=0,"NO",('Activity data'!AF15*EF!$H46*EF!$H64)*NtoN2O*kgtoGg)</f>
        <v>NO</v>
      </c>
      <c r="AG46" s="28" t="str">
        <f>IF(('Activity data'!AG15*EF!$H46*EF!$H64)*NtoN2O*kgtoGg=0,"NO",('Activity data'!AG15*EF!$H46*EF!$H64)*NtoN2O*kgtoGg)</f>
        <v>NO</v>
      </c>
      <c r="AH46" s="28" t="str">
        <f>IF(('Activity data'!AH15*EF!$H46*EF!$H64)*NtoN2O*kgtoGg=0,"NO",('Activity data'!AH15*EF!$H46*EF!$H64)*NtoN2O*kgtoGg)</f>
        <v>NO</v>
      </c>
      <c r="AI46" s="28" t="str">
        <f>IF(('Activity data'!AI15*EF!$H46*EF!H64)*NtoN2O*kgtoGg=0,"NO",('Activity data'!AI15*EF!$H46*EF!H64)*NtoN2O*kgtoGg)</f>
        <v>NO</v>
      </c>
      <c r="AJ46" s="28" t="str">
        <f>IF(('Activity data'!AJ15*EF!$H46*EF!I64)*NtoN2O*kgtoGg=0,"NO",('Activity data'!AJ15*EF!$H46*EF!I64)*NtoN2O*kgtoGg)</f>
        <v>NO</v>
      </c>
      <c r="AK46" s="28" t="str">
        <f>IF(('Activity data'!AK15*EF!$H46*EF!J64)*NtoN2O*kgtoGg=0,"NO",('Activity data'!AK15*EF!$H46*EF!J64)*NtoN2O*kgtoGg)</f>
        <v>NO</v>
      </c>
      <c r="AL46" s="28" t="str">
        <f>IF(('Activity data'!AL15*EF!$H46*EF!K64)*NtoN2O*kgtoGg=0,"NO",('Activity data'!AL15*EF!$H46*EF!K64)*NtoN2O*kgtoGg)</f>
        <v>NO</v>
      </c>
      <c r="AM46" s="28" t="str">
        <f>IF(('Activity data'!AM15*EF!$H46*EF!L64)*NtoN2O*kgtoGg=0,"NO",('Activity data'!AM15*EF!$H46*EF!L64)*NtoN2O*kgtoGg)</f>
        <v>NO</v>
      </c>
      <c r="AN46" s="28" t="str">
        <f>IF(('Activity data'!AN15*EF!$H46*EF!M64)*NtoN2O*kgtoGg=0,"NO",('Activity data'!AN15*EF!$H46*EF!M64)*NtoN2O*kgtoGg)</f>
        <v>NO</v>
      </c>
      <c r="AO46" s="28" t="str">
        <f>IF(('Activity data'!AO15*EF!$H46*EF!N64)*NtoN2O*kgtoGg=0,"NO",('Activity data'!AO15*EF!$H46*EF!N64)*NtoN2O*kgtoGg)</f>
        <v>NO</v>
      </c>
      <c r="AP46" s="28" t="str">
        <f>IF(('Activity data'!AP15*EF!$H46*EF!O64)*NtoN2O*kgtoGg=0,"NO",('Activity data'!AP15*EF!$H46*EF!O64)*NtoN2O*kgtoGg)</f>
        <v>NO</v>
      </c>
      <c r="AQ46" s="28" t="str">
        <f>IF(('Activity data'!AQ15*EF!$H46*EF!P64)*NtoN2O*kgtoGg=0,"NO",('Activity data'!AQ15*EF!$H46*EF!P64)*NtoN2O*kgtoGg)</f>
        <v>NO</v>
      </c>
      <c r="AR46" s="28" t="str">
        <f>IF(('Activity data'!AR15*EF!$H46*EF!Q64)*NtoN2O*kgtoGg=0,"NO",('Activity data'!AR15*EF!$H46*EF!Q64)*NtoN2O*kgtoGg)</f>
        <v>NO</v>
      </c>
      <c r="AS46" s="28" t="str">
        <f>IF(('Activity data'!AS15*EF!$H46*EF!R64)*NtoN2O*kgtoGg=0,"NO",('Activity data'!AS15*EF!$H46*EF!R64)*NtoN2O*kgtoGg)</f>
        <v>NO</v>
      </c>
      <c r="AT46" s="28" t="str">
        <f>IF(('Activity data'!AT15*EF!$H46*EF!S64)*NtoN2O*kgtoGg=0,"NO",('Activity data'!AT15*EF!$H46*EF!S64)*NtoN2O*kgtoGg)</f>
        <v>NO</v>
      </c>
      <c r="AU46" s="28" t="str">
        <f>IF(('Activity data'!AU15*EF!$H46*EF!T64)*NtoN2O*kgtoGg=0,"NO",('Activity data'!AU15*EF!$H46*EF!T64)*NtoN2O*kgtoGg)</f>
        <v>NO</v>
      </c>
      <c r="AV46" s="28" t="str">
        <f>IF(('Activity data'!AV15*EF!$H46*EF!U64)*NtoN2O*kgtoGg=0,"NO",('Activity data'!AV15*EF!$H46*EF!U64)*NtoN2O*kgtoGg)</f>
        <v>NO</v>
      </c>
      <c r="AW46" s="28" t="str">
        <f>IF(('Activity data'!AW15*EF!$H46*EF!V64)*NtoN2O*kgtoGg=0,"NO",('Activity data'!AW15*EF!$H46*EF!V64)*NtoN2O*kgtoGg)</f>
        <v>NO</v>
      </c>
      <c r="AX46" s="28" t="str">
        <f>IF(('Activity data'!AX15*EF!$H46*EF!W64)*NtoN2O*kgtoGg=0,"NO",('Activity data'!AX15*EF!$H46*EF!W64)*NtoN2O*kgtoGg)</f>
        <v>NO</v>
      </c>
      <c r="AY46" s="28" t="str">
        <f>IF(('Activity data'!AY15*EF!$H46*EF!X64)*NtoN2O*kgtoGg=0,"NO",('Activity data'!AY15*EF!$H46*EF!X64)*NtoN2O*kgtoGg)</f>
        <v>NO</v>
      </c>
      <c r="AZ46" s="28" t="str">
        <f>IF(('Activity data'!AZ15*EF!$H46*EF!Y64)*NtoN2O*kgtoGg=0,"NO",('Activity data'!AZ15*EF!$H46*EF!Y64)*NtoN2O*kgtoGg)</f>
        <v>NO</v>
      </c>
      <c r="BA46" s="28" t="str">
        <f>IF(('Activity data'!BA15*EF!$H46*EF!Z64)*NtoN2O*kgtoGg=0,"NO",('Activity data'!BA15*EF!$H46*EF!Z64)*NtoN2O*kgtoGg)</f>
        <v>NO</v>
      </c>
      <c r="BB46" s="28" t="str">
        <f>IF(('Activity data'!BB15*EF!$H46*EF!AA64)*NtoN2O*kgtoGg=0,"NO",('Activity data'!BB15*EF!$H46*EF!AA64)*NtoN2O*kgtoGg)</f>
        <v>NO</v>
      </c>
      <c r="BC46" s="28" t="str">
        <f>IF(('Activity data'!BC15*EF!$H46*EF!AB64)*NtoN2O*kgtoGg=0,"NO",('Activity data'!BC15*EF!$H46*EF!AB64)*NtoN2O*kgtoGg)</f>
        <v>NO</v>
      </c>
      <c r="BD46" s="28" t="str">
        <f>IF(('Activity data'!BD15*EF!$H46*EF!AC64)*NtoN2O*kgtoGg=0,"NO",('Activity data'!BD15*EF!$H46*EF!AC64)*NtoN2O*kgtoGg)</f>
        <v>NO</v>
      </c>
      <c r="BE46" s="28" t="str">
        <f>IF(('Activity data'!BE15*EF!$H46*EF!AD64)*NtoN2O*kgtoGg=0,"NO",('Activity data'!BE15*EF!$H46*EF!AD64)*NtoN2O*kgtoGg)</f>
        <v>NO</v>
      </c>
      <c r="BF46" s="28" t="str">
        <f>IF(('Activity data'!BF15*EF!$H46*EF!AE64)*NtoN2O*kgtoGg=0,"NO",('Activity data'!BF15*EF!$H46*EF!AE64)*NtoN2O*kgtoGg)</f>
        <v>NO</v>
      </c>
      <c r="BG46" s="28" t="str">
        <f>IF(('Activity data'!BG15*EF!$H46*EF!AF64)*NtoN2O*kgtoGg=0,"NO",('Activity data'!BG15*EF!$H46*EF!AF64)*NtoN2O*kgtoGg)</f>
        <v>NO</v>
      </c>
      <c r="BH46" s="28" t="str">
        <f>IF(('Activity data'!BH15*EF!$H46*EF!AG64)*NtoN2O*kgtoGg=0,"NO",('Activity data'!BH15*EF!$H46*EF!AG64)*NtoN2O*kgtoGg)</f>
        <v>NO</v>
      </c>
      <c r="BI46" s="28" t="str">
        <f>IF(('Activity data'!BI15*EF!$H46*EF!AH64)*NtoN2O*kgtoGg=0,"NO",('Activity data'!BI15*EF!$H46*EF!AH64)*NtoN2O*kgtoGg)</f>
        <v>NO</v>
      </c>
      <c r="BJ46" s="28" t="str">
        <f>IF(('Activity data'!BJ15*EF!$H46*EF!AI64)*NtoN2O*kgtoGg=0,"NO",('Activity data'!BJ15*EF!$H46*EF!AI64)*NtoN2O*kgtoGg)</f>
        <v>NO</v>
      </c>
      <c r="BK46" s="28" t="str">
        <f>IF(('Activity data'!BK15*EF!$H46*EF!AJ64)*NtoN2O*kgtoGg=0,"NO",('Activity data'!BK15*EF!$H46*EF!AJ64)*NtoN2O*kgtoGg)</f>
        <v>NO</v>
      </c>
      <c r="BL46" s="28" t="str">
        <f>IF(('Activity data'!BL15*EF!$H46*EF!AK64)*NtoN2O*kgtoGg=0,"NO",('Activity data'!BL15*EF!$H46*EF!AK64)*NtoN2O*kgtoGg)</f>
        <v>NO</v>
      </c>
      <c r="BM46" s="28" t="str">
        <f>IF(('Activity data'!BM15*EF!$H46*EF!AL64)*NtoN2O*kgtoGg=0,"NO",('Activity data'!BM15*EF!$H46*EF!AL64)*NtoN2O*kgtoGg)</f>
        <v>NO</v>
      </c>
      <c r="BN46" s="28" t="str">
        <f>IF(('Activity data'!BN15*EF!$H46*EF!AM64)*NtoN2O*kgtoGg=0,"NO",('Activity data'!BN15*EF!$H46*EF!AM64)*NtoN2O*kgtoGg)</f>
        <v>NO</v>
      </c>
      <c r="BO46" s="28" t="str">
        <f>IF(('Activity data'!BO15*EF!$H46*EF!AN64)*NtoN2O*kgtoGg=0,"NO",('Activity data'!BO15*EF!$H46*EF!AN64)*NtoN2O*kgtoGg)</f>
        <v>NO</v>
      </c>
      <c r="BP46" s="28" t="str">
        <f>IF(('Activity data'!BP15*EF!$H46*EF!AO64)*NtoN2O*kgtoGg=0,"NO",('Activity data'!BP15*EF!$H46*EF!AO64)*NtoN2O*kgtoGg)</f>
        <v>NO</v>
      </c>
    </row>
    <row r="47" spans="1:68" x14ac:dyDescent="0.25">
      <c r="A47" t="str">
        <f t="shared" si="1"/>
        <v>3A Livestock</v>
      </c>
      <c r="B47" t="str">
        <f t="shared" si="11"/>
        <v>3A2 Manure management (N2O)</v>
      </c>
      <c r="C47" t="str">
        <f>EF!C65</f>
        <v>3A1g Mules &amp; asses</v>
      </c>
      <c r="D47" t="str">
        <f>EF!D65</f>
        <v>Mules &amp; Asses</v>
      </c>
      <c r="E47" t="str">
        <f t="shared" si="9"/>
        <v>Manure management Emissions</v>
      </c>
      <c r="F47" t="s">
        <v>139</v>
      </c>
      <c r="G47" t="str">
        <f t="shared" si="10"/>
        <v>Gg N2O</v>
      </c>
      <c r="H47" s="28" t="str">
        <f>IF(('Activity data'!H16*EF!$H47*EF!$H65)*NtoN2O*kgtoGg=0,"NO",('Activity data'!H16*EF!$H47*EF!$H65)*NtoN2O*kgtoGg)</f>
        <v>NO</v>
      </c>
      <c r="I47" s="28" t="str">
        <f>IF(('Activity data'!I16*EF!$H47*EF!$H65)*NtoN2O*kgtoGg=0,"NO",('Activity data'!I16*EF!$H47*EF!$H65)*NtoN2O*kgtoGg)</f>
        <v>NO</v>
      </c>
      <c r="J47" s="28" t="str">
        <f>IF(('Activity data'!J16*EF!$H47*EF!$H65)*NtoN2O*kgtoGg=0,"NO",('Activity data'!J16*EF!$H47*EF!$H65)*NtoN2O*kgtoGg)</f>
        <v>NO</v>
      </c>
      <c r="K47" s="28" t="str">
        <f>IF(('Activity data'!K16*EF!$H47*EF!$H65)*NtoN2O*kgtoGg=0,"NO",('Activity data'!K16*EF!$H47*EF!$H65)*NtoN2O*kgtoGg)</f>
        <v>NO</v>
      </c>
      <c r="L47" s="28" t="str">
        <f>IF(('Activity data'!L16*EF!$H47*EF!$H65)*NtoN2O*kgtoGg=0,"NO",('Activity data'!L16*EF!$H47*EF!$H65)*NtoN2O*kgtoGg)</f>
        <v>NO</v>
      </c>
      <c r="M47" s="28" t="str">
        <f>IF(('Activity data'!M16*EF!$H47*EF!$H65)*NtoN2O*kgtoGg=0,"NO",('Activity data'!M16*EF!$H47*EF!$H65)*NtoN2O*kgtoGg)</f>
        <v>NO</v>
      </c>
      <c r="N47" s="28" t="str">
        <f>IF(('Activity data'!N16*EF!$H47*EF!$H65)*NtoN2O*kgtoGg=0,"NO",('Activity data'!N16*EF!$H47*EF!$H65)*NtoN2O*kgtoGg)</f>
        <v>NO</v>
      </c>
      <c r="O47" s="28" t="str">
        <f>IF(('Activity data'!O16*EF!$H47*EF!$H65)*NtoN2O*kgtoGg=0,"NO",('Activity data'!O16*EF!$H47*EF!$H65)*NtoN2O*kgtoGg)</f>
        <v>NO</v>
      </c>
      <c r="P47" s="28" t="str">
        <f>IF(('Activity data'!P16*EF!$H47*EF!$H65)*NtoN2O*kgtoGg=0,"NO",('Activity data'!P16*EF!$H47*EF!$H65)*NtoN2O*kgtoGg)</f>
        <v>NO</v>
      </c>
      <c r="Q47" s="28" t="str">
        <f>IF(('Activity data'!Q16*EF!$H47*EF!$H65)*NtoN2O*kgtoGg=0,"NO",('Activity data'!Q16*EF!$H47*EF!$H65)*NtoN2O*kgtoGg)</f>
        <v>NO</v>
      </c>
      <c r="R47" s="28" t="str">
        <f>IF(('Activity data'!R16*EF!$H47*EF!$H65)*NtoN2O*kgtoGg=0,"NO",('Activity data'!R16*EF!$H47*EF!$H65)*NtoN2O*kgtoGg)</f>
        <v>NO</v>
      </c>
      <c r="S47" s="28" t="str">
        <f>IF(('Activity data'!S16*EF!$H47*EF!$H65)*NtoN2O*kgtoGg=0,"NO",('Activity data'!S16*EF!$H47*EF!$H65)*NtoN2O*kgtoGg)</f>
        <v>NO</v>
      </c>
      <c r="T47" s="28" t="str">
        <f>IF(('Activity data'!T16*EF!$H47*EF!$H65)*NtoN2O*kgtoGg=0,"NO",('Activity data'!T16*EF!$H47*EF!$H65)*NtoN2O*kgtoGg)</f>
        <v>NO</v>
      </c>
      <c r="U47" s="28" t="str">
        <f>IF(('Activity data'!U16*EF!$H47*EF!$H65)*NtoN2O*kgtoGg=0,"NO",('Activity data'!U16*EF!$H47*EF!$H65)*NtoN2O*kgtoGg)</f>
        <v>NO</v>
      </c>
      <c r="V47" s="28" t="str">
        <f>IF(('Activity data'!V16*EF!$H47*EF!$H65)*NtoN2O*kgtoGg=0,"NO",('Activity data'!V16*EF!$H47*EF!$H65)*NtoN2O*kgtoGg)</f>
        <v>NO</v>
      </c>
      <c r="W47" s="28" t="str">
        <f>IF(('Activity data'!W16*EF!$H47*EF!$H65)*NtoN2O*kgtoGg=0,"NO",('Activity data'!W16*EF!$H47*EF!$H65)*NtoN2O*kgtoGg)</f>
        <v>NO</v>
      </c>
      <c r="X47" s="28" t="str">
        <f>IF(('Activity data'!X16*EF!$H47*EF!$H65)*NtoN2O*kgtoGg=0,"NO",('Activity data'!X16*EF!$H47*EF!$H65)*NtoN2O*kgtoGg)</f>
        <v>NO</v>
      </c>
      <c r="Y47" s="28" t="str">
        <f>IF(('Activity data'!Y16*EF!$H47*EF!$H65)*NtoN2O*kgtoGg=0,"NO",('Activity data'!Y16*EF!$H47*EF!$H65)*NtoN2O*kgtoGg)</f>
        <v>NO</v>
      </c>
      <c r="Z47" s="28" t="str">
        <f>IF(('Activity data'!Z16*EF!$H47*EF!$H65)*NtoN2O*kgtoGg=0,"NO",('Activity data'!Z16*EF!$H47*EF!$H65)*NtoN2O*kgtoGg)</f>
        <v>NO</v>
      </c>
      <c r="AA47" s="28" t="str">
        <f>IF(('Activity data'!AA16*EF!$H47*EF!$H65)*NtoN2O*kgtoGg=0,"NO",('Activity data'!AA16*EF!$H47*EF!$H65)*NtoN2O*kgtoGg)</f>
        <v>NO</v>
      </c>
      <c r="AB47" s="28" t="str">
        <f>IF(('Activity data'!AB16*EF!$H47*EF!$H65)*NtoN2O*kgtoGg=0,"NO",('Activity data'!AB16*EF!$H47*EF!$H65)*NtoN2O*kgtoGg)</f>
        <v>NO</v>
      </c>
      <c r="AC47" s="28" t="str">
        <f>IF(('Activity data'!AC16*EF!$H47*EF!$H65)*NtoN2O*kgtoGg=0,"NO",('Activity data'!AC16*EF!$H47*EF!$H65)*NtoN2O*kgtoGg)</f>
        <v>NO</v>
      </c>
      <c r="AD47" s="28" t="str">
        <f>IF(('Activity data'!AD16*EF!$H47*EF!$H65)*NtoN2O*kgtoGg=0,"NO",('Activity data'!AD16*EF!$H47*EF!$H65)*NtoN2O*kgtoGg)</f>
        <v>NO</v>
      </c>
      <c r="AE47" s="28" t="str">
        <f>IF(('Activity data'!AE16*EF!$H47*EF!$H65)*NtoN2O*kgtoGg=0,"NO",('Activity data'!AE16*EF!$H47*EF!$H65)*NtoN2O*kgtoGg)</f>
        <v>NO</v>
      </c>
      <c r="AF47" s="28" t="str">
        <f>IF(('Activity data'!AF16*EF!$H47*EF!$H65)*NtoN2O*kgtoGg=0,"NO",('Activity data'!AF16*EF!$H47*EF!$H65)*NtoN2O*kgtoGg)</f>
        <v>NO</v>
      </c>
      <c r="AG47" s="28" t="str">
        <f>IF(('Activity data'!AG16*EF!$H47*EF!$H65)*NtoN2O*kgtoGg=0,"NO",('Activity data'!AG16*EF!$H47*EF!$H65)*NtoN2O*kgtoGg)</f>
        <v>NO</v>
      </c>
      <c r="AH47" s="28" t="str">
        <f>IF(('Activity data'!AH16*EF!$H47*EF!$H65)*NtoN2O*kgtoGg=0,"NO",('Activity data'!AH16*EF!$H47*EF!$H65)*NtoN2O*kgtoGg)</f>
        <v>NO</v>
      </c>
      <c r="AI47" s="28" t="str">
        <f>IF(('Activity data'!AI16*EF!$H47*EF!H65)*NtoN2O*kgtoGg=0,"NO",('Activity data'!AI16*EF!$H47*EF!H65)*NtoN2O*kgtoGg)</f>
        <v>NO</v>
      </c>
      <c r="AJ47" s="28" t="str">
        <f>IF(('Activity data'!AJ16*EF!$H47*EF!I65)*NtoN2O*kgtoGg=0,"NO",('Activity data'!AJ16*EF!$H47*EF!I65)*NtoN2O*kgtoGg)</f>
        <v>NO</v>
      </c>
      <c r="AK47" s="28" t="str">
        <f>IF(('Activity data'!AK16*EF!$H47*EF!J65)*NtoN2O*kgtoGg=0,"NO",('Activity data'!AK16*EF!$H47*EF!J65)*NtoN2O*kgtoGg)</f>
        <v>NO</v>
      </c>
      <c r="AL47" s="28" t="str">
        <f>IF(('Activity data'!AL16*EF!$H47*EF!K65)*NtoN2O*kgtoGg=0,"NO",('Activity data'!AL16*EF!$H47*EF!K65)*NtoN2O*kgtoGg)</f>
        <v>NO</v>
      </c>
      <c r="AM47" s="28" t="str">
        <f>IF(('Activity data'!AM16*EF!$H47*EF!L65)*NtoN2O*kgtoGg=0,"NO",('Activity data'!AM16*EF!$H47*EF!L65)*NtoN2O*kgtoGg)</f>
        <v>NO</v>
      </c>
      <c r="AN47" s="28" t="str">
        <f>IF(('Activity data'!AN16*EF!$H47*EF!M65)*NtoN2O*kgtoGg=0,"NO",('Activity data'!AN16*EF!$H47*EF!M65)*NtoN2O*kgtoGg)</f>
        <v>NO</v>
      </c>
      <c r="AO47" s="28" t="str">
        <f>IF(('Activity data'!AO16*EF!$H47*EF!N65)*NtoN2O*kgtoGg=0,"NO",('Activity data'!AO16*EF!$H47*EF!N65)*NtoN2O*kgtoGg)</f>
        <v>NO</v>
      </c>
      <c r="AP47" s="28" t="str">
        <f>IF(('Activity data'!AP16*EF!$H47*EF!O65)*NtoN2O*kgtoGg=0,"NO",('Activity data'!AP16*EF!$H47*EF!O65)*NtoN2O*kgtoGg)</f>
        <v>NO</v>
      </c>
      <c r="AQ47" s="28" t="str">
        <f>IF(('Activity data'!AQ16*EF!$H47*EF!P65)*NtoN2O*kgtoGg=0,"NO",('Activity data'!AQ16*EF!$H47*EF!P65)*NtoN2O*kgtoGg)</f>
        <v>NO</v>
      </c>
      <c r="AR47" s="28" t="str">
        <f>IF(('Activity data'!AR16*EF!$H47*EF!Q65)*NtoN2O*kgtoGg=0,"NO",('Activity data'!AR16*EF!$H47*EF!Q65)*NtoN2O*kgtoGg)</f>
        <v>NO</v>
      </c>
      <c r="AS47" s="28" t="str">
        <f>IF(('Activity data'!AS16*EF!$H47*EF!R65)*NtoN2O*kgtoGg=0,"NO",('Activity data'!AS16*EF!$H47*EF!R65)*NtoN2O*kgtoGg)</f>
        <v>NO</v>
      </c>
      <c r="AT47" s="28" t="str">
        <f>IF(('Activity data'!AT16*EF!$H47*EF!S65)*NtoN2O*kgtoGg=0,"NO",('Activity data'!AT16*EF!$H47*EF!S65)*NtoN2O*kgtoGg)</f>
        <v>NO</v>
      </c>
      <c r="AU47" s="28" t="str">
        <f>IF(('Activity data'!AU16*EF!$H47*EF!T65)*NtoN2O*kgtoGg=0,"NO",('Activity data'!AU16*EF!$H47*EF!T65)*NtoN2O*kgtoGg)</f>
        <v>NO</v>
      </c>
      <c r="AV47" s="28" t="str">
        <f>IF(('Activity data'!AV16*EF!$H47*EF!U65)*NtoN2O*kgtoGg=0,"NO",('Activity data'!AV16*EF!$H47*EF!U65)*NtoN2O*kgtoGg)</f>
        <v>NO</v>
      </c>
      <c r="AW47" s="28" t="str">
        <f>IF(('Activity data'!AW16*EF!$H47*EF!V65)*NtoN2O*kgtoGg=0,"NO",('Activity data'!AW16*EF!$H47*EF!V65)*NtoN2O*kgtoGg)</f>
        <v>NO</v>
      </c>
      <c r="AX47" s="28" t="str">
        <f>IF(('Activity data'!AX16*EF!$H47*EF!W65)*NtoN2O*kgtoGg=0,"NO",('Activity data'!AX16*EF!$H47*EF!W65)*NtoN2O*kgtoGg)</f>
        <v>NO</v>
      </c>
      <c r="AY47" s="28" t="str">
        <f>IF(('Activity data'!AY16*EF!$H47*EF!X65)*NtoN2O*kgtoGg=0,"NO",('Activity data'!AY16*EF!$H47*EF!X65)*NtoN2O*kgtoGg)</f>
        <v>NO</v>
      </c>
      <c r="AZ47" s="28" t="str">
        <f>IF(('Activity data'!AZ16*EF!$H47*EF!Y65)*NtoN2O*kgtoGg=0,"NO",('Activity data'!AZ16*EF!$H47*EF!Y65)*NtoN2O*kgtoGg)</f>
        <v>NO</v>
      </c>
      <c r="BA47" s="28" t="str">
        <f>IF(('Activity data'!BA16*EF!$H47*EF!Z65)*NtoN2O*kgtoGg=0,"NO",('Activity data'!BA16*EF!$H47*EF!Z65)*NtoN2O*kgtoGg)</f>
        <v>NO</v>
      </c>
      <c r="BB47" s="28" t="str">
        <f>IF(('Activity data'!BB16*EF!$H47*EF!AA65)*NtoN2O*kgtoGg=0,"NO",('Activity data'!BB16*EF!$H47*EF!AA65)*NtoN2O*kgtoGg)</f>
        <v>NO</v>
      </c>
      <c r="BC47" s="28" t="str">
        <f>IF(('Activity data'!BC16*EF!$H47*EF!AB65)*NtoN2O*kgtoGg=0,"NO",('Activity data'!BC16*EF!$H47*EF!AB65)*NtoN2O*kgtoGg)</f>
        <v>NO</v>
      </c>
      <c r="BD47" s="28" t="str">
        <f>IF(('Activity data'!BD16*EF!$H47*EF!AC65)*NtoN2O*kgtoGg=0,"NO",('Activity data'!BD16*EF!$H47*EF!AC65)*NtoN2O*kgtoGg)</f>
        <v>NO</v>
      </c>
      <c r="BE47" s="28" t="str">
        <f>IF(('Activity data'!BE16*EF!$H47*EF!AD65)*NtoN2O*kgtoGg=0,"NO",('Activity data'!BE16*EF!$H47*EF!AD65)*NtoN2O*kgtoGg)</f>
        <v>NO</v>
      </c>
      <c r="BF47" s="28" t="str">
        <f>IF(('Activity data'!BF16*EF!$H47*EF!AE65)*NtoN2O*kgtoGg=0,"NO",('Activity data'!BF16*EF!$H47*EF!AE65)*NtoN2O*kgtoGg)</f>
        <v>NO</v>
      </c>
      <c r="BG47" s="28" t="str">
        <f>IF(('Activity data'!BG16*EF!$H47*EF!AF65)*NtoN2O*kgtoGg=0,"NO",('Activity data'!BG16*EF!$H47*EF!AF65)*NtoN2O*kgtoGg)</f>
        <v>NO</v>
      </c>
      <c r="BH47" s="28" t="str">
        <f>IF(('Activity data'!BH16*EF!$H47*EF!AG65)*NtoN2O*kgtoGg=0,"NO",('Activity data'!BH16*EF!$H47*EF!AG65)*NtoN2O*kgtoGg)</f>
        <v>NO</v>
      </c>
      <c r="BI47" s="28" t="str">
        <f>IF(('Activity data'!BI16*EF!$H47*EF!AH65)*NtoN2O*kgtoGg=0,"NO",('Activity data'!BI16*EF!$H47*EF!AH65)*NtoN2O*kgtoGg)</f>
        <v>NO</v>
      </c>
      <c r="BJ47" s="28" t="str">
        <f>IF(('Activity data'!BJ16*EF!$H47*EF!AI65)*NtoN2O*kgtoGg=0,"NO",('Activity data'!BJ16*EF!$H47*EF!AI65)*NtoN2O*kgtoGg)</f>
        <v>NO</v>
      </c>
      <c r="BK47" s="28" t="str">
        <f>IF(('Activity data'!BK16*EF!$H47*EF!AJ65)*NtoN2O*kgtoGg=0,"NO",('Activity data'!BK16*EF!$H47*EF!AJ65)*NtoN2O*kgtoGg)</f>
        <v>NO</v>
      </c>
      <c r="BL47" s="28" t="str">
        <f>IF(('Activity data'!BL16*EF!$H47*EF!AK65)*NtoN2O*kgtoGg=0,"NO",('Activity data'!BL16*EF!$H47*EF!AK65)*NtoN2O*kgtoGg)</f>
        <v>NO</v>
      </c>
      <c r="BM47" s="28" t="str">
        <f>IF(('Activity data'!BM16*EF!$H47*EF!AL65)*NtoN2O*kgtoGg=0,"NO",('Activity data'!BM16*EF!$H47*EF!AL65)*NtoN2O*kgtoGg)</f>
        <v>NO</v>
      </c>
      <c r="BN47" s="28" t="str">
        <f>IF(('Activity data'!BN16*EF!$H47*EF!AM65)*NtoN2O*kgtoGg=0,"NO",('Activity data'!BN16*EF!$H47*EF!AM65)*NtoN2O*kgtoGg)</f>
        <v>NO</v>
      </c>
      <c r="BO47" s="28" t="str">
        <f>IF(('Activity data'!BO16*EF!$H47*EF!AN65)*NtoN2O*kgtoGg=0,"NO",('Activity data'!BO16*EF!$H47*EF!AN65)*NtoN2O*kgtoGg)</f>
        <v>NO</v>
      </c>
      <c r="BP47" s="28" t="str">
        <f>IF(('Activity data'!BP16*EF!$H47*EF!AO65)*NtoN2O*kgtoGg=0,"NO",('Activity data'!BP16*EF!$H47*EF!AO65)*NtoN2O*kgtoGg)</f>
        <v>NO</v>
      </c>
    </row>
    <row r="48" spans="1:68" x14ac:dyDescent="0.25">
      <c r="A48" t="str">
        <f t="shared" si="1"/>
        <v>3A Livestock</v>
      </c>
      <c r="B48" t="str">
        <f t="shared" si="11"/>
        <v>3A2 Manure management (N2O)</v>
      </c>
      <c r="C48" t="str">
        <f>EF!C66</f>
        <v>3A1h Swine</v>
      </c>
      <c r="D48" t="str">
        <f>EF!D66</f>
        <v>Commercial</v>
      </c>
      <c r="E48" t="str">
        <f t="shared" si="9"/>
        <v>Manure management Emissions</v>
      </c>
      <c r="F48" t="s">
        <v>139</v>
      </c>
      <c r="G48" t="str">
        <f t="shared" si="10"/>
        <v>Gg N2O</v>
      </c>
      <c r="H48" s="28">
        <f>IF(('Activity data'!H17*EF!$H48*EF!$H66)*NtoN2O*kgtoGg=0,"NO",('Activity data'!H17*EF!$H48*EF!$H66)*NtoN2O*kgtoGg)</f>
        <v>8.969533176685715E-2</v>
      </c>
      <c r="I48" s="28">
        <f>IF(('Activity data'!I17*EF!$H48*EF!$H66)*NtoN2O*kgtoGg=0,"NO",('Activity data'!I17*EF!$H48*EF!$H66)*NtoN2O*kgtoGg)</f>
        <v>9.7993915611428561E-2</v>
      </c>
      <c r="J48" s="28">
        <f>IF(('Activity data'!J17*EF!$H48*EF!$H66)*NtoN2O*kgtoGg=0,"NO",('Activity data'!J17*EF!$H48*EF!$H66)*NtoN2O*kgtoGg)</f>
        <v>9.7346508361142864E-2</v>
      </c>
      <c r="K48" s="28">
        <f>IF(('Activity data'!K17*EF!$H48*EF!$H66)*NtoN2O*kgtoGg=0,"NO",('Activity data'!K17*EF!$H48*EF!$H66)*NtoN2O*kgtoGg)</f>
        <v>9.7287653156571438E-2</v>
      </c>
      <c r="L48" s="28">
        <f>IF(('Activity data'!L17*EF!$H48*EF!$H66)*NtoN2O*kgtoGg=0,"NO",('Activity data'!L17*EF!$H48*EF!$H66)*NtoN2O*kgtoGg)</f>
        <v>9.2402671177142848E-2</v>
      </c>
      <c r="M48" s="28">
        <f>IF(('Activity data'!M17*EF!$H48*EF!$H66)*NtoN2O*kgtoGg=0,"NO",('Activity data'!M17*EF!$H48*EF!$H66)*NtoN2O*kgtoGg)</f>
        <v>9.328549924571429E-2</v>
      </c>
      <c r="N48" s="28">
        <f>IF(('Activity data'!N17*EF!$H48*EF!$H66)*NtoN2O*kgtoGg=0,"NO",('Activity data'!N17*EF!$H48*EF!$H66)*NtoN2O*kgtoGg)</f>
        <v>0.10046583420342857</v>
      </c>
      <c r="O48" s="28">
        <f>IF(('Activity data'!O17*EF!$H48*EF!$H66)*NtoN2O*kgtoGg=0,"NO",('Activity data'!O17*EF!$H48*EF!$H66)*NtoN2O*kgtoGg)</f>
        <v>9.9994992566857149E-2</v>
      </c>
      <c r="P48" s="28">
        <f>IF(('Activity data'!P17*EF!$H48*EF!$H66)*NtoN2O*kgtoGg=0,"NO",('Activity data'!P17*EF!$H48*EF!$H66)*NtoN2O*kgtoGg)</f>
        <v>0.102172635136</v>
      </c>
      <c r="Q48" s="28">
        <f>IF(('Activity data'!Q17*EF!$H48*EF!$H66)*NtoN2O*kgtoGg=0,"NO",('Activity data'!Q17*EF!$H48*EF!$H66)*NtoN2O*kgtoGg)</f>
        <v>0.10476226413714287</v>
      </c>
      <c r="R48" s="28">
        <f>IF(('Activity data'!R17*EF!$H48*EF!$H66)*NtoN2O*kgtoGg=0,"NO",('Activity data'!R17*EF!$H48*EF!$H66)*NtoN2O*kgtoGg)</f>
        <v>9.6934521929142842E-2</v>
      </c>
      <c r="S48" s="28">
        <f>IF(('Activity data'!S17*EF!$H48*EF!$H66)*NtoN2O*kgtoGg=0,"NO",('Activity data'!S17*EF!$H48*EF!$H66)*NtoN2O*kgtoGg)</f>
        <v>9.8759033270857152E-2</v>
      </c>
      <c r="T48" s="28">
        <f>IF(('Activity data'!T17*EF!$H48*EF!$H66)*NtoN2O*kgtoGg=0,"NO",('Activity data'!T17*EF!$H48*EF!$H66)*NtoN2O*kgtoGg)</f>
        <v>0.10064239981714285</v>
      </c>
      <c r="U48" s="28">
        <f>IF(('Activity data'!U17*EF!$H48*EF!$H66)*NtoN2O*kgtoGg=0,"NO",('Activity data'!U17*EF!$H48*EF!$H66)*NtoN2O*kgtoGg)</f>
        <v>9.7876205202285724E-2</v>
      </c>
      <c r="V48" s="28">
        <f>IF(('Activity data'!V17*EF!$H48*EF!$H66)*NtoN2O*kgtoGg=0,"NO",('Activity data'!V17*EF!$H48*EF!$H66)*NtoN2O*kgtoGg)</f>
        <v>9.7876205202285724E-2</v>
      </c>
      <c r="W48" s="28">
        <f>IF(('Activity data'!W17*EF!$H48*EF!$H66)*NtoN2O*kgtoGg=0,"NO",('Activity data'!W17*EF!$H48*EF!$H66)*NtoN2O*kgtoGg)</f>
        <v>9.7169942747428573E-2</v>
      </c>
      <c r="X48" s="28">
        <f>IF(('Activity data'!X17*EF!$H48*EF!$H66)*NtoN2O*kgtoGg=0,"NO",('Activity data'!X17*EF!$H48*EF!$H66)*NtoN2O*kgtoGg)</f>
        <v>9.5463141814857155E-2</v>
      </c>
      <c r="Y48" s="28">
        <f>IF(('Activity data'!Y17*EF!$H48*EF!$H66)*NtoN2O*kgtoGg=0,"NO",('Activity data'!Y17*EF!$H48*EF!$H66)*NtoN2O*kgtoGg)</f>
        <v>9.7169942747428573E-2</v>
      </c>
      <c r="Z48" s="28">
        <f>IF(('Activity data'!Z17*EF!$H48*EF!$H66)*NtoN2O*kgtoGg=0,"NO",('Activity data'!Z17*EF!$H48*EF!$H66)*NtoN2O*kgtoGg)</f>
        <v>9.5051155382857147E-2</v>
      </c>
      <c r="AA48" s="28">
        <f>IF(('Activity data'!AA17*EF!$H48*EF!$H66)*NtoN2O*kgtoGg=0,"NO",('Activity data'!AA17*EF!$H48*EF!$H66)*NtoN2O*kgtoGg)</f>
        <v>9.4933444973714295E-2</v>
      </c>
      <c r="AB48" s="28">
        <f>IF(('Activity data'!AB17*EF!$H48*EF!$H66)*NtoN2O*kgtoGg=0,"NO",('Activity data'!AB17*EF!$H48*EF!$H66)*NtoN2O*kgtoGg)</f>
        <v>9.381519608685715E-2</v>
      </c>
      <c r="AC48" s="28">
        <f>IF(('Activity data'!AC17*EF!$H48*EF!$H66)*NtoN2O*kgtoGg=0,"NO",('Activity data'!AC17*EF!$H48*EF!$H66)*NtoN2O*kgtoGg)</f>
        <v>9.3226644041142864E-2</v>
      </c>
      <c r="AD48" s="28">
        <f>IF(('Activity data'!AD17*EF!$H48*EF!$H66)*NtoN2O*kgtoGg=0,"NO",('Activity data'!AD17*EF!$H48*EF!$H66)*NtoN2O*kgtoGg)</f>
        <v>9.7933128469683633E-2</v>
      </c>
      <c r="AE48" s="28">
        <f>IF(('Activity data'!AE17*EF!$H48*EF!$H66)*NtoN2O*kgtoGg=0,"NO",('Activity data'!AE17*EF!$H48*EF!$H66)*NtoN2O*kgtoGg)</f>
        <v>9.7929366251675656E-2</v>
      </c>
      <c r="AF48" s="28">
        <f>IF(('Activity data'!AF17*EF!$H48*EF!$H66)*NtoN2O*kgtoGg=0,"NO",('Activity data'!AF17*EF!$H48*EF!$H66)*NtoN2O*kgtoGg)</f>
        <v>9.7008455482803027E-2</v>
      </c>
      <c r="AG48" s="28">
        <f>IF(('Activity data'!AG17*EF!$H48*EF!$H66)*NtoN2O*kgtoGg=0,"NO",('Activity data'!AG17*EF!$H48*EF!$H66)*NtoN2O*kgtoGg)</f>
        <v>9.5390786970132507E-2</v>
      </c>
      <c r="AH48" s="28">
        <f>IF(('Activity data'!AH17*EF!$H48*EF!$H66)*NtoN2O*kgtoGg=0,"NO",('Activity data'!AH17*EF!$H48*EF!$H66)*NtoN2O*kgtoGg)</f>
        <v>9.3371500660660037E-2</v>
      </c>
      <c r="AI48" s="28">
        <f>IF(('Activity data'!AI17*EF!$H48*EF!H66)*NtoN2O*kgtoGg=0,"NO",('Activity data'!AI17*EF!$H48*EF!H66)*NtoN2O*kgtoGg)</f>
        <v>9.1769679295686524E-2</v>
      </c>
      <c r="AJ48" s="28">
        <f>IF(('Activity data'!AJ17*EF!$H48*EF!I66)*NtoN2O*kgtoGg=0,"NO",('Activity data'!AJ17*EF!$H48*EF!I66)*NtoN2O*kgtoGg)</f>
        <v>9.043666648867682E-2</v>
      </c>
      <c r="AK48" s="28">
        <f>IF(('Activity data'!AK17*EF!$H48*EF!J66)*NtoN2O*kgtoGg=0,"NO",('Activity data'!AK17*EF!$H48*EF!J66)*NtoN2O*kgtoGg)</f>
        <v>8.9111892009917371E-2</v>
      </c>
      <c r="AL48" s="28">
        <f>IF(('Activity data'!AL17*EF!$H48*EF!K66)*NtoN2O*kgtoGg=0,"NO",('Activity data'!AL17*EF!$H48*EF!K66)*NtoN2O*kgtoGg)</f>
        <v>7.7649128452585009E-2</v>
      </c>
      <c r="AM48" s="28">
        <f>IF(('Activity data'!AM17*EF!$H48*EF!L66)*NtoN2O*kgtoGg=0,"NO",('Activity data'!AM17*EF!$H48*EF!L66)*NtoN2O*kgtoGg)</f>
        <v>7.7778022760844834E-2</v>
      </c>
      <c r="AN48" s="28">
        <f>IF(('Activity data'!AN17*EF!$H48*EF!M66)*NtoN2O*kgtoGg=0,"NO",('Activity data'!AN17*EF!$H48*EF!M66)*NtoN2O*kgtoGg)</f>
        <v>7.793820895654649E-2</v>
      </c>
      <c r="AO48" s="28">
        <f>IF(('Activity data'!AO17*EF!$H48*EF!N66)*NtoN2O*kgtoGg=0,"NO",('Activity data'!AO17*EF!$H48*EF!N66)*NtoN2O*kgtoGg)</f>
        <v>7.8326824296326439E-2</v>
      </c>
      <c r="AP48" s="28">
        <f>IF(('Activity data'!AP17*EF!$H48*EF!O66)*NtoN2O*kgtoGg=0,"NO",('Activity data'!AP17*EF!$H48*EF!O66)*NtoN2O*kgtoGg)</f>
        <v>7.8845278526909299E-2</v>
      </c>
      <c r="AQ48" s="28">
        <f>IF(('Activity data'!AQ17*EF!$H48*EF!P66)*NtoN2O*kgtoGg=0,"NO",('Activity data'!AQ17*EF!$H48*EF!P66)*NtoN2O*kgtoGg)</f>
        <v>7.9312846457333622E-2</v>
      </c>
      <c r="AR48" s="28">
        <f>IF(('Activity data'!AR17*EF!$H48*EF!Q66)*NtoN2O*kgtoGg=0,"NO",('Activity data'!AR17*EF!$H48*EF!Q66)*NtoN2O*kgtoGg)</f>
        <v>8.0093223309338102E-2</v>
      </c>
      <c r="AS48" s="28">
        <f>IF(('Activity data'!AS17*EF!$H48*EF!R66)*NtoN2O*kgtoGg=0,"NO",('Activity data'!AS17*EF!$H48*EF!R66)*NtoN2O*kgtoGg)</f>
        <v>8.0931280155874336E-2</v>
      </c>
      <c r="AT48" s="28">
        <f>IF(('Activity data'!AT17*EF!$H48*EF!S66)*NtoN2O*kgtoGg=0,"NO",('Activity data'!AT17*EF!$H48*EF!S66)*NtoN2O*kgtoGg)</f>
        <v>8.1870512304389659E-2</v>
      </c>
      <c r="AU48" s="28">
        <f>IF(('Activity data'!AU17*EF!$H48*EF!T66)*NtoN2O*kgtoGg=0,"NO",('Activity data'!AU17*EF!$H48*EF!T66)*NtoN2O*kgtoGg)</f>
        <v>8.2852137539669551E-2</v>
      </c>
      <c r="AV48" s="28">
        <f>IF(('Activity data'!AV17*EF!$H48*EF!U66)*NtoN2O*kgtoGg=0,"NO",('Activity data'!AV17*EF!$H48*EF!U66)*NtoN2O*kgtoGg)</f>
        <v>8.3376910547977398E-2</v>
      </c>
      <c r="AW48" s="28">
        <f>IF(('Activity data'!AW17*EF!$H48*EF!V66)*NtoN2O*kgtoGg=0,"NO",('Activity data'!AW17*EF!$H48*EF!V66)*NtoN2O*kgtoGg)</f>
        <v>8.4446741104257469E-2</v>
      </c>
      <c r="AX48" s="28">
        <f>IF(('Activity data'!AX17*EF!$H48*EF!W66)*NtoN2O*kgtoGg=0,"NO",('Activity data'!AX17*EF!$H48*EF!W66)*NtoN2O*kgtoGg)</f>
        <v>8.5525586889320285E-2</v>
      </c>
      <c r="AY48" s="28">
        <f>IF(('Activity data'!AY17*EF!$H48*EF!X66)*NtoN2O*kgtoGg=0,"NO",('Activity data'!AY17*EF!$H48*EF!X66)*NtoN2O*kgtoGg)</f>
        <v>8.6629270401844899E-2</v>
      </c>
      <c r="AZ48" s="28">
        <f>IF(('Activity data'!AZ17*EF!$H48*EF!Y66)*NtoN2O*kgtoGg=0,"NO",('Activity data'!AZ17*EF!$H48*EF!Y66)*NtoN2O*kgtoGg)</f>
        <v>8.7567780445364216E-2</v>
      </c>
      <c r="BA48" s="28">
        <f>IF(('Activity data'!BA17*EF!$H48*EF!Z66)*NtoN2O*kgtoGg=0,"NO",('Activity data'!BA17*EF!$H48*EF!Z66)*NtoN2O*kgtoGg)</f>
        <v>8.8606244783179036E-2</v>
      </c>
      <c r="BB48" s="28">
        <f>IF(('Activity data'!BB17*EF!$H48*EF!AA66)*NtoN2O*kgtoGg=0,"NO",('Activity data'!BB17*EF!$H48*EF!AA66)*NtoN2O*kgtoGg)</f>
        <v>8.9742023015207867E-2</v>
      </c>
      <c r="BC48" s="28">
        <f>IF(('Activity data'!BC17*EF!$H48*EF!AB66)*NtoN2O*kgtoGg=0,"NO",('Activity data'!BC17*EF!$H48*EF!AB66)*NtoN2O*kgtoGg)</f>
        <v>9.0920825233819835E-2</v>
      </c>
      <c r="BD48" s="28">
        <f>IF(('Activity data'!BD17*EF!$H48*EF!AC66)*NtoN2O*kgtoGg=0,"NO",('Activity data'!BD17*EF!$H48*EF!AC66)*NtoN2O*kgtoGg)</f>
        <v>9.2011644595928407E-2</v>
      </c>
      <c r="BE48" s="28">
        <f>IF(('Activity data'!BE17*EF!$H48*EF!AD66)*NtoN2O*kgtoGg=0,"NO",('Activity data'!BE17*EF!$H48*EF!AD66)*NtoN2O*kgtoGg)</f>
        <v>9.3143242160451292E-2</v>
      </c>
      <c r="BF48" s="28">
        <f>IF(('Activity data'!BF17*EF!$H48*EF!AE66)*NtoN2O*kgtoGg=0,"NO",('Activity data'!BF17*EF!$H48*EF!AE66)*NtoN2O*kgtoGg)</f>
        <v>9.438746096019425E-2</v>
      </c>
      <c r="BG48" s="28">
        <f>IF(('Activity data'!BG17*EF!$H48*EF!AF66)*NtoN2O*kgtoGg=0,"NO",('Activity data'!BG17*EF!$H48*EF!AF66)*NtoN2O*kgtoGg)</f>
        <v>9.570320489278554E-2</v>
      </c>
      <c r="BH48" s="28">
        <f>IF(('Activity data'!BH17*EF!$H48*EF!AG66)*NtoN2O*kgtoGg=0,"NO",('Activity data'!BH17*EF!$H48*EF!AG66)*NtoN2O*kgtoGg)</f>
        <v>9.7074922215678178E-2</v>
      </c>
      <c r="BI48" s="28">
        <f>IF(('Activity data'!BI17*EF!$H48*EF!AH66)*NtoN2O*kgtoGg=0,"NO",('Activity data'!BI17*EF!$H48*EF!AH66)*NtoN2O*kgtoGg)</f>
        <v>9.8503252522533086E-2</v>
      </c>
      <c r="BJ48" s="28">
        <f>IF(('Activity data'!BJ17*EF!$H48*EF!AI66)*NtoN2O*kgtoGg=0,"NO",('Activity data'!BJ17*EF!$H48*EF!AI66)*NtoN2O*kgtoGg)</f>
        <v>9.9984700760025358E-2</v>
      </c>
      <c r="BK48" s="28">
        <f>IF(('Activity data'!BK17*EF!$H48*EF!AJ66)*NtoN2O*kgtoGg=0,"NO",('Activity data'!BK17*EF!$H48*EF!AJ66)*NtoN2O*kgtoGg)</f>
        <v>0.1015429517480148</v>
      </c>
      <c r="BL48" s="28">
        <f>IF(('Activity data'!BL17*EF!$H48*EF!AK66)*NtoN2O*kgtoGg=0,"NO",('Activity data'!BL17*EF!$H48*EF!AK66)*NtoN2O*kgtoGg)</f>
        <v>0.10283600717323832</v>
      </c>
      <c r="BM48" s="28">
        <f>IF(('Activity data'!BM17*EF!$H48*EF!AL66)*NtoN2O*kgtoGg=0,"NO",('Activity data'!BM17*EF!$H48*EF!AL66)*NtoN2O*kgtoGg)</f>
        <v>0.10419198961214733</v>
      </c>
      <c r="BN48" s="28">
        <f>IF(('Activity data'!BN17*EF!$H48*EF!AM66)*NtoN2O*kgtoGg=0,"NO",('Activity data'!BN17*EF!$H48*EF!AM66)*NtoN2O*kgtoGg)</f>
        <v>0.10563096207689385</v>
      </c>
      <c r="BO48" s="28">
        <f>IF(('Activity data'!BO17*EF!$H48*EF!AN66)*NtoN2O*kgtoGg=0,"NO",('Activity data'!BO17*EF!$H48*EF!AN66)*NtoN2O*kgtoGg)</f>
        <v>0.10716007370855146</v>
      </c>
      <c r="BP48" s="28">
        <f>IF(('Activity data'!BP17*EF!$H48*EF!AO66)*NtoN2O*kgtoGg=0,"NO",('Activity data'!BP17*EF!$H48*EF!AO66)*NtoN2O*kgtoGg)</f>
        <v>0.10884807526174571</v>
      </c>
    </row>
    <row r="49" spans="1:68" x14ac:dyDescent="0.25">
      <c r="A49" t="str">
        <f t="shared" si="1"/>
        <v>3A Livestock</v>
      </c>
      <c r="B49" t="str">
        <f t="shared" si="11"/>
        <v>3A2 Manure management (N2O)</v>
      </c>
      <c r="C49" t="str">
        <f>EF!C67</f>
        <v>3A1h Swine</v>
      </c>
      <c r="D49" t="str">
        <f>EF!D67</f>
        <v>Subsistence</v>
      </c>
      <c r="E49" t="str">
        <f t="shared" si="9"/>
        <v>Manure management Emissions</v>
      </c>
      <c r="F49" t="s">
        <v>139</v>
      </c>
      <c r="G49" t="str">
        <f t="shared" si="10"/>
        <v>Gg N2O</v>
      </c>
      <c r="H49" s="28">
        <f>IF(('Activity data'!H18*EF!$H49*EF!$H67)*NtoN2O*kgtoGg=0,"NO",('Activity data'!H18*EF!$H49*EF!$H67)*NtoN2O*kgtoGg)</f>
        <v>3.3603344466422339E-2</v>
      </c>
      <c r="I49" s="28">
        <f>IF(('Activity data'!I18*EF!$H49*EF!$H67)*NtoN2O*kgtoGg=0,"NO",('Activity data'!I18*EF!$H49*EF!$H67)*NtoN2O*kgtoGg)</f>
        <v>3.6712315312725202E-2</v>
      </c>
      <c r="J49" s="28">
        <f>IF(('Activity data'!J18*EF!$H49*EF!$H67)*NtoN2O*kgtoGg=0,"NO",('Activity data'!J18*EF!$H49*EF!$H67)*NtoN2O*kgtoGg)</f>
        <v>3.6469771487836318E-2</v>
      </c>
      <c r="K49" s="28">
        <f>IF(('Activity data'!K18*EF!$H49*EF!$H67)*NtoN2O*kgtoGg=0,"NO",('Activity data'!K18*EF!$H49*EF!$H67)*NtoN2O*kgtoGg)</f>
        <v>3.6447722049210061E-2</v>
      </c>
      <c r="L49" s="28">
        <f>IF(('Activity data'!L18*EF!$H49*EF!$H67)*NtoN2O*kgtoGg=0,"NO",('Activity data'!L18*EF!$H49*EF!$H67)*NtoN2O*kgtoGg)</f>
        <v>3.4617618643230354E-2</v>
      </c>
      <c r="M49" s="28">
        <f>IF(('Activity data'!M18*EF!$H49*EF!$H67)*NtoN2O*kgtoGg=0,"NO",('Activity data'!M18*EF!$H49*EF!$H67)*NtoN2O*kgtoGg)</f>
        <v>3.4948360222624285E-2</v>
      </c>
      <c r="N49" s="28">
        <f>IF(('Activity data'!N18*EF!$H49*EF!$H67)*NtoN2O*kgtoGg=0,"NO",('Activity data'!N18*EF!$H49*EF!$H67)*NtoN2O*kgtoGg)</f>
        <v>3.763839173502817E-2</v>
      </c>
      <c r="O49" s="28">
        <f>IF(('Activity data'!O18*EF!$H49*EF!$H67)*NtoN2O*kgtoGg=0,"NO",('Activity data'!O18*EF!$H49*EF!$H67)*NtoN2O*kgtoGg)</f>
        <v>3.7461996226018084E-2</v>
      </c>
      <c r="P49" s="28">
        <f>IF(('Activity data'!P18*EF!$H49*EF!$H67)*NtoN2O*kgtoGg=0,"NO",('Activity data'!P18*EF!$H49*EF!$H67)*NtoN2O*kgtoGg)</f>
        <v>3.8277825455189748E-2</v>
      </c>
      <c r="Q49" s="28">
        <f>IF(('Activity data'!Q18*EF!$H49*EF!$H67)*NtoN2O*kgtoGg=0,"NO",('Activity data'!Q18*EF!$H49*EF!$H67)*NtoN2O*kgtoGg)</f>
        <v>3.9248000754745251E-2</v>
      </c>
      <c r="R49" s="28">
        <f>IF(('Activity data'!R18*EF!$H49*EF!$H67)*NtoN2O*kgtoGg=0,"NO",('Activity data'!R18*EF!$H49*EF!$H67)*NtoN2O*kgtoGg)</f>
        <v>3.6315425417452488E-2</v>
      </c>
      <c r="S49" s="28">
        <f>IF(('Activity data'!S18*EF!$H49*EF!$H67)*NtoN2O*kgtoGg=0,"NO",('Activity data'!S18*EF!$H49*EF!$H67)*NtoN2O*kgtoGg)</f>
        <v>3.6998958014866593E-2</v>
      </c>
      <c r="T49" s="28">
        <f>IF(('Activity data'!T18*EF!$H49*EF!$H67)*NtoN2O*kgtoGg=0,"NO",('Activity data'!T18*EF!$H49*EF!$H67)*NtoN2O*kgtoGg)</f>
        <v>3.7704540050906954E-2</v>
      </c>
      <c r="U49" s="28">
        <f>IF(('Activity data'!U18*EF!$H49*EF!$H67)*NtoN2O*kgtoGg=0,"NO",('Activity data'!U18*EF!$H49*EF!$H67)*NtoN2O*kgtoGg)</f>
        <v>3.6668216435472668E-2</v>
      </c>
      <c r="V49" s="28">
        <f>IF(('Activity data'!V18*EF!$H49*EF!$H67)*NtoN2O*kgtoGg=0,"NO",('Activity data'!V18*EF!$H49*EF!$H67)*NtoN2O*kgtoGg)</f>
        <v>3.6668216435472668E-2</v>
      </c>
      <c r="W49" s="28">
        <f>IF(('Activity data'!W18*EF!$H49*EF!$H67)*NtoN2O*kgtoGg=0,"NO",('Activity data'!W18*EF!$H49*EF!$H67)*NtoN2O*kgtoGg)</f>
        <v>3.6403623171957535E-2</v>
      </c>
      <c r="X49" s="28">
        <f>IF(('Activity data'!X18*EF!$H49*EF!$H67)*NtoN2O*kgtoGg=0,"NO",('Activity data'!X18*EF!$H49*EF!$H67)*NtoN2O*kgtoGg)</f>
        <v>3.576418945179595E-2</v>
      </c>
      <c r="Y49" s="28">
        <f>IF(('Activity data'!Y18*EF!$H49*EF!$H67)*NtoN2O*kgtoGg=0,"NO",('Activity data'!Y18*EF!$H49*EF!$H67)*NtoN2O*kgtoGg)</f>
        <v>3.6403623171957535E-2</v>
      </c>
      <c r="Z49" s="28">
        <f>IF(('Activity data'!Z18*EF!$H49*EF!$H67)*NtoN2O*kgtoGg=0,"NO",('Activity data'!Z18*EF!$H49*EF!$H67)*NtoN2O*kgtoGg)</f>
        <v>3.5609843381412126E-2</v>
      </c>
      <c r="AA49" s="28">
        <f>IF(('Activity data'!AA18*EF!$H49*EF!$H67)*NtoN2O*kgtoGg=0,"NO",('Activity data'!AA18*EF!$H49*EF!$H67)*NtoN2O*kgtoGg)</f>
        <v>3.5565744504159599E-2</v>
      </c>
      <c r="AB49" s="28">
        <f>IF(('Activity data'!AB18*EF!$H49*EF!$H67)*NtoN2O*kgtoGg=0,"NO",('Activity data'!AB18*EF!$H49*EF!$H67)*NtoN2O*kgtoGg)</f>
        <v>3.5146805170260635E-2</v>
      </c>
      <c r="AC49" s="28">
        <f>IF(('Activity data'!AC18*EF!$H49*EF!$H67)*NtoN2O*kgtoGg=0,"NO",('Activity data'!AC18*EF!$H49*EF!$H67)*NtoN2O*kgtoGg)</f>
        <v>3.4926310783998021E-2</v>
      </c>
      <c r="AD49" s="28">
        <f>IF(('Activity data'!AD18*EF!$H49*EF!$H67)*NtoN2O*kgtoGg=0,"NO",('Activity data'!AD18*EF!$H49*EF!$H67)*NtoN2O*kgtoGg)</f>
        <v>3.8313422688547913E-2</v>
      </c>
      <c r="AE49" s="28">
        <f>IF(('Activity data'!AE18*EF!$H49*EF!$H67)*NtoN2O*kgtoGg=0,"NO",('Activity data'!AE18*EF!$H49*EF!$H67)*NtoN2O*kgtoGg)</f>
        <v>3.8311950832690365E-2</v>
      </c>
      <c r="AF49" s="28">
        <f>IF(('Activity data'!AF18*EF!$H49*EF!$H67)*NtoN2O*kgtoGg=0,"NO",('Activity data'!AF18*EF!$H49*EF!$H67)*NtoN2O*kgtoGg)</f>
        <v>3.795167189442307E-2</v>
      </c>
      <c r="AG49" s="28">
        <f>IF(('Activity data'!AG18*EF!$H49*EF!$H67)*NtoN2O*kgtoGg=0,"NO",('Activity data'!AG18*EF!$H49*EF!$H67)*NtoN2O*kgtoGg)</f>
        <v>3.7318807219676293E-2</v>
      </c>
      <c r="AH49" s="28">
        <f>IF(('Activity data'!AH18*EF!$H49*EF!$H67)*NtoN2O*kgtoGg=0,"NO",('Activity data'!AH18*EF!$H49*EF!$H67)*NtoN2O*kgtoGg)</f>
        <v>3.6528821531350543E-2</v>
      </c>
      <c r="AI49" s="28">
        <f>IF(('Activity data'!AI18*EF!$H49*EF!H67)*NtoN2O*kgtoGg=0,"NO",('Activity data'!AI18*EF!$H49*EF!H67)*NtoN2O*kgtoGg)</f>
        <v>3.5902156581636674E-2</v>
      </c>
      <c r="AJ49" s="28">
        <f>IF(('Activity data'!AJ18*EF!$H49*EF!I67)*NtoN2O*kgtoGg=0,"NO",('Activity data'!AJ18*EF!$H49*EF!I67)*NtoN2O*kgtoGg)</f>
        <v>3.5380654982307892E-2</v>
      </c>
      <c r="AK49" s="28">
        <f>IF(('Activity data'!AK18*EF!$H49*EF!J67)*NtoN2O*kgtoGg=0,"NO",('Activity data'!AK18*EF!$H49*EF!J67)*NtoN2O*kgtoGg)</f>
        <v>3.4862376383790299E-2</v>
      </c>
      <c r="AL49" s="28">
        <f>IF(('Activity data'!AL18*EF!$H49*EF!K67)*NtoN2O*kgtoGg=0,"NO",('Activity data'!AL18*EF!$H49*EF!K67)*NtoN2O*kgtoGg)</f>
        <v>3.037791119602791E-2</v>
      </c>
      <c r="AM49" s="28">
        <f>IF(('Activity data'!AM18*EF!$H49*EF!L67)*NtoN2O*kgtoGg=0,"NO",('Activity data'!AM18*EF!$H49*EF!L67)*NtoN2O*kgtoGg)</f>
        <v>3.0428337259114778E-2</v>
      </c>
      <c r="AN49" s="28">
        <f>IF(('Activity data'!AN18*EF!$H49*EF!M67)*NtoN2O*kgtoGg=0,"NO",('Activity data'!AN18*EF!$H49*EF!M67)*NtoN2O*kgtoGg)</f>
        <v>3.0491005342129077E-2</v>
      </c>
      <c r="AO49" s="28">
        <f>IF(('Activity data'!AO18*EF!$H49*EF!N67)*NtoN2O*kgtoGg=0,"NO",('Activity data'!AO18*EF!$H49*EF!N67)*NtoN2O*kgtoGg)</f>
        <v>3.0643039531263062E-2</v>
      </c>
      <c r="AP49" s="28">
        <f>IF(('Activity data'!AP18*EF!$H49*EF!O67)*NtoN2O*kgtoGg=0,"NO",('Activity data'!AP18*EF!$H49*EF!O67)*NtoN2O*kgtoGg)</f>
        <v>3.0845869323299534E-2</v>
      </c>
      <c r="AQ49" s="28">
        <f>IF(('Activity data'!AQ18*EF!$H49*EF!P67)*NtoN2O*kgtoGg=0,"NO",('Activity data'!AQ18*EF!$H49*EF!P67)*NtoN2O*kgtoGg)</f>
        <v>3.1028791364429899E-2</v>
      </c>
      <c r="AR49" s="28">
        <f>IF(('Activity data'!AR18*EF!$H49*EF!Q67)*NtoN2O*kgtoGg=0,"NO",('Activity data'!AR18*EF!$H49*EF!Q67)*NtoN2O*kgtoGg)</f>
        <v>3.1334090589058068E-2</v>
      </c>
      <c r="AS49" s="28">
        <f>IF(('Activity data'!AS18*EF!$H49*EF!R67)*NtoN2O*kgtoGg=0,"NO",('Activity data'!AS18*EF!$H49*EF!R67)*NtoN2O*kgtoGg)</f>
        <v>3.1661955395381643E-2</v>
      </c>
      <c r="AT49" s="28">
        <f>IF(('Activity data'!AT18*EF!$H49*EF!S67)*NtoN2O*kgtoGg=0,"NO",('Activity data'!AT18*EF!$H49*EF!S67)*NtoN2O*kgtoGg)</f>
        <v>3.2029402028314231E-2</v>
      </c>
      <c r="AU49" s="28">
        <f>IF(('Activity data'!AU18*EF!$H49*EF!T67)*NtoN2O*kgtoGg=0,"NO",('Activity data'!AU18*EF!$H49*EF!T67)*NtoN2O*kgtoGg)</f>
        <v>3.2413433695112952E-2</v>
      </c>
      <c r="AV49" s="28">
        <f>IF(('Activity data'!AV18*EF!$H49*EF!U67)*NtoN2O*kgtoGg=0,"NO",('Activity data'!AV18*EF!$H49*EF!U67)*NtoN2O*kgtoGg)</f>
        <v>3.2618735520930385E-2</v>
      </c>
      <c r="AW49" s="28">
        <f>IF(('Activity data'!AW18*EF!$H49*EF!V67)*NtoN2O*kgtoGg=0,"NO",('Activity data'!AW18*EF!$H49*EF!V67)*NtoN2O*kgtoGg)</f>
        <v>3.3037274895178707E-2</v>
      </c>
      <c r="AX49" s="28">
        <f>IF(('Activity data'!AX18*EF!$H49*EF!W67)*NtoN2O*kgtoGg=0,"NO",('Activity data'!AX18*EF!$H49*EF!W67)*NtoN2O*kgtoGg)</f>
        <v>3.3459341209456255E-2</v>
      </c>
      <c r="AY49" s="28">
        <f>IF(('Activity data'!AY18*EF!$H49*EF!X67)*NtoN2O*kgtoGg=0,"NO",('Activity data'!AY18*EF!$H49*EF!X67)*NtoN2O*kgtoGg)</f>
        <v>3.3891124545601059E-2</v>
      </c>
      <c r="AZ49" s="28">
        <f>IF(('Activity data'!AZ18*EF!$H49*EF!Y67)*NtoN2O*kgtoGg=0,"NO",('Activity data'!AZ18*EF!$H49*EF!Y67)*NtoN2O*kgtoGg)</f>
        <v>3.425828867643891E-2</v>
      </c>
      <c r="BA49" s="28">
        <f>IF(('Activity data'!BA18*EF!$H49*EF!Z67)*NtoN2O*kgtoGg=0,"NO",('Activity data'!BA18*EF!$H49*EF!Z67)*NtoN2O*kgtoGg)</f>
        <v>3.4664556950958478E-2</v>
      </c>
      <c r="BB49" s="28">
        <f>IF(('Activity data'!BB18*EF!$H49*EF!AA67)*NtoN2O*kgtoGg=0,"NO",('Activity data'!BB18*EF!$H49*EF!AA67)*NtoN2O*kgtoGg)</f>
        <v>3.5108896391188284E-2</v>
      </c>
      <c r="BC49" s="28">
        <f>IF(('Activity data'!BC18*EF!$H49*EF!AB67)*NtoN2O*kgtoGg=0,"NO",('Activity data'!BC18*EF!$H49*EF!AB67)*NtoN2O*kgtoGg)</f>
        <v>3.5570067686066902E-2</v>
      </c>
      <c r="BD49" s="28">
        <f>IF(('Activity data'!BD18*EF!$H49*EF!AC67)*NtoN2O*kgtoGg=0,"NO",('Activity data'!BD18*EF!$H49*EF!AC67)*NtoN2O*kgtoGg)</f>
        <v>3.5996818306111233E-2</v>
      </c>
      <c r="BE49" s="28">
        <f>IF(('Activity data'!BE18*EF!$H49*EF!AD67)*NtoN2O*kgtoGg=0,"NO",('Activity data'!BE18*EF!$H49*EF!AD67)*NtoN2O*kgtoGg)</f>
        <v>3.6439522184567613E-2</v>
      </c>
      <c r="BF49" s="28">
        <f>IF(('Activity data'!BF18*EF!$H49*EF!AE67)*NtoN2O*kgtoGg=0,"NO",('Activity data'!BF18*EF!$H49*EF!AE67)*NtoN2O*kgtoGg)</f>
        <v>3.6926285770460275E-2</v>
      </c>
      <c r="BG49" s="28">
        <f>IF(('Activity data'!BG18*EF!$H49*EF!AF67)*NtoN2O*kgtoGg=0,"NO",('Activity data'!BG18*EF!$H49*EF!AF67)*NtoN2O*kgtoGg)</f>
        <v>3.744103143647734E-2</v>
      </c>
      <c r="BH49" s="28">
        <f>IF(('Activity data'!BH18*EF!$H49*EF!AG67)*NtoN2O*kgtoGg=0,"NO",('Activity data'!BH18*EF!$H49*EF!AG67)*NtoN2O*kgtoGg)</f>
        <v>3.7977675026061614E-2</v>
      </c>
      <c r="BI49" s="28">
        <f>IF(('Activity data'!BI18*EF!$H49*EF!AH67)*NtoN2O*kgtoGg=0,"NO",('Activity data'!BI18*EF!$H49*EF!AH67)*NtoN2O*kgtoGg)</f>
        <v>3.8536466761202974E-2</v>
      </c>
      <c r="BJ49" s="28">
        <f>IF(('Activity data'!BJ18*EF!$H49*EF!AI67)*NtoN2O*kgtoGg=0,"NO",('Activity data'!BJ18*EF!$H49*EF!AI67)*NtoN2O*kgtoGg)</f>
        <v>3.9116039306277085E-2</v>
      </c>
      <c r="BK49" s="28">
        <f>IF(('Activity data'!BK18*EF!$H49*EF!AJ67)*NtoN2O*kgtoGg=0,"NO",('Activity data'!BK18*EF!$H49*EF!AJ67)*NtoN2O*kgtoGg)</f>
        <v>3.972565864235466E-2</v>
      </c>
      <c r="BL49" s="28">
        <f>IF(('Activity data'!BL18*EF!$H49*EF!AK67)*NtoN2O*kgtoGg=0,"NO",('Activity data'!BL18*EF!$H49*EF!AK67)*NtoN2O*kgtoGg)</f>
        <v>4.0231528104920068E-2</v>
      </c>
      <c r="BM49" s="28">
        <f>IF(('Activity data'!BM18*EF!$H49*EF!AL67)*NtoN2O*kgtoGg=0,"NO",('Activity data'!BM18*EF!$H49*EF!AL67)*NtoN2O*kgtoGg)</f>
        <v>4.0762015889309118E-2</v>
      </c>
      <c r="BN49" s="28">
        <f>IF(('Activity data'!BN18*EF!$H49*EF!AM67)*NtoN2O*kgtoGg=0,"NO",('Activity data'!BN18*EF!$H49*EF!AM67)*NtoN2O*kgtoGg)</f>
        <v>4.1324971052087156E-2</v>
      </c>
      <c r="BO49" s="28">
        <f>IF(('Activity data'!BO18*EF!$H49*EF!AN67)*NtoN2O*kgtoGg=0,"NO",('Activity data'!BO18*EF!$H49*EF!AN67)*NtoN2O*kgtoGg)</f>
        <v>4.1923190481989364E-2</v>
      </c>
      <c r="BP49" s="28">
        <f>IF(('Activity data'!BP18*EF!$H49*EF!AO67)*NtoN2O*kgtoGg=0,"NO",('Activity data'!BP18*EF!$H49*EF!AO67)*NtoN2O*kgtoGg)</f>
        <v>4.2583570866207128E-2</v>
      </c>
    </row>
    <row r="50" spans="1:68" x14ac:dyDescent="0.25">
      <c r="A50" t="str">
        <f t="shared" si="1"/>
        <v>3A Livestock</v>
      </c>
      <c r="B50" t="str">
        <f t="shared" si="11"/>
        <v>3A2 Manure management (N2O)</v>
      </c>
      <c r="C50" t="str">
        <f>EF!C68</f>
        <v>3A2i Poultry</v>
      </c>
      <c r="D50" t="str">
        <f>EF!D68</f>
        <v>Commercial layers</v>
      </c>
      <c r="E50" t="str">
        <f t="shared" si="9"/>
        <v>Manure management Emissions</v>
      </c>
      <c r="F50" t="s">
        <v>139</v>
      </c>
      <c r="G50" t="str">
        <f t="shared" si="10"/>
        <v>Gg N2O</v>
      </c>
      <c r="H50" s="28">
        <f>IF(('Activity data'!H19*EF!$H50*EF!$H68)*NtoN2O*kgtoGg=0,"NO",('Activity data'!H19*EF!$H50*EF!$H68)*NtoN2O*kgtoGg)</f>
        <v>0.20296133454737286</v>
      </c>
      <c r="I50" s="28">
        <f>IF(('Activity data'!I19*EF!$H50*EF!$H68)*NtoN2O*kgtoGg=0,"NO",('Activity data'!I19*EF!$H50*EF!$H68)*NtoN2O*kgtoGg)</f>
        <v>0.19717389585886808</v>
      </c>
      <c r="J50" s="28">
        <f>IF(('Activity data'!J19*EF!$H50*EF!$H68)*NtoN2O*kgtoGg=0,"NO",('Activity data'!J19*EF!$H50*EF!$H68)*NtoN2O*kgtoGg)</f>
        <v>0.18700572466593463</v>
      </c>
      <c r="K50" s="28">
        <f>IF(('Activity data'!K19*EF!$H50*EF!$H68)*NtoN2O*kgtoGg=0,"NO",('Activity data'!K19*EF!$H50*EF!$H68)*NtoN2O*kgtoGg)</f>
        <v>0.1840653888057816</v>
      </c>
      <c r="L50" s="28">
        <f>IF(('Activity data'!L19*EF!$H50*EF!$H68)*NtoN2O*kgtoGg=0,"NO",('Activity data'!L19*EF!$H50*EF!$H68)*NtoN2O*kgtoGg)</f>
        <v>0.17605920711970463</v>
      </c>
      <c r="M50" s="28">
        <f>IF(('Activity data'!M19*EF!$H50*EF!$H68)*NtoN2O*kgtoGg=0,"NO",('Activity data'!M19*EF!$H50*EF!$H68)*NtoN2O*kgtoGg)</f>
        <v>0.19210250795483447</v>
      </c>
      <c r="N50" s="28">
        <f>IF(('Activity data'!N19*EF!$H50*EF!$H68)*NtoN2O*kgtoGg=0,"NO",('Activity data'!N19*EF!$H50*EF!$H68)*NtoN2O*kgtoGg)</f>
        <v>0.20291887626044761</v>
      </c>
      <c r="O50" s="28">
        <f>IF(('Activity data'!O19*EF!$H50*EF!$H68)*NtoN2O*kgtoGg=0,"NO",('Activity data'!O19*EF!$H50*EF!$H68)*NtoN2O*kgtoGg)</f>
        <v>0.20358614843156064</v>
      </c>
      <c r="P50" s="28">
        <f>IF(('Activity data'!P19*EF!$H50*EF!$H68)*NtoN2O*kgtoGg=0,"NO",('Activity data'!P19*EF!$H50*EF!$H68)*NtoN2O*kgtoGg)</f>
        <v>0.22922082424272011</v>
      </c>
      <c r="Q50" s="28">
        <f>IF(('Activity data'!Q19*EF!$H50*EF!$H68)*NtoN2O*kgtoGg=0,"NO",('Activity data'!Q19*EF!$H50*EF!$H68)*NtoN2O*kgtoGg)</f>
        <v>0.24574772569354431</v>
      </c>
      <c r="R50" s="28">
        <f>IF(('Activity data'!R19*EF!$H50*EF!$H68)*NtoN2O*kgtoGg=0,"NO",('Activity data'!R19*EF!$H50*EF!$H68)*NtoN2O*kgtoGg)</f>
        <v>0.24054072570239549</v>
      </c>
      <c r="S50" s="28">
        <f>IF(('Activity data'!S19*EF!$H50*EF!$H68)*NtoN2O*kgtoGg=0,"NO",('Activity data'!S19*EF!$H50*EF!$H68)*NtoN2O*kgtoGg)</f>
        <v>0.24695749420493165</v>
      </c>
      <c r="T50" s="28">
        <f>IF(('Activity data'!T19*EF!$H50*EF!$H68)*NtoN2O*kgtoGg=0,"NO",('Activity data'!T19*EF!$H50*EF!$H68)*NtoN2O*kgtoGg)</f>
        <v>0.24501923229562322</v>
      </c>
      <c r="U50" s="28">
        <f>IF(('Activity data'!U19*EF!$H50*EF!$H68)*NtoN2O*kgtoGg=0,"NO",('Activity data'!U19*EF!$H50*EF!$H68)*NtoN2O*kgtoGg)</f>
        <v>0.23523745158495141</v>
      </c>
      <c r="V50" s="28">
        <f>IF(('Activity data'!V19*EF!$H50*EF!$H68)*NtoN2O*kgtoGg=0,"NO",('Activity data'!V19*EF!$H50*EF!$H68)*NtoN2O*kgtoGg)</f>
        <v>0.24376740544300249</v>
      </c>
      <c r="W50" s="28">
        <f>IF(('Activity data'!W19*EF!$H50*EF!$H68)*NtoN2O*kgtoGg=0,"NO",('Activity data'!W19*EF!$H50*EF!$H68)*NtoN2O*kgtoGg)</f>
        <v>0.25846670786599002</v>
      </c>
      <c r="X50" s="28">
        <f>IF(('Activity data'!X19*EF!$H50*EF!$H68)*NtoN2O*kgtoGg=0,"NO",('Activity data'!X19*EF!$H50*EF!$H68)*NtoN2O*kgtoGg)</f>
        <v>0.28524838842815914</v>
      </c>
      <c r="Y50" s="28">
        <f>IF(('Activity data'!Y19*EF!$H50*EF!$H68)*NtoN2O*kgtoGg=0,"NO",('Activity data'!Y19*EF!$H50*EF!$H68)*NtoN2O*kgtoGg)</f>
        <v>0.3156764917693638</v>
      </c>
      <c r="Z50" s="28">
        <f>IF(('Activity data'!Z19*EF!$H50*EF!$H68)*NtoN2O*kgtoGg=0,"NO",('Activity data'!Z19*EF!$H50*EF!$H68)*NtoN2O*kgtoGg)</f>
        <v>0.31983391250576138</v>
      </c>
      <c r="AA50" s="28">
        <f>IF(('Activity data'!AA19*EF!$H50*EF!$H68)*NtoN2O*kgtoGg=0,"NO",('Activity data'!AA19*EF!$H50*EF!$H68)*NtoN2O*kgtoGg)</f>
        <v>0.30804277788191292</v>
      </c>
      <c r="AB50" s="28">
        <f>IF(('Activity data'!AB19*EF!$H50*EF!$H68)*NtoN2O*kgtoGg=0,"NO",('Activity data'!AB19*EF!$H50*EF!$H68)*NtoN2O*kgtoGg)</f>
        <v>0.32004210844863845</v>
      </c>
      <c r="AC50" s="28">
        <f>IF(('Activity data'!AC19*EF!$H50*EF!$H68)*NtoN2O*kgtoGg=0,"NO",('Activity data'!AC19*EF!$H50*EF!$H68)*NtoN2O*kgtoGg)</f>
        <v>0.33481439404248187</v>
      </c>
      <c r="AD50" s="28">
        <f>IF(('Activity data'!AD19*EF!$H50*EF!$H68)*NtoN2O*kgtoGg=0,"NO",('Activity data'!AD19*EF!$H50*EF!$H68)*NtoN2O*kgtoGg)</f>
        <v>0.32901014148438223</v>
      </c>
      <c r="AE50" s="28">
        <f>IF(('Activity data'!AE19*EF!$H50*EF!$H68)*NtoN2O*kgtoGg=0,"NO",('Activity data'!AE19*EF!$H50*EF!$H68)*NtoN2O*kgtoGg)</f>
        <v>0.33672157422979704</v>
      </c>
      <c r="AF50" s="28">
        <f>IF(('Activity data'!AF19*EF!$H50*EF!$H68)*NtoN2O*kgtoGg=0,"NO",('Activity data'!AF19*EF!$H50*EF!$H68)*NtoN2O*kgtoGg)</f>
        <v>0.34267942327750261</v>
      </c>
      <c r="AG50" s="28">
        <f>IF(('Activity data'!AG19*EF!$H50*EF!$H68)*NtoN2O*kgtoGg=0,"NO",('Activity data'!AG19*EF!$H50*EF!$H68)*NtoN2O*kgtoGg)</f>
        <v>0.34719661896555332</v>
      </c>
      <c r="AH50" s="28">
        <f>IF(('Activity data'!AH19*EF!$H50*EF!$H68)*NtoN2O*kgtoGg=0,"NO",('Activity data'!AH19*EF!$H50*EF!$H68)*NtoN2O*kgtoGg)</f>
        <v>0.35078825474813191</v>
      </c>
      <c r="AI50" s="28">
        <f>IF(('Activity data'!AI19*EF!$H50*EF!H68)*NtoN2O*kgtoGg=0,"NO",('Activity data'!AI19*EF!$H50*EF!H68)*NtoN2O*kgtoGg)</f>
        <v>0.355148622501538</v>
      </c>
      <c r="AJ50" s="28">
        <f>IF(('Activity data'!AJ19*EF!$H50*EF!I68)*NtoN2O*kgtoGg=0,"NO",('Activity data'!AJ19*EF!$H50*EF!I68)*NtoN2O*kgtoGg)</f>
        <v>0.35996244198080252</v>
      </c>
      <c r="AK50" s="28">
        <f>IF(('Activity data'!AK19*EF!$H50*EF!J68)*NtoN2O*kgtoGg=0,"NO",('Activity data'!AK19*EF!$H50*EF!J68)*NtoN2O*kgtoGg)</f>
        <v>0.36470350272780172</v>
      </c>
      <c r="AL50" s="28">
        <f>IF(('Activity data'!AL19*EF!$H50*EF!K68)*NtoN2O*kgtoGg=0,"NO",('Activity data'!AL19*EF!$H50*EF!K68)*NtoN2O*kgtoGg)</f>
        <v>0.34612361612021803</v>
      </c>
      <c r="AM50" s="28">
        <f>IF(('Activity data'!AM19*EF!$H50*EF!L68)*NtoN2O*kgtoGg=0,"NO",('Activity data'!AM19*EF!$H50*EF!L68)*NtoN2O*kgtoGg)</f>
        <v>0.3530390052148345</v>
      </c>
      <c r="AN50" s="28">
        <f>IF(('Activity data'!AN19*EF!$H50*EF!M68)*NtoN2O*kgtoGg=0,"NO",('Activity data'!AN19*EF!$H50*EF!M68)*NtoN2O*kgtoGg)</f>
        <v>0.35991838804719789</v>
      </c>
      <c r="AO50" s="28">
        <f>IF(('Activity data'!AO19*EF!$H50*EF!N68)*NtoN2O*kgtoGg=0,"NO",('Activity data'!AO19*EF!$H50*EF!N68)*NtoN2O*kgtoGg)</f>
        <v>0.36724795279615041</v>
      </c>
      <c r="AP50" s="28">
        <f>IF(('Activity data'!AP19*EF!$H50*EF!O68)*NtoN2O*kgtoGg=0,"NO",('Activity data'!AP19*EF!$H50*EF!O68)*NtoN2O*kgtoGg)</f>
        <v>0.37492978858952658</v>
      </c>
      <c r="AQ50" s="28">
        <f>IF(('Activity data'!AQ19*EF!$H50*EF!P68)*NtoN2O*kgtoGg=0,"NO",('Activity data'!AQ19*EF!$H50*EF!P68)*NtoN2O*kgtoGg)</f>
        <v>0.38252392131277207</v>
      </c>
      <c r="AR50" s="28">
        <f>IF(('Activity data'!AR19*EF!$H50*EF!Q68)*NtoN2O*kgtoGg=0,"NO",('Activity data'!AR19*EF!$H50*EF!Q68)*NtoN2O*kgtoGg)</f>
        <v>0.39097564941568791</v>
      </c>
      <c r="AS50" s="28">
        <f>IF(('Activity data'!AS19*EF!$H50*EF!R68)*NtoN2O*kgtoGg=0,"NO",('Activity data'!AS19*EF!$H50*EF!R68)*NtoN2O*kgtoGg)</f>
        <v>0.39965694840276805</v>
      </c>
      <c r="AT50" s="28">
        <f>IF(('Activity data'!AT19*EF!$H50*EF!S68)*NtoN2O*kgtoGg=0,"NO",('Activity data'!AT19*EF!$H50*EF!S68)*NtoN2O*kgtoGg)</f>
        <v>0.40869838958296306</v>
      </c>
      <c r="AU50" s="28">
        <f>IF(('Activity data'!AU19*EF!$H50*EF!T68)*NtoN2O*kgtoGg=0,"NO",('Activity data'!AU19*EF!$H50*EF!T68)*NtoN2O*kgtoGg)</f>
        <v>0.41797010402685436</v>
      </c>
      <c r="AV50" s="28">
        <f>IF(('Activity data'!AV19*EF!$H50*EF!U68)*NtoN2O*kgtoGg=0,"NO",('Activity data'!AV19*EF!$H50*EF!U68)*NtoN2O*kgtoGg)</f>
        <v>0.42606365711091487</v>
      </c>
      <c r="AW50" s="28">
        <f>IF(('Activity data'!AW19*EF!$H50*EF!V68)*NtoN2O*kgtoGg=0,"NO",('Activity data'!AW19*EF!$H50*EF!V68)*NtoN2O*kgtoGg)</f>
        <v>0.43580819444672075</v>
      </c>
      <c r="AX50" s="28">
        <f>IF(('Activity data'!AX19*EF!$H50*EF!W68)*NtoN2O*kgtoGg=0,"NO",('Activity data'!AX19*EF!$H50*EF!W68)*NtoN2O*kgtoGg)</f>
        <v>0.44571597403650215</v>
      </c>
      <c r="AY50" s="28">
        <f>IF(('Activity data'!AY19*EF!$H50*EF!X68)*NtoN2O*kgtoGg=0,"NO",('Activity data'!AY19*EF!$H50*EF!X68)*NtoN2O*kgtoGg)</f>
        <v>0.45583991566177623</v>
      </c>
      <c r="AZ50" s="28">
        <f>IF(('Activity data'!AZ19*EF!$H50*EF!Y68)*NtoN2O*kgtoGg=0,"NO",('Activity data'!AZ19*EF!$H50*EF!Y68)*NtoN2O*kgtoGg)</f>
        <v>0.4656080510071432</v>
      </c>
      <c r="BA50" s="28">
        <f>IF(('Activity data'!BA19*EF!$H50*EF!Z68)*NtoN2O*kgtoGg=0,"NO",('Activity data'!BA19*EF!$H50*EF!Z68)*NtoN2O*kgtoGg)</f>
        <v>0.4758260144997431</v>
      </c>
      <c r="BB50" s="28">
        <f>IF(('Activity data'!BB19*EF!$H50*EF!AA68)*NtoN2O*kgtoGg=0,"NO",('Activity data'!BB19*EF!$H50*EF!AA68)*NtoN2O*kgtoGg)</f>
        <v>0.48650753386770662</v>
      </c>
      <c r="BC50" s="28">
        <f>IF(('Activity data'!BC19*EF!$H50*EF!AB68)*NtoN2O*kgtoGg=0,"NO",('Activity data'!BC19*EF!$H50*EF!AB68)*NtoN2O*kgtoGg)</f>
        <v>0.49749805034813482</v>
      </c>
      <c r="BD50" s="28">
        <f>IF(('Activity data'!BD19*EF!$H50*EF!AC68)*NtoN2O*kgtoGg=0,"NO",('Activity data'!BD19*EF!$H50*EF!AC68)*NtoN2O*kgtoGg)</f>
        <v>0.50837539424710887</v>
      </c>
      <c r="BE50" s="28">
        <f>IF(('Activity data'!BE19*EF!$H50*EF!AD68)*NtoN2O*kgtoGg=0,"NO",('Activity data'!BE19*EF!$H50*EF!AD68)*NtoN2O*kgtoGg)</f>
        <v>0.51956814201816892</v>
      </c>
      <c r="BF50" s="28">
        <f>IF(('Activity data'!BF19*EF!$H50*EF!AE68)*NtoN2O*kgtoGg=0,"NO",('Activity data'!BF19*EF!$H50*EF!AE68)*NtoN2O*kgtoGg)</f>
        <v>0.53133702722229337</v>
      </c>
      <c r="BG50" s="28">
        <f>IF(('Activity data'!BG19*EF!$H50*EF!AF68)*NtoN2O*kgtoGg=0,"NO",('Activity data'!BG19*EF!$H50*EF!AF68)*NtoN2O*kgtoGg)</f>
        <v>0.5435652088795202</v>
      </c>
      <c r="BH50" s="28">
        <f>IF(('Activity data'!BH19*EF!$H50*EF!AG68)*NtoN2O*kgtoGg=0,"NO",('Activity data'!BH19*EF!$H50*EF!AG68)*NtoN2O*kgtoGg)</f>
        <v>0.55621731296026999</v>
      </c>
      <c r="BI50" s="28">
        <f>IF(('Activity data'!BI19*EF!$H50*EF!AH68)*NtoN2O*kgtoGg=0,"NO",('Activity data'!BI19*EF!$H50*EF!AH68)*NtoN2O*kgtoGg)</f>
        <v>0.56931353971058585</v>
      </c>
      <c r="BJ50" s="28">
        <f>IF(('Activity data'!BJ19*EF!$H50*EF!AI68)*NtoN2O*kgtoGg=0,"NO",('Activity data'!BJ19*EF!$H50*EF!AI68)*NtoN2O*kgtoGg)</f>
        <v>0.58285975439755344</v>
      </c>
      <c r="BK50" s="28">
        <f>IF(('Activity data'!BK19*EF!$H50*EF!AJ68)*NtoN2O*kgtoGg=0,"NO",('Activity data'!BK19*EF!$H50*EF!AJ68)*NtoN2O*kgtoGg)</f>
        <v>0.59696419202086315</v>
      </c>
      <c r="BL50" s="28">
        <f>IF(('Activity data'!BL19*EF!$H50*EF!AK68)*NtoN2O*kgtoGg=0,"NO",('Activity data'!BL19*EF!$H50*EF!AK68)*NtoN2O*kgtoGg)</f>
        <v>0.61033344490445873</v>
      </c>
      <c r="BM50" s="28">
        <f>IF(('Activity data'!BM19*EF!$H50*EF!AL68)*NtoN2O*kgtoGg=0,"NO",('Activity data'!BM19*EF!$H50*EF!AL68)*NtoN2O*kgtoGg)</f>
        <v>0.62420726737651167</v>
      </c>
      <c r="BN50" s="28">
        <f>IF(('Activity data'!BN19*EF!$H50*EF!AM68)*NtoN2O*kgtoGg=0,"NO",('Activity data'!BN19*EF!$H50*EF!AM68)*NtoN2O*kgtoGg)</f>
        <v>0.63868784683505275</v>
      </c>
      <c r="BO50" s="28">
        <f>IF(('Activity data'!BO19*EF!$H50*EF!AN68)*NtoN2O*kgtoGg=0,"NO",('Activity data'!BO19*EF!$H50*EF!AN68)*NtoN2O*kgtoGg)</f>
        <v>0.65383096217787162</v>
      </c>
      <c r="BP50" s="28">
        <f>IF(('Activity data'!BP19*EF!$H50*EF!AO68)*NtoN2O*kgtoGg=0,"NO",('Activity data'!BP19*EF!$H50*EF!AO68)*NtoN2O*kgtoGg)</f>
        <v>0.66995162636448802</v>
      </c>
    </row>
    <row r="51" spans="1:68" x14ac:dyDescent="0.25">
      <c r="A51" t="str">
        <f t="shared" si="1"/>
        <v>3A Livestock</v>
      </c>
      <c r="B51" t="str">
        <f t="shared" si="11"/>
        <v>3A2 Manure management (N2O)</v>
      </c>
      <c r="C51" t="str">
        <f>EF!C69</f>
        <v>3A2i Poultry</v>
      </c>
      <c r="D51" t="str">
        <f>EF!D69</f>
        <v>Commercial broilers</v>
      </c>
      <c r="E51" t="str">
        <f t="shared" si="9"/>
        <v>Manure management Emissions</v>
      </c>
      <c r="F51" t="s">
        <v>139</v>
      </c>
      <c r="G51" t="str">
        <f t="shared" si="10"/>
        <v>Gg N2O</v>
      </c>
      <c r="H51" s="28">
        <f>IF(('Activity data'!H20*EF!$H51*EF!$H69)*NtoN2O*kgtoGg=0,"NO",('Activity data'!H20*EF!$H51*EF!$H69)*NtoN2O*kgtoGg)</f>
        <v>0.72930971263591093</v>
      </c>
      <c r="I51" s="28">
        <f>IF(('Activity data'!I20*EF!$H51*EF!$H69)*NtoN2O*kgtoGg=0,"NO",('Activity data'!I20*EF!$H51*EF!$H69)*NtoN2O*kgtoGg)</f>
        <v>0.68555113076259577</v>
      </c>
      <c r="J51" s="28">
        <f>IF(('Activity data'!J20*EF!$H51*EF!$H69)*NtoN2O*kgtoGg=0,"NO",('Activity data'!J20*EF!$H51*EF!$H69)*NtoN2O*kgtoGg)</f>
        <v>0.64789485942199276</v>
      </c>
      <c r="K51" s="28">
        <f>IF(('Activity data'!K20*EF!$H51*EF!$H69)*NtoN2O*kgtoGg=0,"NO",('Activity data'!K20*EF!$H51*EF!$H69)*NtoN2O*kgtoGg)</f>
        <v>0.72865140284093732</v>
      </c>
      <c r="L51" s="28">
        <f>IF(('Activity data'!L20*EF!$H51*EF!$H69)*NtoN2O*kgtoGg=0,"NO",('Activity data'!L20*EF!$H51*EF!$H69)*NtoN2O*kgtoGg)</f>
        <v>0.72181757150319903</v>
      </c>
      <c r="M51" s="28">
        <f>IF(('Activity data'!M20*EF!$H51*EF!$H69)*NtoN2O*kgtoGg=0,"NO",('Activity data'!M20*EF!$H51*EF!$H69)*NtoN2O*kgtoGg)</f>
        <v>0.82622573049281356</v>
      </c>
      <c r="N51" s="28">
        <f>IF(('Activity data'!N20*EF!$H51*EF!$H69)*NtoN2O*kgtoGg=0,"NO",('Activity data'!N20*EF!$H51*EF!$H69)*NtoN2O*kgtoGg)</f>
        <v>0.96068755914648207</v>
      </c>
      <c r="O51" s="28">
        <f>IF(('Activity data'!O20*EF!$H51*EF!$H69)*NtoN2O*kgtoGg=0,"NO",('Activity data'!O20*EF!$H51*EF!$H69)*NtoN2O*kgtoGg)</f>
        <v>0.97787012142542185</v>
      </c>
      <c r="P51" s="28">
        <f>IF(('Activity data'!P20*EF!$H51*EF!$H69)*NtoN2O*kgtoGg=0,"NO",('Activity data'!P20*EF!$H51*EF!$H69)*NtoN2O*kgtoGg)</f>
        <v>1.071484472052648</v>
      </c>
      <c r="Q51" s="28">
        <f>IF(('Activity data'!Q20*EF!$H51*EF!$H69)*NtoN2O*kgtoGg=0,"NO",('Activity data'!Q20*EF!$H51*EF!$H69)*NtoN2O*kgtoGg)</f>
        <v>1.1186177697218391</v>
      </c>
      <c r="R51" s="28">
        <f>IF(('Activity data'!R20*EF!$H51*EF!$H69)*NtoN2O*kgtoGg=0,"NO",('Activity data'!R20*EF!$H51*EF!$H69)*NtoN2O*kgtoGg)</f>
        <v>1.2035502905081028</v>
      </c>
      <c r="S51" s="28">
        <f>IF(('Activity data'!S20*EF!$H51*EF!$H69)*NtoN2O*kgtoGg=0,"NO",('Activity data'!S20*EF!$H51*EF!$H69)*NtoN2O*kgtoGg)</f>
        <v>1.1621542696380114</v>
      </c>
      <c r="T51" s="28">
        <f>IF(('Activity data'!T20*EF!$H51*EF!$H69)*NtoN2O*kgtoGg=0,"NO",('Activity data'!T20*EF!$H51*EF!$H69)*NtoN2O*kgtoGg)</f>
        <v>1.2880438918534249</v>
      </c>
      <c r="U51" s="28">
        <f>IF(('Activity data'!U20*EF!$H51*EF!$H69)*NtoN2O*kgtoGg=0,"NO",('Activity data'!U20*EF!$H51*EF!$H69)*NtoN2O*kgtoGg)</f>
        <v>1.225124187011174</v>
      </c>
      <c r="V51" s="28">
        <f>IF(('Activity data'!V20*EF!$H51*EF!$H69)*NtoN2O*kgtoGg=0,"NO",('Activity data'!V20*EF!$H51*EF!$H69)*NtoN2O*kgtoGg)</f>
        <v>1.2546997536257585</v>
      </c>
      <c r="W51" s="28">
        <f>IF(('Activity data'!W20*EF!$H51*EF!$H69)*NtoN2O*kgtoGg=0,"NO",('Activity data'!W20*EF!$H51*EF!$H69)*NtoN2O*kgtoGg)</f>
        <v>1.3882935327729005</v>
      </c>
      <c r="X51" s="28">
        <f>IF(('Activity data'!X20*EF!$H51*EF!$H69)*NtoN2O*kgtoGg=0,"NO",('Activity data'!X20*EF!$H51*EF!$H69)*NtoN2O*kgtoGg)</f>
        <v>1.4849096879687185</v>
      </c>
      <c r="Y51" s="28">
        <f>IF(('Activity data'!Y20*EF!$H51*EF!$H69)*NtoN2O*kgtoGg=0,"NO",('Activity data'!Y20*EF!$H51*EF!$H69)*NtoN2O*kgtoGg)</f>
        <v>1.5536225594206139</v>
      </c>
      <c r="Z51" s="28">
        <f>IF(('Activity data'!Z20*EF!$H51*EF!$H69)*NtoN2O*kgtoGg=0,"NO",('Activity data'!Z20*EF!$H51*EF!$H69)*NtoN2O*kgtoGg)</f>
        <v>1.6541861721500675</v>
      </c>
      <c r="AA51" s="28">
        <f>IF(('Activity data'!AA20*EF!$H51*EF!$H69)*NtoN2O*kgtoGg=0,"NO",('Activity data'!AA20*EF!$H51*EF!$H69)*NtoN2O*kgtoGg)</f>
        <v>1.5609057472739727</v>
      </c>
      <c r="AB51" s="28">
        <f>IF(('Activity data'!AB20*EF!$H51*EF!$H69)*NtoN2O*kgtoGg=0,"NO",('Activity data'!AB20*EF!$H51*EF!$H69)*NtoN2O*kgtoGg)</f>
        <v>1.6001637714485282</v>
      </c>
      <c r="AC51" s="28">
        <f>IF(('Activity data'!AC20*EF!$H51*EF!$H69)*NtoN2O*kgtoGg=0,"NO",('Activity data'!AC20*EF!$H51*EF!$H69)*NtoN2O*kgtoGg)</f>
        <v>1.6549888552911012</v>
      </c>
      <c r="AD51" s="28">
        <f>IF(('Activity data'!AD20*EF!$H51*EF!$H69)*NtoN2O*kgtoGg=0,"NO",('Activity data'!AD20*EF!$H51*EF!$H69)*NtoN2O*kgtoGg)</f>
        <v>1.7142366042457078</v>
      </c>
      <c r="AE51" s="28">
        <f>IF(('Activity data'!AE20*EF!$H51*EF!$H69)*NtoN2O*kgtoGg=0,"NO",('Activity data'!AE20*EF!$H51*EF!$H69)*NtoN2O*kgtoGg)</f>
        <v>1.7500239758663585</v>
      </c>
      <c r="AF51" s="28">
        <f>IF(('Activity data'!AF20*EF!$H51*EF!$H69)*NtoN2O*kgtoGg=0,"NO",('Activity data'!AF20*EF!$H51*EF!$H69)*NtoN2O*kgtoGg)</f>
        <v>1.7610647444207757</v>
      </c>
      <c r="AG51" s="28">
        <f>IF(('Activity data'!AG20*EF!$H51*EF!$H69)*NtoN2O*kgtoGg=0,"NO",('Activity data'!AG20*EF!$H51*EF!$H69)*NtoN2O*kgtoGg)</f>
        <v>1.7522137592360623</v>
      </c>
      <c r="AH51" s="28">
        <f>IF(('Activity data'!AH20*EF!$H51*EF!$H69)*NtoN2O*kgtoGg=0,"NO",('Activity data'!AH20*EF!$H51*EF!$H69)*NtoN2O*kgtoGg)</f>
        <v>1.7306441189181672</v>
      </c>
      <c r="AI51" s="28">
        <f>IF(('Activity data'!AI20*EF!$H51*EF!H69)*NtoN2O*kgtoGg=0,"NO",('Activity data'!AI20*EF!$H51*EF!H69)*NtoN2O*kgtoGg)</f>
        <v>1.7181392222766421</v>
      </c>
      <c r="AJ51" s="28">
        <f>IF(('Activity data'!AJ20*EF!$H51*EF!I69)*NtoN2O*kgtoGg=0,"NO",('Activity data'!AJ20*EF!$H51*EF!I69)*NtoN2O*kgtoGg)</f>
        <v>1.7114780299071328</v>
      </c>
      <c r="AK51" s="28">
        <f>IF(('Activity data'!AK20*EF!$H51*EF!J69)*NtoN2O*kgtoGg=0,"NO",('Activity data'!AK20*EF!$H51*EF!J69)*NtoN2O*kgtoGg)</f>
        <v>1.7037454933913296</v>
      </c>
      <c r="AL51" s="28">
        <f>IF(('Activity data'!AL20*EF!$H51*EF!K69)*NtoN2O*kgtoGg=0,"NO",('Activity data'!AL20*EF!$H51*EF!K69)*NtoN2O*kgtoGg)</f>
        <v>1.4089000083745475</v>
      </c>
      <c r="AM51" s="28">
        <f>IF(('Activity data'!AM20*EF!$H51*EF!L69)*NtoN2O*kgtoGg=0,"NO",('Activity data'!AM20*EF!$H51*EF!L69)*NtoN2O*kgtoGg)</f>
        <v>1.4387615417190669</v>
      </c>
      <c r="AN51" s="28">
        <f>IF(('Activity data'!AN20*EF!$H51*EF!M69)*NtoN2O*kgtoGg=0,"NO",('Activity data'!AN20*EF!$H51*EF!M69)*NtoN2O*kgtoGg)</f>
        <v>1.4702739230468811</v>
      </c>
      <c r="AO51" s="28">
        <f>IF(('Activity data'!AO20*EF!$H51*EF!N69)*NtoN2O*kgtoGg=0,"NO",('Activity data'!AO20*EF!$H51*EF!N69)*NtoN2O*kgtoGg)</f>
        <v>1.5093086582717425</v>
      </c>
      <c r="AP51" s="28">
        <f>IF(('Activity data'!AP20*EF!$H51*EF!O69)*NtoN2O*kgtoGg=0,"NO",('Activity data'!AP20*EF!$H51*EF!O69)*NtoN2O*kgtoGg)</f>
        <v>1.5527462341118481</v>
      </c>
      <c r="AQ51" s="28">
        <f>IF(('Activity data'!AQ20*EF!$H51*EF!P69)*NtoN2O*kgtoGg=0,"NO",('Activity data'!AQ20*EF!$H51*EF!P69)*NtoN2O*kgtoGg)</f>
        <v>1.5953335182419492</v>
      </c>
      <c r="AR51" s="28">
        <f>IF(('Activity data'!AR20*EF!$H51*EF!Q69)*NtoN2O*kgtoGg=0,"NO",('Activity data'!AR20*EF!$H51*EF!Q69)*NtoN2O*kgtoGg)</f>
        <v>1.6481519664021611</v>
      </c>
      <c r="AS51" s="28">
        <f>IF(('Activity data'!AS20*EF!$H51*EF!R69)*NtoN2O*kgtoGg=0,"NO",('Activity data'!AS20*EF!$H51*EF!R69)*NtoN2O*kgtoGg)</f>
        <v>1.7037223525830467</v>
      </c>
      <c r="AT51" s="28">
        <f>IF(('Activity data'!AT20*EF!$H51*EF!S69)*NtoN2O*kgtoGg=0,"NO",('Activity data'!AT20*EF!$H51*EF!S69)*NtoN2O*kgtoGg)</f>
        <v>1.7635159181121278</v>
      </c>
      <c r="AU51" s="28">
        <f>IF(('Activity data'!AU20*EF!$H51*EF!T69)*NtoN2O*kgtoGg=0,"NO",('Activity data'!AU20*EF!$H51*EF!T69)*NtoN2O*kgtoGg)</f>
        <v>1.8257698244847864</v>
      </c>
      <c r="AV51" s="28">
        <f>IF(('Activity data'!AV20*EF!$H51*EF!U69)*NtoN2O*kgtoGg=0,"NO",('Activity data'!AV20*EF!$H51*EF!U69)*NtoN2O*kgtoGg)</f>
        <v>1.8745330167461756</v>
      </c>
      <c r="AW51" s="28">
        <f>IF(('Activity data'!AW20*EF!$H51*EF!V69)*NtoN2O*kgtoGg=0,"NO",('Activity data'!AW20*EF!$H51*EF!V69)*NtoN2O*kgtoGg)</f>
        <v>1.9418900861511121</v>
      </c>
      <c r="AX51" s="28">
        <f>IF(('Activity data'!AX20*EF!$H51*EF!W69)*NtoN2O*kgtoGg=0,"NO",('Activity data'!AX20*EF!$H51*EF!W69)*NtoN2O*kgtoGg)</f>
        <v>2.0108869260909996</v>
      </c>
      <c r="AY51" s="28">
        <f>IF(('Activity data'!AY20*EF!$H51*EF!X69)*NtoN2O*kgtoGg=0,"NO",('Activity data'!AY20*EF!$H51*EF!X69)*NtoN2O*kgtoGg)</f>
        <v>2.0821051689813905</v>
      </c>
      <c r="AZ51" s="28">
        <f>IF(('Activity data'!AZ20*EF!$H51*EF!Y69)*NtoN2O*kgtoGg=0,"NO",('Activity data'!AZ20*EF!$H51*EF!Y69)*NtoN2O*kgtoGg)</f>
        <v>2.1491784705689434</v>
      </c>
      <c r="BA51" s="28">
        <f>IF(('Activity data'!BA20*EF!$H51*EF!Z69)*NtoN2O*kgtoGg=0,"NO",('Activity data'!BA20*EF!$H51*EF!Z69)*NtoN2O*kgtoGg)</f>
        <v>2.2210146719917065</v>
      </c>
      <c r="BB51" s="28">
        <f>IF(('Activity data'!BB20*EF!$H51*EF!AA69)*NtoN2O*kgtoGg=0,"NO",('Activity data'!BB20*EF!$H51*EF!AA69)*NtoN2O*kgtoGg)</f>
        <v>2.2976946035809407</v>
      </c>
      <c r="BC51" s="28">
        <f>IF(('Activity data'!BC20*EF!$H51*EF!AB69)*NtoN2O*kgtoGg=0,"NO",('Activity data'!BC20*EF!$H51*EF!AB69)*NtoN2O*kgtoGg)</f>
        <v>2.377484804546012</v>
      </c>
      <c r="BD51" s="28">
        <f>IF(('Activity data'!BD20*EF!$H51*EF!AC69)*NtoN2O*kgtoGg=0,"NO",('Activity data'!BD20*EF!$H51*EF!AC69)*NtoN2O*kgtoGg)</f>
        <v>2.4558308653502441</v>
      </c>
      <c r="BE51" s="28">
        <f>IF(('Activity data'!BE20*EF!$H51*EF!AD69)*NtoN2O*kgtoGg=0,"NO",('Activity data'!BE20*EF!$H51*EF!AD69)*NtoN2O*kgtoGg)</f>
        <v>2.5372815036728236</v>
      </c>
      <c r="BF51" s="28">
        <f>IF(('Activity data'!BF20*EF!$H51*EF!AE69)*NtoN2O*kgtoGg=0,"NO",('Activity data'!BF20*EF!$H51*EF!AE69)*NtoN2O*kgtoGg)</f>
        <v>2.6245614839889377</v>
      </c>
      <c r="BG51" s="28">
        <f>IF(('Activity data'!BG20*EF!$H51*EF!AF69)*NtoN2O*kgtoGg=0,"NO",('Activity data'!BG20*EF!$H51*EF!AF69)*NtoN2O*kgtoGg)</f>
        <v>2.7163603805678713</v>
      </c>
      <c r="BH51" s="28">
        <f>IF(('Activity data'!BH20*EF!$H51*EF!AG69)*NtoN2O*kgtoGg=0,"NO",('Activity data'!BH20*EF!$H51*EF!AG69)*NtoN2O*kgtoGg)</f>
        <v>2.8122517948595251</v>
      </c>
      <c r="BI51" s="28">
        <f>IF(('Activity data'!BI20*EF!$H51*EF!AH69)*NtoN2O*kgtoGg=0,"NO",('Activity data'!BI20*EF!$H51*EF!AH69)*NtoN2O*kgtoGg)</f>
        <v>2.9123977200956839</v>
      </c>
      <c r="BJ51" s="28">
        <f>IF(('Activity data'!BJ20*EF!$H51*EF!AI69)*NtoN2O*kgtoGg=0,"NO",('Activity data'!BJ20*EF!$H51*EF!AI69)*NtoN2O*kgtoGg)</f>
        <v>3.0168063346544014</v>
      </c>
      <c r="BK51" s="28">
        <f>IF(('Activity data'!BK20*EF!$H51*EF!AJ69)*NtoN2O*kgtoGg=0,"NO",('Activity data'!BK20*EF!$H51*EF!AJ69)*NtoN2O*kgtoGg)</f>
        <v>3.1265408472294629</v>
      </c>
      <c r="BL51" s="28">
        <f>IF(('Activity data'!BL20*EF!$H51*EF!AK69)*NtoN2O*kgtoGg=0,"NO",('Activity data'!BL20*EF!$H51*EF!AK69)*NtoN2O*kgtoGg)</f>
        <v>3.2283174384981104</v>
      </c>
      <c r="BM51" s="28">
        <f>IF(('Activity data'!BM20*EF!$H51*EF!AL69)*NtoN2O*kgtoGg=0,"NO",('Activity data'!BM20*EF!$H51*EF!AL69)*NtoN2O*kgtoGg)</f>
        <v>3.3348891222612904</v>
      </c>
      <c r="BN51" s="28">
        <f>IF(('Activity data'!BN20*EF!$H51*EF!AM69)*NtoN2O*kgtoGg=0,"NO",('Activity data'!BN20*EF!$H51*EF!AM69)*NtoN2O*kgtoGg)</f>
        <v>3.4472320062851805</v>
      </c>
      <c r="BO51" s="28">
        <f>IF(('Activity data'!BO20*EF!$H51*EF!AN69)*NtoN2O*kgtoGg=0,"NO",('Activity data'!BO20*EF!$H51*EF!AN69)*NtoN2O*kgtoGg)</f>
        <v>3.5658441355044141</v>
      </c>
      <c r="BP51" s="28">
        <f>IF(('Activity data'!BP20*EF!$H51*EF!AO69)*NtoN2O*kgtoGg=0,"NO",('Activity data'!BP20*EF!$H51*EF!AO69)*NtoN2O*kgtoGg)</f>
        <v>3.6937987570753448</v>
      </c>
    </row>
    <row r="52" spans="1:68" x14ac:dyDescent="0.25">
      <c r="A52" t="str">
        <f t="shared" si="1"/>
        <v>3A Livestock</v>
      </c>
      <c r="B52" t="str">
        <f t="shared" si="11"/>
        <v>3A2 Manure management (N2O)</v>
      </c>
      <c r="C52" t="str">
        <f>EF!C70</f>
        <v>3A2i Poultry</v>
      </c>
      <c r="D52" t="str">
        <f>EF!D70</f>
        <v>Subsistence layers</v>
      </c>
      <c r="E52" t="str">
        <f t="shared" si="9"/>
        <v>Manure management Emissions</v>
      </c>
      <c r="F52" t="s">
        <v>139</v>
      </c>
      <c r="G52" t="str">
        <f t="shared" si="10"/>
        <v>Gg N2O</v>
      </c>
      <c r="H52" s="28">
        <f>IF(('Activity data'!H21*EF!$H52*EF!$H70)*NtoN2O*kgtoGg=0,"NO",('Activity data'!H21*EF!$H52*EF!$H70)*NtoN2O*kgtoGg)</f>
        <v>8.5243760509896623E-3</v>
      </c>
      <c r="I52" s="28">
        <f>IF(('Activity data'!I21*EF!$H52*EF!$H70)*NtoN2O*kgtoGg=0,"NO",('Activity data'!I21*EF!$H52*EF!$H70)*NtoN2O*kgtoGg)</f>
        <v>8.2813036260724598E-3</v>
      </c>
      <c r="J52" s="28">
        <f>IF(('Activity data'!J21*EF!$H52*EF!$H70)*NtoN2O*kgtoGg=0,"NO",('Activity data'!J21*EF!$H52*EF!$H70)*NtoN2O*kgtoGg)</f>
        <v>7.8542404359692557E-3</v>
      </c>
      <c r="K52" s="28">
        <f>IF(('Activity data'!K21*EF!$H52*EF!$H70)*NtoN2O*kgtoGg=0,"NO",('Activity data'!K21*EF!$H52*EF!$H70)*NtoN2O*kgtoGg)</f>
        <v>7.7307463298428268E-3</v>
      </c>
      <c r="L52" s="28">
        <f>IF(('Activity data'!L21*EF!$H52*EF!$H70)*NtoN2O*kgtoGg=0,"NO",('Activity data'!L21*EF!$H52*EF!$H70)*NtoN2O*kgtoGg)</f>
        <v>7.394486699027595E-3</v>
      </c>
      <c r="M52" s="28">
        <f>IF(('Activity data'!M21*EF!$H52*EF!$H70)*NtoN2O*kgtoGg=0,"NO",('Activity data'!M21*EF!$H52*EF!$H70)*NtoN2O*kgtoGg)</f>
        <v>8.0683053341030469E-3</v>
      </c>
      <c r="N52" s="28">
        <f>IF(('Activity data'!N21*EF!$H52*EF!$H70)*NtoN2O*kgtoGg=0,"NO",('Activity data'!N21*EF!$H52*EF!$H70)*NtoN2O*kgtoGg)</f>
        <v>8.5225928029387995E-3</v>
      </c>
      <c r="O52" s="28">
        <f>IF(('Activity data'!O21*EF!$H52*EF!$H70)*NtoN2O*kgtoGg=0,"NO",('Activity data'!O21*EF!$H52*EF!$H70)*NtoN2O*kgtoGg)</f>
        <v>8.55061823412555E-3</v>
      </c>
      <c r="P52" s="28">
        <f>IF(('Activity data'!P21*EF!$H52*EF!$H70)*NtoN2O*kgtoGg=0,"NO",('Activity data'!P21*EF!$H52*EF!$H70)*NtoN2O*kgtoGg)</f>
        <v>9.627274618194244E-3</v>
      </c>
      <c r="Q52" s="28">
        <f>IF(('Activity data'!Q21*EF!$H52*EF!$H70)*NtoN2O*kgtoGg=0,"NO",('Activity data'!Q21*EF!$H52*EF!$H70)*NtoN2O*kgtoGg)</f>
        <v>1.0321404479128861E-2</v>
      </c>
      <c r="R52" s="28">
        <f>IF(('Activity data'!R21*EF!$H52*EF!$H70)*NtoN2O*kgtoGg=0,"NO",('Activity data'!R21*EF!$H52*EF!$H70)*NtoN2O*kgtoGg)</f>
        <v>1.010271047950061E-2</v>
      </c>
      <c r="S52" s="28">
        <f>IF(('Activity data'!S21*EF!$H52*EF!$H70)*NtoN2O*kgtoGg=0,"NO",('Activity data'!S21*EF!$H52*EF!$H70)*NtoN2O*kgtoGg)</f>
        <v>1.0372214756607131E-2</v>
      </c>
      <c r="T52" s="28">
        <f>IF(('Activity data'!T21*EF!$H52*EF!$H70)*NtoN2O*kgtoGg=0,"NO",('Activity data'!T21*EF!$H52*EF!$H70)*NtoN2O*kgtoGg)</f>
        <v>1.0290807756416174E-2</v>
      </c>
      <c r="U52" s="28">
        <f>IF(('Activity data'!U21*EF!$H52*EF!$H70)*NtoN2O*kgtoGg=0,"NO",('Activity data'!U21*EF!$H52*EF!$H70)*NtoN2O*kgtoGg)</f>
        <v>9.8799729665679584E-3</v>
      </c>
      <c r="V52" s="28">
        <f>IF(('Activity data'!V21*EF!$H52*EF!$H70)*NtoN2O*kgtoGg=0,"NO",('Activity data'!V21*EF!$H52*EF!$H70)*NtoN2O*kgtoGg)</f>
        <v>1.0238231028606104E-2</v>
      </c>
      <c r="W52" s="28">
        <f>IF(('Activity data'!W21*EF!$H52*EF!$H70)*NtoN2O*kgtoGg=0,"NO",('Activity data'!W21*EF!$H52*EF!$H70)*NtoN2O*kgtoGg)</f>
        <v>1.085560173037158E-2</v>
      </c>
      <c r="X52" s="28">
        <f>IF(('Activity data'!X21*EF!$H52*EF!$H70)*NtoN2O*kgtoGg=0,"NO",('Activity data'!X21*EF!$H52*EF!$H70)*NtoN2O*kgtoGg)</f>
        <v>1.1980432313982685E-2</v>
      </c>
      <c r="Y52" s="28">
        <f>IF(('Activity data'!Y21*EF!$H52*EF!$H70)*NtoN2O*kgtoGg=0,"NO",('Activity data'!Y21*EF!$H52*EF!$H70)*NtoN2O*kgtoGg)</f>
        <v>1.3258412654313281E-2</v>
      </c>
      <c r="Z52" s="28">
        <f>IF(('Activity data'!Z21*EF!$H52*EF!$H70)*NtoN2O*kgtoGg=0,"NO",('Activity data'!Z21*EF!$H52*EF!$H70)*NtoN2O*kgtoGg)</f>
        <v>1.3433024325241976E-2</v>
      </c>
      <c r="AA52" s="28">
        <f>IF(('Activity data'!AA21*EF!$H52*EF!$H70)*NtoN2O*kgtoGg=0,"NO",('Activity data'!AA21*EF!$H52*EF!$H70)*NtoN2O*kgtoGg)</f>
        <v>1.2937796671040344E-2</v>
      </c>
      <c r="AB52" s="28">
        <f>IF(('Activity data'!AB21*EF!$H52*EF!$H70)*NtoN2O*kgtoGg=0,"NO",('Activity data'!AB21*EF!$H52*EF!$H70)*NtoN2O*kgtoGg)</f>
        <v>1.3441768554842816E-2</v>
      </c>
      <c r="AC52" s="28">
        <f>IF(('Activity data'!AC21*EF!$H52*EF!$H70)*NtoN2O*kgtoGg=0,"NO",('Activity data'!AC21*EF!$H52*EF!$H70)*NtoN2O*kgtoGg)</f>
        <v>1.4062204549784241E-2</v>
      </c>
      <c r="AD52" s="28">
        <f>IF(('Activity data'!AD21*EF!$H52*EF!$H70)*NtoN2O*kgtoGg=0,"NO",('Activity data'!AD21*EF!$H52*EF!$H70)*NtoN2O*kgtoGg)</f>
        <v>1.3708755895182608E-2</v>
      </c>
      <c r="AE52" s="28">
        <f>IF(('Activity data'!AE21*EF!$H52*EF!$H70)*NtoN2O*kgtoGg=0,"NO",('Activity data'!AE21*EF!$H52*EF!$H70)*NtoN2O*kgtoGg)</f>
        <v>1.4030065592908229E-2</v>
      </c>
      <c r="AF52" s="28">
        <f>IF(('Activity data'!AF21*EF!$H52*EF!$H70)*NtoN2O*kgtoGg=0,"NO",('Activity data'!AF21*EF!$H52*EF!$H70)*NtoN2O*kgtoGg)</f>
        <v>1.4278309303229288E-2</v>
      </c>
      <c r="AG52" s="28">
        <f>IF(('Activity data'!AG21*EF!$H52*EF!$H70)*NtoN2O*kgtoGg=0,"NO",('Activity data'!AG21*EF!$H52*EF!$H70)*NtoN2O*kgtoGg)</f>
        <v>1.4466525790231404E-2</v>
      </c>
      <c r="AH52" s="28">
        <f>IF(('Activity data'!AH21*EF!$H52*EF!$H70)*NtoN2O*kgtoGg=0,"NO",('Activity data'!AH21*EF!$H52*EF!$H70)*NtoN2O*kgtoGg)</f>
        <v>1.4616177281172177E-2</v>
      </c>
      <c r="AI52" s="28">
        <f>IF(('Activity data'!AI21*EF!$H52*EF!H70)*NtoN2O*kgtoGg=0,"NO",('Activity data'!AI21*EF!$H52*EF!H70)*NtoN2O*kgtoGg)</f>
        <v>1.479785927089743E-2</v>
      </c>
      <c r="AJ52" s="28">
        <f>IF(('Activity data'!AJ21*EF!$H52*EF!I70)*NtoN2O*kgtoGg=0,"NO",('Activity data'!AJ21*EF!$H52*EF!I70)*NtoN2O*kgtoGg)</f>
        <v>1.4998435082533453E-2</v>
      </c>
      <c r="AK52" s="28">
        <f>IF(('Activity data'!AK21*EF!$H52*EF!J70)*NtoN2O*kgtoGg=0,"NO",('Activity data'!AK21*EF!$H52*EF!J70)*NtoN2O*kgtoGg)</f>
        <v>1.5195979280325083E-2</v>
      </c>
      <c r="AL52" s="28">
        <f>IF(('Activity data'!AL21*EF!$H52*EF!K70)*NtoN2O*kgtoGg=0,"NO",('Activity data'!AL21*EF!$H52*EF!K70)*NtoN2O*kgtoGg)</f>
        <v>1.442181733834243E-2</v>
      </c>
      <c r="AM52" s="28">
        <f>IF(('Activity data'!AM21*EF!$H52*EF!L70)*NtoN2O*kgtoGg=0,"NO",('Activity data'!AM21*EF!$H52*EF!L70)*NtoN2O*kgtoGg)</f>
        <v>1.4709958550618117E-2</v>
      </c>
      <c r="AN52" s="28">
        <f>IF(('Activity data'!AN21*EF!$H52*EF!M70)*NtoN2O*kgtoGg=0,"NO",('Activity data'!AN21*EF!$H52*EF!M70)*NtoN2O*kgtoGg)</f>
        <v>1.4996599501966591E-2</v>
      </c>
      <c r="AO52" s="28">
        <f>IF(('Activity data'!AO21*EF!$H52*EF!N70)*NtoN2O*kgtoGg=0,"NO",('Activity data'!AO21*EF!$H52*EF!N70)*NtoN2O*kgtoGg)</f>
        <v>1.5301998033172948E-2</v>
      </c>
      <c r="AP52" s="28">
        <f>IF(('Activity data'!AP21*EF!$H52*EF!O70)*NtoN2O*kgtoGg=0,"NO",('Activity data'!AP21*EF!$H52*EF!O70)*NtoN2O*kgtoGg)</f>
        <v>1.5622074524563623E-2</v>
      </c>
      <c r="AQ52" s="28">
        <f>IF(('Activity data'!AQ21*EF!$H52*EF!P70)*NtoN2O*kgtoGg=0,"NO",('Activity data'!AQ21*EF!$H52*EF!P70)*NtoN2O*kgtoGg)</f>
        <v>1.5938496721365519E-2</v>
      </c>
      <c r="AR52" s="28">
        <f>IF(('Activity data'!AR21*EF!$H52*EF!Q70)*NtoN2O*kgtoGg=0,"NO",('Activity data'!AR21*EF!$H52*EF!Q70)*NtoN2O*kgtoGg)</f>
        <v>1.6290652058987012E-2</v>
      </c>
      <c r="AS52" s="28">
        <f>IF(('Activity data'!AS21*EF!$H52*EF!R70)*NtoN2O*kgtoGg=0,"NO",('Activity data'!AS21*EF!$H52*EF!R70)*NtoN2O*kgtoGg)</f>
        <v>1.6652372850115352E-2</v>
      </c>
      <c r="AT52" s="28">
        <f>IF(('Activity data'!AT21*EF!$H52*EF!S70)*NtoN2O*kgtoGg=0,"NO",('Activity data'!AT21*EF!$H52*EF!S70)*NtoN2O*kgtoGg)</f>
        <v>1.7029099565956815E-2</v>
      </c>
      <c r="AU52" s="28">
        <f>IF(('Activity data'!AU21*EF!$H52*EF!T70)*NtoN2O*kgtoGg=0,"NO",('Activity data'!AU21*EF!$H52*EF!T70)*NtoN2O*kgtoGg)</f>
        <v>1.7415421001118956E-2</v>
      </c>
      <c r="AV52" s="28">
        <f>IF(('Activity data'!AV21*EF!$H52*EF!U70)*NtoN2O*kgtoGg=0,"NO",('Activity data'!AV21*EF!$H52*EF!U70)*NtoN2O*kgtoGg)</f>
        <v>1.775265237962147E-2</v>
      </c>
      <c r="AW52" s="28">
        <f>IF(('Activity data'!AW21*EF!$H52*EF!V70)*NtoN2O*kgtoGg=0,"NO",('Activity data'!AW21*EF!$H52*EF!V70)*NtoN2O*kgtoGg)</f>
        <v>1.8158674768613381E-2</v>
      </c>
      <c r="AX52" s="28">
        <f>IF(('Activity data'!AX21*EF!$H52*EF!W70)*NtoN2O*kgtoGg=0,"NO",('Activity data'!AX21*EF!$H52*EF!W70)*NtoN2O*kgtoGg)</f>
        <v>1.8571498918187608E-2</v>
      </c>
      <c r="AY52" s="28">
        <f>IF(('Activity data'!AY21*EF!$H52*EF!X70)*NtoN2O*kgtoGg=0,"NO",('Activity data'!AY21*EF!$H52*EF!X70)*NtoN2O*kgtoGg)</f>
        <v>1.8993329819240692E-2</v>
      </c>
      <c r="AZ52" s="28">
        <f>IF(('Activity data'!AZ21*EF!$H52*EF!Y70)*NtoN2O*kgtoGg=0,"NO",('Activity data'!AZ21*EF!$H52*EF!Y70)*NtoN2O*kgtoGg)</f>
        <v>1.9400335458630985E-2</v>
      </c>
      <c r="BA52" s="28">
        <f>IF(('Activity data'!BA21*EF!$H52*EF!Z70)*NtoN2O*kgtoGg=0,"NO",('Activity data'!BA21*EF!$H52*EF!Z70)*NtoN2O*kgtoGg)</f>
        <v>1.9826083937489313E-2</v>
      </c>
      <c r="BB52" s="28">
        <f>IF(('Activity data'!BB21*EF!$H52*EF!AA70)*NtoN2O*kgtoGg=0,"NO",('Activity data'!BB21*EF!$H52*EF!AA70)*NtoN2O*kgtoGg)</f>
        <v>2.0271147244487794E-2</v>
      </c>
      <c r="BC52" s="28">
        <f>IF(('Activity data'!BC21*EF!$H52*EF!AB70)*NtoN2O*kgtoGg=0,"NO",('Activity data'!BC21*EF!$H52*EF!AB70)*NtoN2O*kgtoGg)</f>
        <v>2.0729085431172301E-2</v>
      </c>
      <c r="BD52" s="28">
        <f>IF(('Activity data'!BD21*EF!$H52*EF!AC70)*NtoN2O*kgtoGg=0,"NO",('Activity data'!BD21*EF!$H52*EF!AC70)*NtoN2O*kgtoGg)</f>
        <v>2.1182308093629556E-2</v>
      </c>
      <c r="BE52" s="28">
        <f>IF(('Activity data'!BE21*EF!$H52*EF!AD70)*NtoN2O*kgtoGg=0,"NO",('Activity data'!BE21*EF!$H52*EF!AD70)*NtoN2O*kgtoGg)</f>
        <v>2.1648672584090398E-2</v>
      </c>
      <c r="BF52" s="28">
        <f>IF(('Activity data'!BF21*EF!$H52*EF!AE70)*NtoN2O*kgtoGg=0,"NO",('Activity data'!BF21*EF!$H52*EF!AE70)*NtoN2O*kgtoGg)</f>
        <v>2.2139042800928911E-2</v>
      </c>
      <c r="BG52" s="28">
        <f>IF(('Activity data'!BG21*EF!$H52*EF!AF70)*NtoN2O*kgtoGg=0,"NO",('Activity data'!BG21*EF!$H52*EF!AF70)*NtoN2O*kgtoGg)</f>
        <v>2.2648550369980026E-2</v>
      </c>
      <c r="BH52" s="28">
        <f>IF(('Activity data'!BH21*EF!$H52*EF!AG70)*NtoN2O*kgtoGg=0,"NO",('Activity data'!BH21*EF!$H52*EF!AG70)*NtoN2O*kgtoGg)</f>
        <v>2.3175721373344598E-2</v>
      </c>
      <c r="BI52" s="28">
        <f>IF(('Activity data'!BI21*EF!$H52*EF!AH70)*NtoN2O*kgtoGg=0,"NO",('Activity data'!BI21*EF!$H52*EF!AH70)*NtoN2O*kgtoGg)</f>
        <v>2.3721397487941106E-2</v>
      </c>
      <c r="BJ52" s="28">
        <f>IF(('Activity data'!BJ21*EF!$H52*EF!AI70)*NtoN2O*kgtoGg=0,"NO",('Activity data'!BJ21*EF!$H52*EF!AI70)*NtoN2O*kgtoGg)</f>
        <v>2.4285823099898084E-2</v>
      </c>
      <c r="BK52" s="28">
        <f>IF(('Activity data'!BK21*EF!$H52*EF!AJ70)*NtoN2O*kgtoGg=0,"NO",('Activity data'!BK21*EF!$H52*EF!AJ70)*NtoN2O*kgtoGg)</f>
        <v>2.4873508000869321E-2</v>
      </c>
      <c r="BL52" s="28">
        <f>IF(('Activity data'!BL21*EF!$H52*EF!AK70)*NtoN2O*kgtoGg=0,"NO",('Activity data'!BL21*EF!$H52*EF!AK70)*NtoN2O*kgtoGg)</f>
        <v>2.5430560204352467E-2</v>
      </c>
      <c r="BM52" s="28">
        <f>IF(('Activity data'!BM21*EF!$H52*EF!AL70)*NtoN2O*kgtoGg=0,"NO",('Activity data'!BM21*EF!$H52*EF!AL70)*NtoN2O*kgtoGg)</f>
        <v>2.6008636140688015E-2</v>
      </c>
      <c r="BN52" s="28">
        <f>IF(('Activity data'!BN21*EF!$H52*EF!AM70)*NtoN2O*kgtoGg=0,"NO",('Activity data'!BN21*EF!$H52*EF!AM70)*NtoN2O*kgtoGg)</f>
        <v>2.6611993618127227E-2</v>
      </c>
      <c r="BO52" s="28">
        <f>IF(('Activity data'!BO21*EF!$H52*EF!AN70)*NtoN2O*kgtoGg=0,"NO",('Activity data'!BO21*EF!$H52*EF!AN70)*NtoN2O*kgtoGg)</f>
        <v>2.7242956757411344E-2</v>
      </c>
      <c r="BP52" s="28">
        <f>IF(('Activity data'!BP21*EF!$H52*EF!AO70)*NtoN2O*kgtoGg=0,"NO",('Activity data'!BP21*EF!$H52*EF!AO70)*NtoN2O*kgtoGg)</f>
        <v>2.7914651098520364E-2</v>
      </c>
    </row>
    <row r="53" spans="1:68" x14ac:dyDescent="0.25">
      <c r="A53" t="str">
        <f t="shared" si="1"/>
        <v>3A Livestock</v>
      </c>
      <c r="B53" t="str">
        <f t="shared" si="11"/>
        <v>3A2 Manure management (N2O)</v>
      </c>
      <c r="C53" t="str">
        <f>EF!C71</f>
        <v>3A2i Poultry</v>
      </c>
      <c r="D53" t="str">
        <f>EF!D71</f>
        <v>Subsistence broilers</v>
      </c>
      <c r="E53" t="str">
        <f t="shared" si="9"/>
        <v>Manure management Emissions</v>
      </c>
      <c r="F53" t="s">
        <v>139</v>
      </c>
      <c r="G53" t="str">
        <f t="shared" si="10"/>
        <v>Gg N2O</v>
      </c>
      <c r="H53" s="28">
        <f>IF(('Activity data'!H22*EF!$H53*EF!$H71)*NtoN2O*kgtoGg=0,"NO",('Activity data'!H22*EF!$H53*EF!$H71)*NtoN2O*kgtoGg)</f>
        <v>3.0631007930708259E-2</v>
      </c>
      <c r="I53" s="28">
        <f>IF(('Activity data'!I22*EF!$H53*EF!$H71)*NtoN2O*kgtoGg=0,"NO",('Activity data'!I22*EF!$H53*EF!$H71)*NtoN2O*kgtoGg)</f>
        <v>2.8793147492029023E-2</v>
      </c>
      <c r="J53" s="28">
        <f>IF(('Activity data'!J22*EF!$H53*EF!$H71)*NtoN2O*kgtoGg=0,"NO",('Activity data'!J22*EF!$H53*EF!$H71)*NtoN2O*kgtoGg)</f>
        <v>2.7211584095723697E-2</v>
      </c>
      <c r="K53" s="28">
        <f>IF(('Activity data'!K22*EF!$H53*EF!$H71)*NtoN2O*kgtoGg=0,"NO",('Activity data'!K22*EF!$H53*EF!$H71)*NtoN2O*kgtoGg)</f>
        <v>3.0603358919319371E-2</v>
      </c>
      <c r="L53" s="28">
        <f>IF(('Activity data'!L22*EF!$H53*EF!$H71)*NtoN2O*kgtoGg=0,"NO",('Activity data'!L22*EF!$H53*EF!$H71)*NtoN2O*kgtoGg)</f>
        <v>3.0316338003134366E-2</v>
      </c>
      <c r="M53" s="28">
        <f>IF(('Activity data'!M22*EF!$H53*EF!$H71)*NtoN2O*kgtoGg=0,"NO",('Activity data'!M22*EF!$H53*EF!$H71)*NtoN2O*kgtoGg)</f>
        <v>3.4701480680698171E-2</v>
      </c>
      <c r="N53" s="28">
        <f>IF(('Activity data'!N22*EF!$H53*EF!$H71)*NtoN2O*kgtoGg=0,"NO",('Activity data'!N22*EF!$H53*EF!$H71)*NtoN2O*kgtoGg)</f>
        <v>4.0348877484152244E-2</v>
      </c>
      <c r="O53" s="28">
        <f>IF(('Activity data'!O22*EF!$H53*EF!$H71)*NtoN2O*kgtoGg=0,"NO",('Activity data'!O22*EF!$H53*EF!$H71)*NtoN2O*kgtoGg)</f>
        <v>4.1070545099867725E-2</v>
      </c>
      <c r="P53" s="28">
        <f>IF(('Activity data'!P22*EF!$H53*EF!$H71)*NtoN2O*kgtoGg=0,"NO",('Activity data'!P22*EF!$H53*EF!$H71)*NtoN2O*kgtoGg)</f>
        <v>4.5002347826211216E-2</v>
      </c>
      <c r="Q53" s="28">
        <f>IF(('Activity data'!Q22*EF!$H53*EF!$H71)*NtoN2O*kgtoGg=0,"NO",('Activity data'!Q22*EF!$H53*EF!$H71)*NtoN2O*kgtoGg)</f>
        <v>4.6981946328317245E-2</v>
      </c>
      <c r="R53" s="28">
        <f>IF(('Activity data'!R22*EF!$H53*EF!$H71)*NtoN2O*kgtoGg=0,"NO",('Activity data'!R22*EF!$H53*EF!$H71)*NtoN2O*kgtoGg)</f>
        <v>5.0549112201340313E-2</v>
      </c>
      <c r="S53" s="28">
        <f>IF(('Activity data'!S22*EF!$H53*EF!$H71)*NtoN2O*kgtoGg=0,"NO",('Activity data'!S22*EF!$H53*EF!$H71)*NtoN2O*kgtoGg)</f>
        <v>4.8810479324796478E-2</v>
      </c>
      <c r="T53" s="28">
        <f>IF(('Activity data'!T22*EF!$H53*EF!$H71)*NtoN2O*kgtoGg=0,"NO",('Activity data'!T22*EF!$H53*EF!$H71)*NtoN2O*kgtoGg)</f>
        <v>5.4097843457843853E-2</v>
      </c>
      <c r="U53" s="28">
        <f>IF(('Activity data'!U22*EF!$H53*EF!$H71)*NtoN2O*kgtoGg=0,"NO",('Activity data'!U22*EF!$H53*EF!$H71)*NtoN2O*kgtoGg)</f>
        <v>5.1455215854469313E-2</v>
      </c>
      <c r="V53" s="28">
        <f>IF(('Activity data'!V22*EF!$H53*EF!$H71)*NtoN2O*kgtoGg=0,"NO",('Activity data'!V22*EF!$H53*EF!$H71)*NtoN2O*kgtoGg)</f>
        <v>5.2697389652281851E-2</v>
      </c>
      <c r="W53" s="28">
        <f>IF(('Activity data'!W22*EF!$H53*EF!$H71)*NtoN2O*kgtoGg=0,"NO",('Activity data'!W22*EF!$H53*EF!$H71)*NtoN2O*kgtoGg)</f>
        <v>5.8308328376461827E-2</v>
      </c>
      <c r="X53" s="28">
        <f>IF(('Activity data'!X22*EF!$H53*EF!$H71)*NtoN2O*kgtoGg=0,"NO",('Activity data'!X22*EF!$H53*EF!$H71)*NtoN2O*kgtoGg)</f>
        <v>6.236620689468618E-2</v>
      </c>
      <c r="Y53" s="28">
        <f>IF(('Activity data'!Y22*EF!$H53*EF!$H71)*NtoN2O*kgtoGg=0,"NO",('Activity data'!Y22*EF!$H53*EF!$H71)*NtoN2O*kgtoGg)</f>
        <v>6.5252147495665797E-2</v>
      </c>
      <c r="Z53" s="28">
        <f>IF(('Activity data'!Z22*EF!$H53*EF!$H71)*NtoN2O*kgtoGg=0,"NO",('Activity data'!Z22*EF!$H53*EF!$H71)*NtoN2O*kgtoGg)</f>
        <v>6.9475819230302827E-2</v>
      </c>
      <c r="AA53" s="28">
        <f>IF(('Activity data'!AA22*EF!$H53*EF!$H71)*NtoN2O*kgtoGg=0,"NO",('Activity data'!AA22*EF!$H53*EF!$H71)*NtoN2O*kgtoGg)</f>
        <v>6.555804138550686E-2</v>
      </c>
      <c r="AB53" s="28">
        <f>IF(('Activity data'!AB22*EF!$H53*EF!$H71)*NtoN2O*kgtoGg=0,"NO",('Activity data'!AB22*EF!$H53*EF!$H71)*NtoN2O*kgtoGg)</f>
        <v>6.7206878400838194E-2</v>
      </c>
      <c r="AC53" s="28">
        <f>IF(('Activity data'!AC22*EF!$H53*EF!$H71)*NtoN2O*kgtoGg=0,"NO",('Activity data'!AC22*EF!$H53*EF!$H71)*NtoN2O*kgtoGg)</f>
        <v>6.9509531922226239E-2</v>
      </c>
      <c r="AD53" s="28">
        <f>IF(('Activity data'!AD22*EF!$H53*EF!$H71)*NtoN2O*kgtoGg=0,"NO",('Activity data'!AD22*EF!$H53*EF!$H71)*NtoN2O*kgtoGg)</f>
        <v>7.1426525176904551E-2</v>
      </c>
      <c r="AE53" s="28">
        <f>IF(('Activity data'!AE22*EF!$H53*EF!$H71)*NtoN2O*kgtoGg=0,"NO",('Activity data'!AE22*EF!$H53*EF!$H71)*NtoN2O*kgtoGg)</f>
        <v>7.2917665661098335E-2</v>
      </c>
      <c r="AF53" s="28">
        <f>IF(('Activity data'!AF22*EF!$H53*EF!$H71)*NtoN2O*kgtoGg=0,"NO",('Activity data'!AF22*EF!$H53*EF!$H71)*NtoN2O*kgtoGg)</f>
        <v>7.3377697684199036E-2</v>
      </c>
      <c r="AG53" s="28">
        <f>IF(('Activity data'!AG22*EF!$H53*EF!$H71)*NtoN2O*kgtoGg=0,"NO",('Activity data'!AG22*EF!$H53*EF!$H71)*NtoN2O*kgtoGg)</f>
        <v>7.3008906634835988E-2</v>
      </c>
      <c r="AH53" s="28">
        <f>IF(('Activity data'!AH22*EF!$H53*EF!$H71)*NtoN2O*kgtoGg=0,"NO",('Activity data'!AH22*EF!$H53*EF!$H71)*NtoN2O*kgtoGg)</f>
        <v>7.2110171621590335E-2</v>
      </c>
      <c r="AI53" s="28">
        <f>IF(('Activity data'!AI22*EF!$H53*EF!H71)*NtoN2O*kgtoGg=0,"NO",('Activity data'!AI22*EF!$H53*EF!H71)*NtoN2O*kgtoGg)</f>
        <v>7.1589134261526813E-2</v>
      </c>
      <c r="AJ53" s="28">
        <f>IF(('Activity data'!AJ22*EF!$H53*EF!I71)*NtoN2O*kgtoGg=0,"NO",('Activity data'!AJ22*EF!$H53*EF!I71)*NtoN2O*kgtoGg)</f>
        <v>7.1311584579463932E-2</v>
      </c>
      <c r="AK53" s="28">
        <f>IF(('Activity data'!AK22*EF!$H53*EF!J71)*NtoN2O*kgtoGg=0,"NO",('Activity data'!AK22*EF!$H53*EF!J71)*NtoN2O*kgtoGg)</f>
        <v>7.0989395557972138E-2</v>
      </c>
      <c r="AL53" s="28">
        <f>IF(('Activity data'!AL22*EF!$H53*EF!K71)*NtoN2O*kgtoGg=0,"NO",('Activity data'!AL22*EF!$H53*EF!K71)*NtoN2O*kgtoGg)</f>
        <v>5.8704167015606198E-2</v>
      </c>
      <c r="AM53" s="28">
        <f>IF(('Activity data'!AM22*EF!$H53*EF!L71)*NtoN2O*kgtoGg=0,"NO",('Activity data'!AM22*EF!$H53*EF!L71)*NtoN2O*kgtoGg)</f>
        <v>5.9948397571627843E-2</v>
      </c>
      <c r="AN53" s="28">
        <f>IF(('Activity data'!AN22*EF!$H53*EF!M71)*NtoN2O*kgtoGg=0,"NO",('Activity data'!AN22*EF!$H53*EF!M71)*NtoN2O*kgtoGg)</f>
        <v>6.1261413460286789E-2</v>
      </c>
      <c r="AO53" s="28">
        <f>IF(('Activity data'!AO22*EF!$H53*EF!N71)*NtoN2O*kgtoGg=0,"NO",('Activity data'!AO22*EF!$H53*EF!N71)*NtoN2O*kgtoGg)</f>
        <v>6.2887860761322661E-2</v>
      </c>
      <c r="AP53" s="28">
        <f>IF(('Activity data'!AP22*EF!$H53*EF!O71)*NtoN2O*kgtoGg=0,"NO",('Activity data'!AP22*EF!$H53*EF!O71)*NtoN2O*kgtoGg)</f>
        <v>6.4697759754660397E-2</v>
      </c>
      <c r="AQ53" s="28">
        <f>IF(('Activity data'!AQ22*EF!$H53*EF!P71)*NtoN2O*kgtoGg=0,"NO",('Activity data'!AQ22*EF!$H53*EF!P71)*NtoN2O*kgtoGg)</f>
        <v>6.647222992674795E-2</v>
      </c>
      <c r="AR53" s="28">
        <f>IF(('Activity data'!AR22*EF!$H53*EF!Q71)*NtoN2O*kgtoGg=0,"NO",('Activity data'!AR22*EF!$H53*EF!Q71)*NtoN2O*kgtoGg)</f>
        <v>6.8672998600090088E-2</v>
      </c>
      <c r="AS53" s="28">
        <f>IF(('Activity data'!AS22*EF!$H53*EF!R71)*NtoN2O*kgtoGg=0,"NO",('Activity data'!AS22*EF!$H53*EF!R71)*NtoN2O*kgtoGg)</f>
        <v>7.0988431357627002E-2</v>
      </c>
      <c r="AT53" s="28">
        <f>IF(('Activity data'!AT22*EF!$H53*EF!S71)*NtoN2O*kgtoGg=0,"NO",('Activity data'!AT22*EF!$H53*EF!S71)*NtoN2O*kgtoGg)</f>
        <v>7.3479829921338724E-2</v>
      </c>
      <c r="AU53" s="28">
        <f>IF(('Activity data'!AU22*EF!$H53*EF!T71)*NtoN2O*kgtoGg=0,"NO",('Activity data'!AU22*EF!$H53*EF!T71)*NtoN2O*kgtoGg)</f>
        <v>7.6073742686866189E-2</v>
      </c>
      <c r="AV53" s="28">
        <f>IF(('Activity data'!AV22*EF!$H53*EF!U71)*NtoN2O*kgtoGg=0,"NO",('Activity data'!AV22*EF!$H53*EF!U71)*NtoN2O*kgtoGg)</f>
        <v>7.8105542364424047E-2</v>
      </c>
      <c r="AW53" s="28">
        <f>IF(('Activity data'!AW22*EF!$H53*EF!V71)*NtoN2O*kgtoGg=0,"NO",('Activity data'!AW22*EF!$H53*EF!V71)*NtoN2O*kgtoGg)</f>
        <v>8.0912086922963089E-2</v>
      </c>
      <c r="AX53" s="28">
        <f>IF(('Activity data'!AX22*EF!$H53*EF!W71)*NtoN2O*kgtoGg=0,"NO",('Activity data'!AX22*EF!$H53*EF!W71)*NtoN2O*kgtoGg)</f>
        <v>8.3786955253791734E-2</v>
      </c>
      <c r="AY53" s="28">
        <f>IF(('Activity data'!AY22*EF!$H53*EF!X71)*NtoN2O*kgtoGg=0,"NO",('Activity data'!AY22*EF!$H53*EF!X71)*NtoN2O*kgtoGg)</f>
        <v>8.6754382040891337E-2</v>
      </c>
      <c r="AZ53" s="28">
        <f>IF(('Activity data'!AZ22*EF!$H53*EF!Y71)*NtoN2O*kgtoGg=0,"NO",('Activity data'!AZ22*EF!$H53*EF!Y71)*NtoN2O*kgtoGg)</f>
        <v>8.9549102940372743E-2</v>
      </c>
      <c r="BA53" s="28">
        <f>IF(('Activity data'!BA22*EF!$H53*EF!Z71)*NtoN2O*kgtoGg=0,"NO",('Activity data'!BA22*EF!$H53*EF!Z71)*NtoN2O*kgtoGg)</f>
        <v>9.2542277999654518E-2</v>
      </c>
      <c r="BB53" s="28">
        <f>IF(('Activity data'!BB22*EF!$H53*EF!AA71)*NtoN2O*kgtoGg=0,"NO",('Activity data'!BB22*EF!$H53*EF!AA71)*NtoN2O*kgtoGg)</f>
        <v>9.5737275149205978E-2</v>
      </c>
      <c r="BC53" s="28">
        <f>IF(('Activity data'!BC22*EF!$H53*EF!AB71)*NtoN2O*kgtoGg=0,"NO",('Activity data'!BC22*EF!$H53*EF!AB71)*NtoN2O*kgtoGg)</f>
        <v>9.9061866856083924E-2</v>
      </c>
      <c r="BD53" s="28">
        <f>IF(('Activity data'!BD22*EF!$H53*EF!AC71)*NtoN2O*kgtoGg=0,"NO",('Activity data'!BD22*EF!$H53*EF!AC71)*NtoN2O*kgtoGg)</f>
        <v>0.10232628605626026</v>
      </c>
      <c r="BE53" s="28">
        <f>IF(('Activity data'!BE22*EF!$H53*EF!AD71)*NtoN2O*kgtoGg=0,"NO",('Activity data'!BE22*EF!$H53*EF!AD71)*NtoN2O*kgtoGg)</f>
        <v>0.10572006265303442</v>
      </c>
      <c r="BF53" s="28">
        <f>IF(('Activity data'!BF22*EF!$H53*EF!AE71)*NtoN2O*kgtoGg=0,"NO",('Activity data'!BF22*EF!$H53*EF!AE71)*NtoN2O*kgtoGg)</f>
        <v>0.10935672849953917</v>
      </c>
      <c r="BG53" s="28">
        <f>IF(('Activity data'!BG22*EF!$H53*EF!AF71)*NtoN2O*kgtoGg=0,"NO",('Activity data'!BG22*EF!$H53*EF!AF71)*NtoN2O*kgtoGg)</f>
        <v>0.1131816825236614</v>
      </c>
      <c r="BH53" s="28">
        <f>IF(('Activity data'!BH22*EF!$H53*EF!AG71)*NtoN2O*kgtoGg=0,"NO",('Activity data'!BH22*EF!$H53*EF!AG71)*NtoN2O*kgtoGg)</f>
        <v>0.11717715811914699</v>
      </c>
      <c r="BI53" s="28">
        <f>IF(('Activity data'!BI22*EF!$H53*EF!AH71)*NtoN2O*kgtoGg=0,"NO",('Activity data'!BI22*EF!$H53*EF!AH71)*NtoN2O*kgtoGg)</f>
        <v>0.12134990500398692</v>
      </c>
      <c r="BJ53" s="28">
        <f>IF(('Activity data'!BJ22*EF!$H53*EF!AI71)*NtoN2O*kgtoGg=0,"NO",('Activity data'!BJ22*EF!$H53*EF!AI71)*NtoN2O*kgtoGg)</f>
        <v>0.12570026394393349</v>
      </c>
      <c r="BK53" s="28">
        <f>IF(('Activity data'!BK22*EF!$H53*EF!AJ71)*NtoN2O*kgtoGg=0,"NO",('Activity data'!BK22*EF!$H53*EF!AJ71)*NtoN2O*kgtoGg)</f>
        <v>0.13027253530122776</v>
      </c>
      <c r="BL53" s="28">
        <f>IF(('Activity data'!BL22*EF!$H53*EF!AK71)*NtoN2O*kgtoGg=0,"NO",('Activity data'!BL22*EF!$H53*EF!AK71)*NtoN2O*kgtoGg)</f>
        <v>0.13451322660408807</v>
      </c>
      <c r="BM53" s="28">
        <f>IF(('Activity data'!BM22*EF!$H53*EF!AL71)*NtoN2O*kgtoGg=0,"NO",('Activity data'!BM22*EF!$H53*EF!AL71)*NtoN2O*kgtoGg)</f>
        <v>0.13895371342755389</v>
      </c>
      <c r="BN53" s="28">
        <f>IF(('Activity data'!BN22*EF!$H53*EF!AM71)*NtoN2O*kgtoGg=0,"NO",('Activity data'!BN22*EF!$H53*EF!AM71)*NtoN2O*kgtoGg)</f>
        <v>0.14363466692854931</v>
      </c>
      <c r="BO53" s="28">
        <f>IF(('Activity data'!BO22*EF!$H53*EF!AN71)*NtoN2O*kgtoGg=0,"NO",('Activity data'!BO22*EF!$H53*EF!AN71)*NtoN2O*kgtoGg)</f>
        <v>0.14857683897935076</v>
      </c>
      <c r="BP53" s="28">
        <f>IF(('Activity data'!BP22*EF!$H53*EF!AO71)*NtoN2O*kgtoGg=0,"NO",('Activity data'!BP22*EF!$H53*EF!AO71)*NtoN2O*kgtoGg)</f>
        <v>0.15390828154480621</v>
      </c>
    </row>
    <row r="54" spans="1:68" x14ac:dyDescent="0.25">
      <c r="A54" t="str">
        <f>'IPCC Categories'!A59</f>
        <v>3C Aggregated and non-CO2 emissions on land</v>
      </c>
      <c r="B54" t="str">
        <f>'IPCC Categories'!B59</f>
        <v>3C1 Biomass burning (CH4)</v>
      </c>
      <c r="C54" t="str">
        <f>'IPCC Categories'!C59</f>
        <v>3C1a Biomass burning in forest land</v>
      </c>
      <c r="D54" t="str">
        <f>EF!D84</f>
        <v>Indigenous forests</v>
      </c>
      <c r="E54" t="s">
        <v>640</v>
      </c>
      <c r="F54" t="s">
        <v>121</v>
      </c>
      <c r="G54" t="s">
        <v>286</v>
      </c>
      <c r="H54" s="22">
        <f>INDEX('Activity data'!H$24:H$39,MATCH(Emissions!$D54,'Activity data'!$D$24:$D$39,0))*INDEX(EF!$H$84:$H$99,MATCH(Emissions!$D54,EF!$D$84:$D$99,0))*INDEX(EF!$H$100:$H$115,MATCH(Emissions!$D54,EF!$D$100:$D$115,0))*INDEX(EF!$H$116:$H$131,MATCH(Emissions!$D54,EF!$D$116:$D$131,0))*kgtoGg</f>
        <v>1.2960963903843976</v>
      </c>
      <c r="I54" s="22">
        <f>INDEX('Activity data'!I$24:I$39,MATCH(Emissions!$D54,'Activity data'!$D$24:$D$39,0))*INDEX(EF!$H$84:$H$99,MATCH(Emissions!$D54,EF!$D$84:$D$99,0))*INDEX(EF!$H$100:$H$115,MATCH(Emissions!$D54,EF!$D$100:$D$115,0))*INDEX(EF!$H$116:$H$131,MATCH(Emissions!$D54,EF!$D$116:$D$131,0))*kgtoGg</f>
        <v>1.2960963903843976</v>
      </c>
      <c r="J54" s="22">
        <f>INDEX('Activity data'!J$24:J$39,MATCH(Emissions!$D54,'Activity data'!$D$24:$D$39,0))*INDEX(EF!$H$84:$H$99,MATCH(Emissions!$D54,EF!$D$84:$D$99,0))*INDEX(EF!$H$100:$H$115,MATCH(Emissions!$D54,EF!$D$100:$D$115,0))*INDEX(EF!$H$116:$H$131,MATCH(Emissions!$D54,EF!$D$116:$D$131,0))*kgtoGg</f>
        <v>1.2960963903843976</v>
      </c>
      <c r="K54" s="22">
        <f>INDEX('Activity data'!K$24:K$39,MATCH(Emissions!$D54,'Activity data'!$D$24:$D$39,0))*INDEX(EF!$H$84:$H$99,MATCH(Emissions!$D54,EF!$D$84:$D$99,0))*INDEX(EF!$H$100:$H$115,MATCH(Emissions!$D54,EF!$D$100:$D$115,0))*INDEX(EF!$H$116:$H$131,MATCH(Emissions!$D54,EF!$D$116:$D$131,0))*kgtoGg</f>
        <v>1.2960963903843976</v>
      </c>
      <c r="L54" s="22">
        <f>INDEX('Activity data'!L$24:L$39,MATCH(Emissions!$D54,'Activity data'!$D$24:$D$39,0))*INDEX(EF!$H$84:$H$99,MATCH(Emissions!$D54,EF!$D$84:$D$99,0))*INDEX(EF!$H$100:$H$115,MATCH(Emissions!$D54,EF!$D$100:$D$115,0))*INDEX(EF!$H$116:$H$131,MATCH(Emissions!$D54,EF!$D$116:$D$131,0))*kgtoGg</f>
        <v>1.2960963903843976</v>
      </c>
      <c r="M54" s="22">
        <f>INDEX('Activity data'!M$24:M$39,MATCH(Emissions!$D54,'Activity data'!$D$24:$D$39,0))*INDEX(EF!$H$84:$H$99,MATCH(Emissions!$D54,EF!$D$84:$D$99,0))*INDEX(EF!$H$100:$H$115,MATCH(Emissions!$D54,EF!$D$100:$D$115,0))*INDEX(EF!$H$116:$H$131,MATCH(Emissions!$D54,EF!$D$116:$D$131,0))*kgtoGg</f>
        <v>1.2960963903843976</v>
      </c>
      <c r="N54" s="22">
        <f>INDEX('Activity data'!N$24:N$39,MATCH(Emissions!$D54,'Activity data'!$D$24:$D$39,0))*INDEX(EF!$H$84:$H$99,MATCH(Emissions!$D54,EF!$D$84:$D$99,0))*INDEX(EF!$H$100:$H$115,MATCH(Emissions!$D54,EF!$D$100:$D$115,0))*INDEX(EF!$H$116:$H$131,MATCH(Emissions!$D54,EF!$D$116:$D$131,0))*kgtoGg</f>
        <v>1.2960963903843976</v>
      </c>
      <c r="O54" s="22">
        <f>INDEX('Activity data'!O$24:O$39,MATCH(Emissions!$D54,'Activity data'!$D$24:$D$39,0))*INDEX(EF!$H$84:$H$99,MATCH(Emissions!$D54,EF!$D$84:$D$99,0))*INDEX(EF!$H$100:$H$115,MATCH(Emissions!$D54,EF!$D$100:$D$115,0))*INDEX(EF!$H$116:$H$131,MATCH(Emissions!$D54,EF!$D$116:$D$131,0))*kgtoGg</f>
        <v>1.2960963903843976</v>
      </c>
      <c r="P54" s="22">
        <f>INDEX('Activity data'!P$24:P$39,MATCH(Emissions!$D54,'Activity data'!$D$24:$D$39,0))*INDEX(EF!$H$84:$H$99,MATCH(Emissions!$D54,EF!$D$84:$D$99,0))*INDEX(EF!$H$100:$H$115,MATCH(Emissions!$D54,EF!$D$100:$D$115,0))*INDEX(EF!$H$116:$H$131,MATCH(Emissions!$D54,EF!$D$116:$D$131,0))*kgtoGg</f>
        <v>1.2960963903843976</v>
      </c>
      <c r="Q54" s="22">
        <f>INDEX('Activity data'!Q$24:Q$39,MATCH(Emissions!$D54,'Activity data'!$D$24:$D$39,0))*INDEX(EF!$H$84:$H$99,MATCH(Emissions!$D54,EF!$D$84:$D$99,0))*INDEX(EF!$H$100:$H$115,MATCH(Emissions!$D54,EF!$D$100:$D$115,0))*INDEX(EF!$H$116:$H$131,MATCH(Emissions!$D54,EF!$D$116:$D$131,0))*kgtoGg</f>
        <v>1.2960963903843976</v>
      </c>
      <c r="R54" s="22">
        <f>INDEX('Activity data'!R$24:R$39,MATCH(Emissions!$D54,'Activity data'!$D$24:$D$39,0))*INDEX(EF!$H$84:$H$99,MATCH(Emissions!$D54,EF!$D$84:$D$99,0))*INDEX(EF!$H$100:$H$115,MATCH(Emissions!$D54,EF!$D$100:$D$115,0))*INDEX(EF!$H$116:$H$131,MATCH(Emissions!$D54,EF!$D$116:$D$131,0))*kgtoGg</f>
        <v>1.1960332827105857</v>
      </c>
      <c r="S54" s="22">
        <f>INDEX('Activity data'!S$24:S$39,MATCH(Emissions!$D54,'Activity data'!$D$24:$D$39,0))*INDEX(EF!$H$84:$H$99,MATCH(Emissions!$D54,EF!$D$84:$D$99,0))*INDEX(EF!$H$100:$H$115,MATCH(Emissions!$D54,EF!$D$100:$D$115,0))*INDEX(EF!$H$116:$H$131,MATCH(Emissions!$D54,EF!$D$116:$D$131,0))*kgtoGg</f>
        <v>1.3313117329992157</v>
      </c>
      <c r="T54" s="22">
        <f>INDEX('Activity data'!T$24:T$39,MATCH(Emissions!$D54,'Activity data'!$D$24:$D$39,0))*INDEX(EF!$H$84:$H$99,MATCH(Emissions!$D54,EF!$D$84:$D$99,0))*INDEX(EF!$H$100:$H$115,MATCH(Emissions!$D54,EF!$D$100:$D$115,0))*INDEX(EF!$H$116:$H$131,MATCH(Emissions!$D54,EF!$D$116:$D$131,0))*kgtoGg</f>
        <v>1.2175060525976695</v>
      </c>
      <c r="U54" s="22">
        <f>INDEX('Activity data'!U$24:U$39,MATCH(Emissions!$D54,'Activity data'!$D$24:$D$39,0))*INDEX(EF!$H$84:$H$99,MATCH(Emissions!$D54,EF!$D$84:$D$99,0))*INDEX(EF!$H$100:$H$115,MATCH(Emissions!$D54,EF!$D$100:$D$115,0))*INDEX(EF!$H$116:$H$131,MATCH(Emissions!$D54,EF!$D$116:$D$131,0))*kgtoGg</f>
        <v>1.535303046926515</v>
      </c>
      <c r="V54" s="22">
        <f>INDEX('Activity data'!V$24:V$39,MATCH(Emissions!$D54,'Activity data'!$D$24:$D$39,0))*INDEX(EF!$H$84:$H$99,MATCH(Emissions!$D54,EF!$D$84:$D$99,0))*INDEX(EF!$H$100:$H$115,MATCH(Emissions!$D54,EF!$D$100:$D$115,0))*INDEX(EF!$H$116:$H$131,MATCH(Emissions!$D54,EF!$D$116:$D$131,0))*kgtoGg</f>
        <v>1.2003278366880026</v>
      </c>
      <c r="W54" s="22">
        <f>INDEX('Activity data'!W$24:W$39,MATCH(Emissions!$D54,'Activity data'!$D$24:$D$39,0))*INDEX(EF!$H$84:$H$99,MATCH(Emissions!$D54,EF!$D$84:$D$99,0))*INDEX(EF!$H$100:$H$115,MATCH(Emissions!$D54,EF!$D$100:$D$115,0))*INDEX(EF!$H$116:$H$131,MATCH(Emissions!$D54,EF!$D$116:$D$131,0))*kgtoGg</f>
        <v>1.578248586700683</v>
      </c>
      <c r="X54" s="22">
        <f>INDEX('Activity data'!X$24:X$39,MATCH(Emissions!$D54,'Activity data'!$D$24:$D$39,0))*INDEX(EF!$H$84:$H$99,MATCH(Emissions!$D54,EF!$D$84:$D$99,0))*INDEX(EF!$H$100:$H$115,MATCH(Emissions!$D54,EF!$D$100:$D$115,0))*INDEX(EF!$H$116:$H$131,MATCH(Emissions!$D54,EF!$D$116:$D$131,0))*kgtoGg</f>
        <v>1.4086137045927183</v>
      </c>
      <c r="Y54" s="22">
        <f>INDEX('Activity data'!Y$24:Y$39,MATCH(Emissions!$D54,'Activity data'!$D$24:$D$39,0))*INDEX(EF!$H$84:$H$99,MATCH(Emissions!$D54,EF!$D$84:$D$99,0))*INDEX(EF!$H$100:$H$115,MATCH(Emissions!$D54,EF!$D$100:$D$115,0))*INDEX(EF!$H$116:$H$131,MATCH(Emissions!$D54,EF!$D$116:$D$131,0))*kgtoGg</f>
        <v>1.8423636563118175</v>
      </c>
      <c r="Z54" s="22">
        <f>INDEX('Activity data'!Z$24:Z$39,MATCH(Emissions!$D54,'Activity data'!$D$24:$D$39,0))*INDEX(EF!$H$84:$H$99,MATCH(Emissions!$D54,EF!$D$84:$D$99,0))*INDEX(EF!$H$100:$H$115,MATCH(Emissions!$D54,EF!$D$100:$D$115,0))*INDEX(EF!$H$116:$H$131,MATCH(Emissions!$D54,EF!$D$116:$D$131,0))*kgtoGg</f>
        <v>1.5417448778926399</v>
      </c>
      <c r="AA54" s="22">
        <f>INDEX('Activity data'!AA$24:AA$39,MATCH(Emissions!$D54,'Activity data'!$D$24:$D$39,0))*INDEX(EF!$H$84:$H$99,MATCH(Emissions!$D54,EF!$D$84:$D$99,0))*INDEX(EF!$H$100:$H$115,MATCH(Emissions!$D54,EF!$D$100:$D$115,0))*INDEX(EF!$H$116:$H$131,MATCH(Emissions!$D54,EF!$D$116:$D$131,0))*kgtoGg</f>
        <v>1.5202721080055559</v>
      </c>
      <c r="AB54" s="22">
        <f>INDEX('Activity data'!AB$24:AB$39,MATCH(Emissions!$D54,'Activity data'!$D$24:$D$39,0))*INDEX(EF!$H$84:$H$99,MATCH(Emissions!$D54,EF!$D$84:$D$99,0))*INDEX(EF!$H$100:$H$115,MATCH(Emissions!$D54,EF!$D$100:$D$115,0))*INDEX(EF!$H$116:$H$131,MATCH(Emissions!$D54,EF!$D$116:$D$131,0))*kgtoGg</f>
        <v>1.2465275328000001</v>
      </c>
      <c r="AC54" s="22">
        <f>INDEX('Activity data'!AC$24:AC$39,MATCH(Emissions!$D54,'Activity data'!$D$24:$D$39,0))*INDEX(EF!$H$84:$H$99,MATCH(Emissions!$D54,EF!$D$84:$D$99,0))*INDEX(EF!$H$100:$H$115,MATCH(Emissions!$D54,EF!$D$100:$D$115,0))*INDEX(EF!$H$116:$H$131,MATCH(Emissions!$D54,EF!$D$116:$D$131,0))*kgtoGg</f>
        <v>0.93453550740000024</v>
      </c>
      <c r="AD54" s="22">
        <f>INDEX('Activity data'!AD$24:AD$39,MATCH(Emissions!$D54,'Activity data'!$D$24:$D$39,0))*INDEX(EF!$H$84:$H$99,MATCH(Emissions!$D54,EF!$D$84:$D$99,0))*INDEX(EF!$H$100:$H$115,MATCH(Emissions!$D54,EF!$D$100:$D$115,0))*INDEX(EF!$H$116:$H$131,MATCH(Emissions!$D54,EF!$D$116:$D$131,0))*kgtoGg</f>
        <v>1.2653688249152322</v>
      </c>
      <c r="AE54" s="22">
        <f>INDEX('Activity data'!AE$24:AE$39,MATCH(Emissions!$D54,'Activity data'!$D$24:$D$39,0))*INDEX(EF!$H$84:$H$99,MATCH(Emissions!$D54,EF!$D$84:$D$99,0))*INDEX(EF!$H$100:$H$115,MATCH(Emissions!$D54,EF!$D$100:$D$115,0))*INDEX(EF!$H$116:$H$131,MATCH(Emissions!$D54,EF!$D$116:$D$131,0))*kgtoGg</f>
        <v>1.2648288705583226</v>
      </c>
      <c r="AF54" s="22">
        <f>INDEX('Activity data'!AF$24:AF$39,MATCH(Emissions!$D54,'Activity data'!$D$24:$D$39,0))*INDEX(EF!$H$84:$H$99,MATCH(Emissions!$D54,EF!$D$84:$D$99,0))*INDEX(EF!$H$100:$H$115,MATCH(Emissions!$D54,EF!$D$100:$D$115,0))*INDEX(EF!$H$116:$H$131,MATCH(Emissions!$D54,EF!$D$116:$D$131,0))*kgtoGg</f>
        <v>1.2642889162014133</v>
      </c>
      <c r="AG54" s="22">
        <f>INDEX('Activity data'!AG$24:AG$39,MATCH(Emissions!$D54,'Activity data'!$D$24:$D$39,0))*INDEX(EF!$H$84:$H$99,MATCH(Emissions!$D54,EF!$D$84:$D$99,0))*INDEX(EF!$H$100:$H$115,MATCH(Emissions!$D54,EF!$D$100:$D$115,0))*INDEX(EF!$H$116:$H$131,MATCH(Emissions!$D54,EF!$D$116:$D$131,0))*kgtoGg</f>
        <v>1.2637489618445039</v>
      </c>
      <c r="AH54" s="22">
        <f>INDEX('Activity data'!AH$24:AH$39,MATCH(Emissions!$D54,'Activity data'!$D$24:$D$39,0))*INDEX(EF!$H$84:$H$99,MATCH(Emissions!$D54,EF!$D$84:$D$99,0))*INDEX(EF!$H$100:$H$115,MATCH(Emissions!$D54,EF!$D$100:$D$115,0))*INDEX(EF!$H$116:$H$131,MATCH(Emissions!$D54,EF!$D$116:$D$131,0))*kgtoGg</f>
        <v>1.2632090074875946</v>
      </c>
      <c r="AI54" s="22">
        <f>INDEX('Activity data'!AI$24:AI$39,MATCH(Emissions!$D54,'Activity data'!$D$24:$D$39,0))*INDEX(EF!$H$84:$H$99,MATCH(Emissions!$D54,EF!$D$84:$D$99,0))*INDEX(EF!$H$100:$H$115,MATCH(Emissions!$D54,EF!$D$100:$D$115,0))*INDEX(EF!$H$116:$H$131,MATCH(Emissions!$D54,EF!$D$116:$D$131,0))*kgtoGg</f>
        <v>1.262669053130685</v>
      </c>
      <c r="AJ54" s="22">
        <f>INDEX('Activity data'!AJ$24:AJ$39,MATCH(Emissions!$D54,'Activity data'!$D$24:$D$39,0))*INDEX(EF!$H$84:$H$99,MATCH(Emissions!$D54,EF!$D$84:$D$99,0))*INDEX(EF!$H$100:$H$115,MATCH(Emissions!$D54,EF!$D$100:$D$115,0))*INDEX(EF!$H$116:$H$131,MATCH(Emissions!$D54,EF!$D$116:$D$131,0))*kgtoGg</f>
        <v>1.2621290987737757</v>
      </c>
      <c r="AK54" s="22">
        <f>INDEX('Activity data'!AK$24:AK$39,MATCH(Emissions!$D54,'Activity data'!$D$24:$D$39,0))*INDEX(EF!$H$84:$H$99,MATCH(Emissions!$D54,EF!$D$84:$D$99,0))*INDEX(EF!$H$100:$H$115,MATCH(Emissions!$D54,EF!$D$100:$D$115,0))*INDEX(EF!$H$116:$H$131,MATCH(Emissions!$D54,EF!$D$116:$D$131,0))*kgtoGg</f>
        <v>1.2615891444168661</v>
      </c>
      <c r="AL54" s="22">
        <f>INDEX('Activity data'!AL$24:AL$39,MATCH(Emissions!$D54,'Activity data'!$D$24:$D$39,0))*INDEX(EF!$H$84:$H$99,MATCH(Emissions!$D54,EF!$D$84:$D$99,0))*INDEX(EF!$H$100:$H$115,MATCH(Emissions!$D54,EF!$D$100:$D$115,0))*INDEX(EF!$H$116:$H$131,MATCH(Emissions!$D54,EF!$D$116:$D$131,0))*kgtoGg</f>
        <v>1.2610491900599567</v>
      </c>
      <c r="AM54" s="22">
        <f>INDEX('Activity data'!AM$24:AM$39,MATCH(Emissions!$D54,'Activity data'!$D$24:$D$39,0))*INDEX(EF!$H$84:$H$99,MATCH(Emissions!$D54,EF!$D$84:$D$99,0))*INDEX(EF!$H$100:$H$115,MATCH(Emissions!$D54,EF!$D$100:$D$115,0))*INDEX(EF!$H$116:$H$131,MATCH(Emissions!$D54,EF!$D$116:$D$131,0))*kgtoGg</f>
        <v>1.2605092357030474</v>
      </c>
      <c r="AN54" s="22">
        <f>INDEX('Activity data'!AN$24:AN$39,MATCH(Emissions!$D54,'Activity data'!$D$24:$D$39,0))*INDEX(EF!$H$84:$H$99,MATCH(Emissions!$D54,EF!$D$84:$D$99,0))*INDEX(EF!$H$100:$H$115,MATCH(Emissions!$D54,EF!$D$100:$D$115,0))*INDEX(EF!$H$116:$H$131,MATCH(Emissions!$D54,EF!$D$116:$D$131,0))*kgtoGg</f>
        <v>1.2599692813461378</v>
      </c>
      <c r="AO54" s="22">
        <f>INDEX('Activity data'!AO$24:AO$39,MATCH(Emissions!$D54,'Activity data'!$D$24:$D$39,0))*INDEX(EF!$H$84:$H$99,MATCH(Emissions!$D54,EF!$D$84:$D$99,0))*INDEX(EF!$H$100:$H$115,MATCH(Emissions!$D54,EF!$D$100:$D$115,0))*INDEX(EF!$H$116:$H$131,MATCH(Emissions!$D54,EF!$D$116:$D$131,0))*kgtoGg</f>
        <v>1.2594293269892285</v>
      </c>
      <c r="AP54" s="22">
        <f>INDEX('Activity data'!AP$24:AP$39,MATCH(Emissions!$D54,'Activity data'!$D$24:$D$39,0))*INDEX(EF!$H$84:$H$99,MATCH(Emissions!$D54,EF!$D$84:$D$99,0))*INDEX(EF!$H$100:$H$115,MATCH(Emissions!$D54,EF!$D$100:$D$115,0))*INDEX(EF!$H$116:$H$131,MATCH(Emissions!$D54,EF!$D$116:$D$131,0))*kgtoGg</f>
        <v>1.2588893726323194</v>
      </c>
      <c r="AQ54" s="22">
        <f>INDEX('Activity data'!AQ$24:AQ$39,MATCH(Emissions!$D54,'Activity data'!$D$24:$D$39,0))*INDEX(EF!$H$84:$H$99,MATCH(Emissions!$D54,EF!$D$84:$D$99,0))*INDEX(EF!$H$100:$H$115,MATCH(Emissions!$D54,EF!$D$100:$D$115,0))*INDEX(EF!$H$116:$H$131,MATCH(Emissions!$D54,EF!$D$116:$D$131,0))*kgtoGg</f>
        <v>1.2583494182754098</v>
      </c>
      <c r="AR54" s="22">
        <f>INDEX('Activity data'!AR$24:AR$39,MATCH(Emissions!$D54,'Activity data'!$D$24:$D$39,0))*INDEX(EF!$H$84:$H$99,MATCH(Emissions!$D54,EF!$D$84:$D$99,0))*INDEX(EF!$H$100:$H$115,MATCH(Emissions!$D54,EF!$D$100:$D$115,0))*INDEX(EF!$H$116:$H$131,MATCH(Emissions!$D54,EF!$D$116:$D$131,0))*kgtoGg</f>
        <v>1.2578094639185002</v>
      </c>
      <c r="AS54" s="22">
        <f>INDEX('Activity data'!AS$24:AS$39,MATCH(Emissions!$D54,'Activity data'!$D$24:$D$39,0))*INDEX(EF!$H$84:$H$99,MATCH(Emissions!$D54,EF!$D$84:$D$99,0))*INDEX(EF!$H$100:$H$115,MATCH(Emissions!$D54,EF!$D$100:$D$115,0))*INDEX(EF!$H$116:$H$131,MATCH(Emissions!$D54,EF!$D$116:$D$131,0))*kgtoGg</f>
        <v>1.2572695095615909</v>
      </c>
      <c r="AT54" s="22">
        <f>INDEX('Activity data'!AT$24:AT$39,MATCH(Emissions!$D54,'Activity data'!$D$24:$D$39,0))*INDEX(EF!$H$84:$H$99,MATCH(Emissions!$D54,EF!$D$84:$D$99,0))*INDEX(EF!$H$100:$H$115,MATCH(Emissions!$D54,EF!$D$100:$D$115,0))*INDEX(EF!$H$116:$H$131,MATCH(Emissions!$D54,EF!$D$116:$D$131,0))*kgtoGg</f>
        <v>1.2567295552046813</v>
      </c>
      <c r="AU54" s="22">
        <f>INDEX('Activity data'!AU$24:AU$39,MATCH(Emissions!$D54,'Activity data'!$D$24:$D$39,0))*INDEX(EF!$H$84:$H$99,MATCH(Emissions!$D54,EF!$D$84:$D$99,0))*INDEX(EF!$H$100:$H$115,MATCH(Emissions!$D54,EF!$D$100:$D$115,0))*INDEX(EF!$H$116:$H$131,MATCH(Emissions!$D54,EF!$D$116:$D$131,0))*kgtoGg</f>
        <v>1.256189600847772</v>
      </c>
      <c r="AV54" s="22">
        <f>INDEX('Activity data'!AV$24:AV$39,MATCH(Emissions!$D54,'Activity data'!$D$24:$D$39,0))*INDEX(EF!$H$84:$H$99,MATCH(Emissions!$D54,EF!$D$84:$D$99,0))*INDEX(EF!$H$100:$H$115,MATCH(Emissions!$D54,EF!$D$100:$D$115,0))*INDEX(EF!$H$116:$H$131,MATCH(Emissions!$D54,EF!$D$116:$D$131,0))*kgtoGg</f>
        <v>1.2556496464908629</v>
      </c>
      <c r="AW54" s="22">
        <f>INDEX('Activity data'!AW$24:AW$39,MATCH(Emissions!$D54,'Activity data'!$D$24:$D$39,0))*INDEX(EF!$H$84:$H$99,MATCH(Emissions!$D54,EF!$D$84:$D$99,0))*INDEX(EF!$H$100:$H$115,MATCH(Emissions!$D54,EF!$D$100:$D$115,0))*INDEX(EF!$H$116:$H$131,MATCH(Emissions!$D54,EF!$D$116:$D$131,0))*kgtoGg</f>
        <v>1.2551096921339533</v>
      </c>
      <c r="AX54" s="22">
        <f>INDEX('Activity data'!AX$24:AX$39,MATCH(Emissions!$D54,'Activity data'!$D$24:$D$39,0))*INDEX(EF!$H$84:$H$99,MATCH(Emissions!$D54,EF!$D$84:$D$99,0))*INDEX(EF!$H$100:$H$115,MATCH(Emissions!$D54,EF!$D$100:$D$115,0))*INDEX(EF!$H$116:$H$131,MATCH(Emissions!$D54,EF!$D$116:$D$131,0))*kgtoGg</f>
        <v>1.2545697377770435</v>
      </c>
      <c r="AY54" s="22">
        <f>INDEX('Activity data'!AY$24:AY$39,MATCH(Emissions!$D54,'Activity data'!$D$24:$D$39,0))*INDEX(EF!$H$84:$H$99,MATCH(Emissions!$D54,EF!$D$84:$D$99,0))*INDEX(EF!$H$100:$H$115,MATCH(Emissions!$D54,EF!$D$100:$D$115,0))*INDEX(EF!$H$116:$H$131,MATCH(Emissions!$D54,EF!$D$116:$D$131,0))*kgtoGg</f>
        <v>1.2540297834201344</v>
      </c>
      <c r="AZ54" s="22">
        <f>INDEX('Activity data'!AZ$24:AZ$39,MATCH(Emissions!$D54,'Activity data'!$D$24:$D$39,0))*INDEX(EF!$H$84:$H$99,MATCH(Emissions!$D54,EF!$D$84:$D$99,0))*INDEX(EF!$H$100:$H$115,MATCH(Emissions!$D54,EF!$D$100:$D$115,0))*INDEX(EF!$H$116:$H$131,MATCH(Emissions!$D54,EF!$D$116:$D$131,0))*kgtoGg</f>
        <v>1.253489829063225</v>
      </c>
      <c r="BA54" s="22">
        <f>INDEX('Activity data'!BA$24:BA$39,MATCH(Emissions!$D54,'Activity data'!$D$24:$D$39,0))*INDEX(EF!$H$84:$H$99,MATCH(Emissions!$D54,EF!$D$84:$D$99,0))*INDEX(EF!$H$100:$H$115,MATCH(Emissions!$D54,EF!$D$100:$D$115,0))*INDEX(EF!$H$116:$H$131,MATCH(Emissions!$D54,EF!$D$116:$D$131,0))*kgtoGg</f>
        <v>1.2529498747063155</v>
      </c>
      <c r="BB54" s="22">
        <f>INDEX('Activity data'!BB$24:BB$39,MATCH(Emissions!$D54,'Activity data'!$D$24:$D$39,0))*INDEX(EF!$H$84:$H$99,MATCH(Emissions!$D54,EF!$D$84:$D$99,0))*INDEX(EF!$H$100:$H$115,MATCH(Emissions!$D54,EF!$D$100:$D$115,0))*INDEX(EF!$H$116:$H$131,MATCH(Emissions!$D54,EF!$D$116:$D$131,0))*kgtoGg</f>
        <v>1.2524099203494063</v>
      </c>
      <c r="BC54" s="22">
        <f>INDEX('Activity data'!BC$24:BC$39,MATCH(Emissions!$D54,'Activity data'!$D$24:$D$39,0))*INDEX(EF!$H$84:$H$99,MATCH(Emissions!$D54,EF!$D$84:$D$99,0))*INDEX(EF!$H$100:$H$115,MATCH(Emissions!$D54,EF!$D$100:$D$115,0))*INDEX(EF!$H$116:$H$131,MATCH(Emissions!$D54,EF!$D$116:$D$131,0))*kgtoGg</f>
        <v>1.2518699659924968</v>
      </c>
      <c r="BD54" s="22">
        <f>INDEX('Activity data'!BD$24:BD$39,MATCH(Emissions!$D54,'Activity data'!$D$24:$D$39,0))*INDEX(EF!$H$84:$H$99,MATCH(Emissions!$D54,EF!$D$84:$D$99,0))*INDEX(EF!$H$100:$H$115,MATCH(Emissions!$D54,EF!$D$100:$D$115,0))*INDEX(EF!$H$116:$H$131,MATCH(Emissions!$D54,EF!$D$116:$D$131,0))*kgtoGg</f>
        <v>1.251330011635587</v>
      </c>
      <c r="BE54" s="22">
        <f>INDEX('Activity data'!BE$24:BE$39,MATCH(Emissions!$D54,'Activity data'!$D$24:$D$39,0))*INDEX(EF!$H$84:$H$99,MATCH(Emissions!$D54,EF!$D$84:$D$99,0))*INDEX(EF!$H$100:$H$115,MATCH(Emissions!$D54,EF!$D$100:$D$115,0))*INDEX(EF!$H$116:$H$131,MATCH(Emissions!$D54,EF!$D$116:$D$131,0))*kgtoGg</f>
        <v>1.2507900572786779</v>
      </c>
      <c r="BF54" s="22">
        <f>INDEX('Activity data'!BF$24:BF$39,MATCH(Emissions!$D54,'Activity data'!$D$24:$D$39,0))*INDEX(EF!$H$84:$H$99,MATCH(Emissions!$D54,EF!$D$84:$D$99,0))*INDEX(EF!$H$100:$H$115,MATCH(Emissions!$D54,EF!$D$100:$D$115,0))*INDEX(EF!$H$116:$H$131,MATCH(Emissions!$D54,EF!$D$116:$D$131,0))*kgtoGg</f>
        <v>1.2502501029217685</v>
      </c>
      <c r="BG54" s="22">
        <f>INDEX('Activity data'!BG$24:BG$39,MATCH(Emissions!$D54,'Activity data'!$D$24:$D$39,0))*INDEX(EF!$H$84:$H$99,MATCH(Emissions!$D54,EF!$D$84:$D$99,0))*INDEX(EF!$H$100:$H$115,MATCH(Emissions!$D54,EF!$D$100:$D$115,0))*INDEX(EF!$H$116:$H$131,MATCH(Emissions!$D54,EF!$D$116:$D$131,0))*kgtoGg</f>
        <v>1.249710148564859</v>
      </c>
      <c r="BH54" s="22">
        <f>INDEX('Activity data'!BH$24:BH$39,MATCH(Emissions!$D54,'Activity data'!$D$24:$D$39,0))*INDEX(EF!$H$84:$H$99,MATCH(Emissions!$D54,EF!$D$84:$D$99,0))*INDEX(EF!$H$100:$H$115,MATCH(Emissions!$D54,EF!$D$100:$D$115,0))*INDEX(EF!$H$116:$H$131,MATCH(Emissions!$D54,EF!$D$116:$D$131,0))*kgtoGg</f>
        <v>1.2491701942079498</v>
      </c>
      <c r="BI54" s="22">
        <f>INDEX('Activity data'!BI$24:BI$39,MATCH(Emissions!$D54,'Activity data'!$D$24:$D$39,0))*INDEX(EF!$H$84:$H$99,MATCH(Emissions!$D54,EF!$D$84:$D$99,0))*INDEX(EF!$H$100:$H$115,MATCH(Emissions!$D54,EF!$D$100:$D$115,0))*INDEX(EF!$H$116:$H$131,MATCH(Emissions!$D54,EF!$D$116:$D$131,0))*kgtoGg</f>
        <v>1.2486302398510403</v>
      </c>
      <c r="BJ54" s="22">
        <f>INDEX('Activity data'!BJ$24:BJ$39,MATCH(Emissions!$D54,'Activity data'!$D$24:$D$39,0))*INDEX(EF!$H$84:$H$99,MATCH(Emissions!$D54,EF!$D$84:$D$99,0))*INDEX(EF!$H$100:$H$115,MATCH(Emissions!$D54,EF!$D$100:$D$115,0))*INDEX(EF!$H$116:$H$131,MATCH(Emissions!$D54,EF!$D$116:$D$131,0))*kgtoGg</f>
        <v>1.2480902854941309</v>
      </c>
      <c r="BK54" s="22">
        <f>INDEX('Activity data'!BK$24:BK$39,MATCH(Emissions!$D54,'Activity data'!$D$24:$D$39,0))*INDEX(EF!$H$84:$H$99,MATCH(Emissions!$D54,EF!$D$84:$D$99,0))*INDEX(EF!$H$100:$H$115,MATCH(Emissions!$D54,EF!$D$100:$D$115,0))*INDEX(EF!$H$116:$H$131,MATCH(Emissions!$D54,EF!$D$116:$D$131,0))*kgtoGg</f>
        <v>1.2475503311372214</v>
      </c>
      <c r="BL54" s="22">
        <f>INDEX('Activity data'!BL$24:BL$39,MATCH(Emissions!$D54,'Activity data'!$D$24:$D$39,0))*INDEX(EF!$H$84:$H$99,MATCH(Emissions!$D54,EF!$D$84:$D$99,0))*INDEX(EF!$H$100:$H$115,MATCH(Emissions!$D54,EF!$D$100:$D$115,0))*INDEX(EF!$H$116:$H$131,MATCH(Emissions!$D54,EF!$D$116:$D$131,0))*kgtoGg</f>
        <v>1.247010376780312</v>
      </c>
      <c r="BM54" s="22">
        <f>INDEX('Activity data'!BM$24:BM$39,MATCH(Emissions!$D54,'Activity data'!$D$24:$D$39,0))*INDEX(EF!$H$84:$H$99,MATCH(Emissions!$D54,EF!$D$84:$D$99,0))*INDEX(EF!$H$100:$H$115,MATCH(Emissions!$D54,EF!$D$100:$D$115,0))*INDEX(EF!$H$116:$H$131,MATCH(Emissions!$D54,EF!$D$116:$D$131,0))*kgtoGg</f>
        <v>1.2464704224234024</v>
      </c>
      <c r="BN54" s="22">
        <f>INDEX('Activity data'!BN$24:BN$39,MATCH(Emissions!$D54,'Activity data'!$D$24:$D$39,0))*INDEX(EF!$H$84:$H$99,MATCH(Emissions!$D54,EF!$D$84:$D$99,0))*INDEX(EF!$H$100:$H$115,MATCH(Emissions!$D54,EF!$D$100:$D$115,0))*INDEX(EF!$H$116:$H$131,MATCH(Emissions!$D54,EF!$D$116:$D$131,0))*kgtoGg</f>
        <v>1.2459304680664931</v>
      </c>
      <c r="BO54" s="22">
        <f>INDEX('Activity data'!BO$24:BO$39,MATCH(Emissions!$D54,'Activity data'!$D$24:$D$39,0))*INDEX(EF!$H$84:$H$99,MATCH(Emissions!$D54,EF!$D$84:$D$99,0))*INDEX(EF!$H$100:$H$115,MATCH(Emissions!$D54,EF!$D$100:$D$115,0))*INDEX(EF!$H$116:$H$131,MATCH(Emissions!$D54,EF!$D$116:$D$131,0))*kgtoGg</f>
        <v>1.2453905137095838</v>
      </c>
      <c r="BP54" s="22">
        <f>INDEX('Activity data'!BP$24:BP$39,MATCH(Emissions!$D54,'Activity data'!$D$24:$D$39,0))*INDEX(EF!$H$84:$H$99,MATCH(Emissions!$D54,EF!$D$84:$D$99,0))*INDEX(EF!$H$100:$H$115,MATCH(Emissions!$D54,EF!$D$100:$D$115,0))*INDEX(EF!$H$116:$H$131,MATCH(Emissions!$D54,EF!$D$116:$D$131,0))*kgtoGg</f>
        <v>1.2448505593526744</v>
      </c>
    </row>
    <row r="55" spans="1:68" x14ac:dyDescent="0.25">
      <c r="A55" t="str">
        <f>A54</f>
        <v>3C Aggregated and non-CO2 emissions on land</v>
      </c>
      <c r="B55" t="str">
        <f t="shared" ref="B55" si="12">B54</f>
        <v>3C1 Biomass burning (CH4)</v>
      </c>
      <c r="C55" t="str">
        <f>C54</f>
        <v>3C1a Biomass burning in forest land</v>
      </c>
      <c r="D55" t="str">
        <f>EF!D85</f>
        <v>Thickets</v>
      </c>
      <c r="E55" t="s">
        <v>642</v>
      </c>
      <c r="F55" t="str">
        <f>F54</f>
        <v>CH4</v>
      </c>
      <c r="G55" t="str">
        <f>G54</f>
        <v>Gg CH4</v>
      </c>
      <c r="H55" s="22">
        <f>INDEX('Activity data'!H$24:H$39,MATCH(Emissions!$D55,'Activity data'!$D$24:$D$39,0))*INDEX(EF!$H$84:$H$99,MATCH(Emissions!$D55,EF!$D$84:$D$99,0))*INDEX(EF!$H$100:$H$115,MATCH(Emissions!$D55,EF!$D$100:$D$115,0))*INDEX(EF!$H$116:$H$131,MATCH(Emissions!$D55,EF!$D$116:$D$131,0))*kgtoGg</f>
        <v>2.5068842856640616</v>
      </c>
      <c r="I55" s="22">
        <f>INDEX('Activity data'!I$24:I$39,MATCH(Emissions!$D55,'Activity data'!$D$24:$D$39,0))*INDEX(EF!$H$84:$H$99,MATCH(Emissions!$D55,EF!$D$84:$D$99,0))*INDEX(EF!$H$100:$H$115,MATCH(Emissions!$D55,EF!$D$100:$D$115,0))*INDEX(EF!$H$116:$H$131,MATCH(Emissions!$D55,EF!$D$116:$D$131,0))*kgtoGg</f>
        <v>2.5068842856640616</v>
      </c>
      <c r="J55" s="22">
        <f>INDEX('Activity data'!J$24:J$39,MATCH(Emissions!$D55,'Activity data'!$D$24:$D$39,0))*INDEX(EF!$H$84:$H$99,MATCH(Emissions!$D55,EF!$D$84:$D$99,0))*INDEX(EF!$H$100:$H$115,MATCH(Emissions!$D55,EF!$D$100:$D$115,0))*INDEX(EF!$H$116:$H$131,MATCH(Emissions!$D55,EF!$D$116:$D$131,0))*kgtoGg</f>
        <v>2.5068842856640616</v>
      </c>
      <c r="K55" s="22">
        <f>INDEX('Activity data'!K$24:K$39,MATCH(Emissions!$D55,'Activity data'!$D$24:$D$39,0))*INDEX(EF!$H$84:$H$99,MATCH(Emissions!$D55,EF!$D$84:$D$99,0))*INDEX(EF!$H$100:$H$115,MATCH(Emissions!$D55,EF!$D$100:$D$115,0))*INDEX(EF!$H$116:$H$131,MATCH(Emissions!$D55,EF!$D$116:$D$131,0))*kgtoGg</f>
        <v>2.5068842856640616</v>
      </c>
      <c r="L55" s="22">
        <f>INDEX('Activity data'!L$24:L$39,MATCH(Emissions!$D55,'Activity data'!$D$24:$D$39,0))*INDEX(EF!$H$84:$H$99,MATCH(Emissions!$D55,EF!$D$84:$D$99,0))*INDEX(EF!$H$100:$H$115,MATCH(Emissions!$D55,EF!$D$100:$D$115,0))*INDEX(EF!$H$116:$H$131,MATCH(Emissions!$D55,EF!$D$116:$D$131,0))*kgtoGg</f>
        <v>2.5068842856640616</v>
      </c>
      <c r="M55" s="22">
        <f>INDEX('Activity data'!M$24:M$39,MATCH(Emissions!$D55,'Activity data'!$D$24:$D$39,0))*INDEX(EF!$H$84:$H$99,MATCH(Emissions!$D55,EF!$D$84:$D$99,0))*INDEX(EF!$H$100:$H$115,MATCH(Emissions!$D55,EF!$D$100:$D$115,0))*INDEX(EF!$H$116:$H$131,MATCH(Emissions!$D55,EF!$D$116:$D$131,0))*kgtoGg</f>
        <v>2.5068842856640616</v>
      </c>
      <c r="N55" s="22">
        <f>INDEX('Activity data'!N$24:N$39,MATCH(Emissions!$D55,'Activity data'!$D$24:$D$39,0))*INDEX(EF!$H$84:$H$99,MATCH(Emissions!$D55,EF!$D$84:$D$99,0))*INDEX(EF!$H$100:$H$115,MATCH(Emissions!$D55,EF!$D$100:$D$115,0))*INDEX(EF!$H$116:$H$131,MATCH(Emissions!$D55,EF!$D$116:$D$131,0))*kgtoGg</f>
        <v>2.5068842856640616</v>
      </c>
      <c r="O55" s="22">
        <f>INDEX('Activity data'!O$24:O$39,MATCH(Emissions!$D55,'Activity data'!$D$24:$D$39,0))*INDEX(EF!$H$84:$H$99,MATCH(Emissions!$D55,EF!$D$84:$D$99,0))*INDEX(EF!$H$100:$H$115,MATCH(Emissions!$D55,EF!$D$100:$D$115,0))*INDEX(EF!$H$116:$H$131,MATCH(Emissions!$D55,EF!$D$116:$D$131,0))*kgtoGg</f>
        <v>2.5068842856640616</v>
      </c>
      <c r="P55" s="22">
        <f>INDEX('Activity data'!P$24:P$39,MATCH(Emissions!$D55,'Activity data'!$D$24:$D$39,0))*INDEX(EF!$H$84:$H$99,MATCH(Emissions!$D55,EF!$D$84:$D$99,0))*INDEX(EF!$H$100:$H$115,MATCH(Emissions!$D55,EF!$D$100:$D$115,0))*INDEX(EF!$H$116:$H$131,MATCH(Emissions!$D55,EF!$D$116:$D$131,0))*kgtoGg</f>
        <v>2.5068842856640616</v>
      </c>
      <c r="Q55" s="22">
        <f>INDEX('Activity data'!Q$24:Q$39,MATCH(Emissions!$D55,'Activity data'!$D$24:$D$39,0))*INDEX(EF!$H$84:$H$99,MATCH(Emissions!$D55,EF!$D$84:$D$99,0))*INDEX(EF!$H$100:$H$115,MATCH(Emissions!$D55,EF!$D$100:$D$115,0))*INDEX(EF!$H$116:$H$131,MATCH(Emissions!$D55,EF!$D$116:$D$131,0))*kgtoGg</f>
        <v>2.5068842856640616</v>
      </c>
      <c r="R55" s="22">
        <f>INDEX('Activity data'!R$24:R$39,MATCH(Emissions!$D55,'Activity data'!$D$24:$D$39,0))*INDEX(EF!$H$84:$H$99,MATCH(Emissions!$D55,EF!$D$84:$D$99,0))*INDEX(EF!$H$100:$H$115,MATCH(Emissions!$D55,EF!$D$100:$D$115,0))*INDEX(EF!$H$116:$H$131,MATCH(Emissions!$D55,EF!$D$116:$D$131,0))*kgtoGg</f>
        <v>2.574040698830915</v>
      </c>
      <c r="S55" s="22">
        <f>INDEX('Activity data'!S$24:S$39,MATCH(Emissions!$D55,'Activity data'!$D$24:$D$39,0))*INDEX(EF!$H$84:$H$99,MATCH(Emissions!$D55,EF!$D$84:$D$99,0))*INDEX(EF!$H$100:$H$115,MATCH(Emissions!$D55,EF!$D$100:$D$115,0))*INDEX(EF!$H$116:$H$131,MATCH(Emissions!$D55,EF!$D$116:$D$131,0))*kgtoGg</f>
        <v>3.2672402728856826</v>
      </c>
      <c r="T55" s="22">
        <f>INDEX('Activity data'!T$24:T$39,MATCH(Emissions!$D55,'Activity data'!$D$24:$D$39,0))*INDEX(EF!$H$84:$H$99,MATCH(Emissions!$D55,EF!$D$84:$D$99,0))*INDEX(EF!$H$100:$H$115,MATCH(Emissions!$D55,EF!$D$100:$D$115,0))*INDEX(EF!$H$116:$H$131,MATCH(Emissions!$D55,EF!$D$116:$D$131,0))*kgtoGg</f>
        <v>3.0158364323577054</v>
      </c>
      <c r="U55" s="22">
        <f>INDEX('Activity data'!U$24:U$39,MATCH(Emissions!$D55,'Activity data'!$D$24:$D$39,0))*INDEX(EF!$H$84:$H$99,MATCH(Emissions!$D55,EF!$D$84:$D$99,0))*INDEX(EF!$H$100:$H$115,MATCH(Emissions!$D55,EF!$D$100:$D$115,0))*INDEX(EF!$H$116:$H$131,MATCH(Emissions!$D55,EF!$D$116:$D$131,0))*kgtoGg</f>
        <v>1.8124731268356651</v>
      </c>
      <c r="V55" s="22">
        <f>INDEX('Activity data'!V$24:V$39,MATCH(Emissions!$D55,'Activity data'!$D$24:$D$39,0))*INDEX(EF!$H$84:$H$99,MATCH(Emissions!$D55,EF!$D$84:$D$99,0))*INDEX(EF!$H$100:$H$115,MATCH(Emissions!$D55,EF!$D$100:$D$115,0))*INDEX(EF!$H$116:$H$131,MATCH(Emissions!$D55,EF!$D$116:$D$131,0))*kgtoGg</f>
        <v>1.8648308974103387</v>
      </c>
      <c r="W55" s="22">
        <f>INDEX('Activity data'!W$24:W$39,MATCH(Emissions!$D55,'Activity data'!$D$24:$D$39,0))*INDEX(EF!$H$84:$H$99,MATCH(Emissions!$D55,EF!$D$84:$D$99,0))*INDEX(EF!$H$100:$H$115,MATCH(Emissions!$D55,EF!$D$100:$D$115,0))*INDEX(EF!$H$116:$H$131,MATCH(Emissions!$D55,EF!$D$116:$D$131,0))*kgtoGg</f>
        <v>3.2027666545747224</v>
      </c>
      <c r="X55" s="22">
        <f>INDEX('Activity data'!X$24:X$39,MATCH(Emissions!$D55,'Activity data'!$D$24:$D$39,0))*INDEX(EF!$H$84:$H$99,MATCH(Emissions!$D55,EF!$D$84:$D$99,0))*INDEX(EF!$H$100:$H$115,MATCH(Emissions!$D55,EF!$D$100:$D$115,0))*INDEX(EF!$H$116:$H$131,MATCH(Emissions!$D55,EF!$D$116:$D$131,0))*kgtoGg</f>
        <v>2.5583189440302561</v>
      </c>
      <c r="Y55" s="22">
        <f>INDEX('Activity data'!Y$24:Y$39,MATCH(Emissions!$D55,'Activity data'!$D$24:$D$39,0))*INDEX(EF!$H$84:$H$99,MATCH(Emissions!$D55,EF!$D$84:$D$99,0))*INDEX(EF!$H$100:$H$115,MATCH(Emissions!$D55,EF!$D$100:$D$115,0))*INDEX(EF!$H$116:$H$131,MATCH(Emissions!$D55,EF!$D$116:$D$131,0))*kgtoGg</f>
        <v>2.986989175842734</v>
      </c>
      <c r="Z55" s="22">
        <f>INDEX('Activity data'!Z$24:Z$39,MATCH(Emissions!$D55,'Activity data'!$D$24:$D$39,0))*INDEX(EF!$H$84:$H$99,MATCH(Emissions!$D55,EF!$D$84:$D$99,0))*INDEX(EF!$H$100:$H$115,MATCH(Emissions!$D55,EF!$D$100:$D$115,0))*INDEX(EF!$H$116:$H$131,MATCH(Emissions!$D55,EF!$D$116:$D$131,0))*kgtoGg</f>
        <v>3.286279462185564</v>
      </c>
      <c r="AA55" s="22">
        <f>INDEX('Activity data'!AA$24:AA$39,MATCH(Emissions!$D55,'Activity data'!$D$24:$D$39,0))*INDEX(EF!$H$84:$H$99,MATCH(Emissions!$D55,EF!$D$84:$D$99,0))*INDEX(EF!$H$100:$H$115,MATCH(Emissions!$D55,EF!$D$100:$D$115,0))*INDEX(EF!$H$116:$H$131,MATCH(Emissions!$D55,EF!$D$116:$D$131,0))*kgtoGg</f>
        <v>2.3897067297002468</v>
      </c>
      <c r="AB55" s="22">
        <f>INDEX('Activity data'!AB$24:AB$39,MATCH(Emissions!$D55,'Activity data'!$D$24:$D$39,0))*INDEX(EF!$H$84:$H$99,MATCH(Emissions!$D55,EF!$D$84:$D$99,0))*INDEX(EF!$H$100:$H$115,MATCH(Emissions!$D55,EF!$D$100:$D$115,0))*INDEX(EF!$H$116:$H$131,MATCH(Emissions!$D55,EF!$D$116:$D$131,0))*kgtoGg</f>
        <v>2.9201987820599995</v>
      </c>
      <c r="AC55" s="22">
        <f>INDEX('Activity data'!AC$24:AC$39,MATCH(Emissions!$D55,'Activity data'!$D$24:$D$39,0))*INDEX(EF!$H$84:$H$99,MATCH(Emissions!$D55,EF!$D$84:$D$99,0))*INDEX(EF!$H$100:$H$115,MATCH(Emissions!$D55,EF!$D$100:$D$115,0))*INDEX(EF!$H$116:$H$131,MATCH(Emissions!$D55,EF!$D$116:$D$131,0))*kgtoGg</f>
        <v>2.3252322901500002</v>
      </c>
      <c r="AD55" s="22">
        <f>INDEX('Activity data'!AD$24:AD$39,MATCH(Emissions!$D55,'Activity data'!$D$24:$D$39,0))*INDEX(EF!$H$84:$H$99,MATCH(Emissions!$D55,EF!$D$84:$D$99,0))*INDEX(EF!$H$100:$H$115,MATCH(Emissions!$D55,EF!$D$100:$D$115,0))*INDEX(EF!$H$116:$H$131,MATCH(Emissions!$D55,EF!$D$116:$D$131,0))*kgtoGg</f>
        <v>2.4624591885313172</v>
      </c>
      <c r="AE55" s="22">
        <f>INDEX('Activity data'!AE$24:AE$39,MATCH(Emissions!$D55,'Activity data'!$D$24:$D$39,0))*INDEX(EF!$H$84:$H$99,MATCH(Emissions!$D55,EF!$D$84:$D$99,0))*INDEX(EF!$H$100:$H$115,MATCH(Emissions!$D55,EF!$D$100:$D$115,0))*INDEX(EF!$H$116:$H$131,MATCH(Emissions!$D55,EF!$D$116:$D$131,0))*kgtoGg</f>
        <v>2.4585603570229884</v>
      </c>
      <c r="AF55" s="22">
        <f>INDEX('Activity data'!AF$24:AF$39,MATCH(Emissions!$D55,'Activity data'!$D$24:$D$39,0))*INDEX(EF!$H$84:$H$99,MATCH(Emissions!$D55,EF!$D$84:$D$99,0))*INDEX(EF!$H$100:$H$115,MATCH(Emissions!$D55,EF!$D$100:$D$115,0))*INDEX(EF!$H$116:$H$131,MATCH(Emissions!$D55,EF!$D$116:$D$131,0))*kgtoGg</f>
        <v>2.4546615255146595</v>
      </c>
      <c r="AG55" s="22">
        <f>INDEX('Activity data'!AG$24:AG$39,MATCH(Emissions!$D55,'Activity data'!$D$24:$D$39,0))*INDEX(EF!$H$84:$H$99,MATCH(Emissions!$D55,EF!$D$84:$D$99,0))*INDEX(EF!$H$100:$H$115,MATCH(Emissions!$D55,EF!$D$100:$D$115,0))*INDEX(EF!$H$116:$H$131,MATCH(Emissions!$D55,EF!$D$116:$D$131,0))*kgtoGg</f>
        <v>2.4507626940063303</v>
      </c>
      <c r="AH55" s="22">
        <f>INDEX('Activity data'!AH$24:AH$39,MATCH(Emissions!$D55,'Activity data'!$D$24:$D$39,0))*INDEX(EF!$H$84:$H$99,MATCH(Emissions!$D55,EF!$D$84:$D$99,0))*INDEX(EF!$H$100:$H$115,MATCH(Emissions!$D55,EF!$D$100:$D$115,0))*INDEX(EF!$H$116:$H$131,MATCH(Emissions!$D55,EF!$D$116:$D$131,0))*kgtoGg</f>
        <v>2.4468638624980015</v>
      </c>
      <c r="AI55" s="22">
        <f>INDEX('Activity data'!AI$24:AI$39,MATCH(Emissions!$D55,'Activity data'!$D$24:$D$39,0))*INDEX(EF!$H$84:$H$99,MATCH(Emissions!$D55,EF!$D$84:$D$99,0))*INDEX(EF!$H$100:$H$115,MATCH(Emissions!$D55,EF!$D$100:$D$115,0))*INDEX(EF!$H$116:$H$131,MATCH(Emissions!$D55,EF!$D$116:$D$131,0))*kgtoGg</f>
        <v>2.4429650309896722</v>
      </c>
      <c r="AJ55" s="22">
        <f>INDEX('Activity data'!AJ$24:AJ$39,MATCH(Emissions!$D55,'Activity data'!$D$24:$D$39,0))*INDEX(EF!$H$84:$H$99,MATCH(Emissions!$D55,EF!$D$84:$D$99,0))*INDEX(EF!$H$100:$H$115,MATCH(Emissions!$D55,EF!$D$100:$D$115,0))*INDEX(EF!$H$116:$H$131,MATCH(Emissions!$D55,EF!$D$116:$D$131,0))*kgtoGg</f>
        <v>2.4390661994813438</v>
      </c>
      <c r="AK55" s="22">
        <f>INDEX('Activity data'!AK$24:AK$39,MATCH(Emissions!$D55,'Activity data'!$D$24:$D$39,0))*INDEX(EF!$H$84:$H$99,MATCH(Emissions!$D55,EF!$D$84:$D$99,0))*INDEX(EF!$H$100:$H$115,MATCH(Emissions!$D55,EF!$D$100:$D$115,0))*INDEX(EF!$H$116:$H$131,MATCH(Emissions!$D55,EF!$D$116:$D$131,0))*kgtoGg</f>
        <v>2.4351673679730146</v>
      </c>
      <c r="AL55" s="22">
        <f>INDEX('Activity data'!AL$24:AL$39,MATCH(Emissions!$D55,'Activity data'!$D$24:$D$39,0))*INDEX(EF!$H$84:$H$99,MATCH(Emissions!$D55,EF!$D$84:$D$99,0))*INDEX(EF!$H$100:$H$115,MATCH(Emissions!$D55,EF!$D$100:$D$115,0))*INDEX(EF!$H$116:$H$131,MATCH(Emissions!$D55,EF!$D$116:$D$131,0))*kgtoGg</f>
        <v>2.4312685364646853</v>
      </c>
      <c r="AM55" s="22">
        <f>INDEX('Activity data'!AM$24:AM$39,MATCH(Emissions!$D55,'Activity data'!$D$24:$D$39,0))*INDEX(EF!$H$84:$H$99,MATCH(Emissions!$D55,EF!$D$84:$D$99,0))*INDEX(EF!$H$100:$H$115,MATCH(Emissions!$D55,EF!$D$100:$D$115,0))*INDEX(EF!$H$116:$H$131,MATCH(Emissions!$D55,EF!$D$116:$D$131,0))*kgtoGg</f>
        <v>2.427369704956357</v>
      </c>
      <c r="AN55" s="22">
        <f>INDEX('Activity data'!AN$24:AN$39,MATCH(Emissions!$D55,'Activity data'!$D$24:$D$39,0))*INDEX(EF!$H$84:$H$99,MATCH(Emissions!$D55,EF!$D$84:$D$99,0))*INDEX(EF!$H$100:$H$115,MATCH(Emissions!$D55,EF!$D$100:$D$115,0))*INDEX(EF!$H$116:$H$131,MATCH(Emissions!$D55,EF!$D$116:$D$131,0))*kgtoGg</f>
        <v>2.4234708734480273</v>
      </c>
      <c r="AO55" s="22">
        <f>INDEX('Activity data'!AO$24:AO$39,MATCH(Emissions!$D55,'Activity data'!$D$24:$D$39,0))*INDEX(EF!$H$84:$H$99,MATCH(Emissions!$D55,EF!$D$84:$D$99,0))*INDEX(EF!$H$100:$H$115,MATCH(Emissions!$D55,EF!$D$100:$D$115,0))*INDEX(EF!$H$116:$H$131,MATCH(Emissions!$D55,EF!$D$116:$D$131,0))*kgtoGg</f>
        <v>2.4195720419396989</v>
      </c>
      <c r="AP55" s="22">
        <f>INDEX('Activity data'!AP$24:AP$39,MATCH(Emissions!$D55,'Activity data'!$D$24:$D$39,0))*INDEX(EF!$H$84:$H$99,MATCH(Emissions!$D55,EF!$D$84:$D$99,0))*INDEX(EF!$H$100:$H$115,MATCH(Emissions!$D55,EF!$D$100:$D$115,0))*INDEX(EF!$H$116:$H$131,MATCH(Emissions!$D55,EF!$D$116:$D$131,0))*kgtoGg</f>
        <v>2.4156732104313696</v>
      </c>
      <c r="AQ55" s="22">
        <f>INDEX('Activity data'!AQ$24:AQ$39,MATCH(Emissions!$D55,'Activity data'!$D$24:$D$39,0))*INDEX(EF!$H$84:$H$99,MATCH(Emissions!$D55,EF!$D$84:$D$99,0))*INDEX(EF!$H$100:$H$115,MATCH(Emissions!$D55,EF!$D$100:$D$115,0))*INDEX(EF!$H$116:$H$131,MATCH(Emissions!$D55,EF!$D$116:$D$131,0))*kgtoGg</f>
        <v>2.4117743789230404</v>
      </c>
      <c r="AR55" s="22">
        <f>INDEX('Activity data'!AR$24:AR$39,MATCH(Emissions!$D55,'Activity data'!$D$24:$D$39,0))*INDEX(EF!$H$84:$H$99,MATCH(Emissions!$D55,EF!$D$84:$D$99,0))*INDEX(EF!$H$100:$H$115,MATCH(Emissions!$D55,EF!$D$100:$D$115,0))*INDEX(EF!$H$116:$H$131,MATCH(Emissions!$D55,EF!$D$116:$D$131,0))*kgtoGg</f>
        <v>2.407875547414712</v>
      </c>
      <c r="AS55" s="22">
        <f>INDEX('Activity data'!AS$24:AS$39,MATCH(Emissions!$D55,'Activity data'!$D$24:$D$39,0))*INDEX(EF!$H$84:$H$99,MATCH(Emissions!$D55,EF!$D$84:$D$99,0))*INDEX(EF!$H$100:$H$115,MATCH(Emissions!$D55,EF!$D$100:$D$115,0))*INDEX(EF!$H$116:$H$131,MATCH(Emissions!$D55,EF!$D$116:$D$131,0))*kgtoGg</f>
        <v>2.4039767159063823</v>
      </c>
      <c r="AT55" s="22">
        <f>INDEX('Activity data'!AT$24:AT$39,MATCH(Emissions!$D55,'Activity data'!$D$24:$D$39,0))*INDEX(EF!$H$84:$H$99,MATCH(Emissions!$D55,EF!$D$84:$D$99,0))*INDEX(EF!$H$100:$H$115,MATCH(Emissions!$D55,EF!$D$100:$D$115,0))*INDEX(EF!$H$116:$H$131,MATCH(Emissions!$D55,EF!$D$116:$D$131,0))*kgtoGg</f>
        <v>2.4000778843980535</v>
      </c>
      <c r="AU55" s="22">
        <f>INDEX('Activity data'!AU$24:AU$39,MATCH(Emissions!$D55,'Activity data'!$D$24:$D$39,0))*INDEX(EF!$H$84:$H$99,MATCH(Emissions!$D55,EF!$D$84:$D$99,0))*INDEX(EF!$H$100:$H$115,MATCH(Emissions!$D55,EF!$D$100:$D$115,0))*INDEX(EF!$H$116:$H$131,MATCH(Emissions!$D55,EF!$D$116:$D$131,0))*kgtoGg</f>
        <v>2.3961790528897247</v>
      </c>
      <c r="AV55" s="22">
        <f>INDEX('Activity data'!AV$24:AV$39,MATCH(Emissions!$D55,'Activity data'!$D$24:$D$39,0))*INDEX(EF!$H$84:$H$99,MATCH(Emissions!$D55,EF!$D$84:$D$99,0))*INDEX(EF!$H$100:$H$115,MATCH(Emissions!$D55,EF!$D$100:$D$115,0))*INDEX(EF!$H$116:$H$131,MATCH(Emissions!$D55,EF!$D$116:$D$131,0))*kgtoGg</f>
        <v>2.3922802213813954</v>
      </c>
      <c r="AW55" s="22">
        <f>INDEX('Activity data'!AW$24:AW$39,MATCH(Emissions!$D55,'Activity data'!$D$24:$D$39,0))*INDEX(EF!$H$84:$H$99,MATCH(Emissions!$D55,EF!$D$84:$D$99,0))*INDEX(EF!$H$100:$H$115,MATCH(Emissions!$D55,EF!$D$100:$D$115,0))*INDEX(EF!$H$116:$H$131,MATCH(Emissions!$D55,EF!$D$116:$D$131,0))*kgtoGg</f>
        <v>2.3883813898730675</v>
      </c>
      <c r="AX55" s="22">
        <f>INDEX('Activity data'!AX$24:AX$39,MATCH(Emissions!$D55,'Activity data'!$D$24:$D$39,0))*INDEX(EF!$H$84:$H$99,MATCH(Emissions!$D55,EF!$D$84:$D$99,0))*INDEX(EF!$H$100:$H$115,MATCH(Emissions!$D55,EF!$D$100:$D$115,0))*INDEX(EF!$H$116:$H$131,MATCH(Emissions!$D55,EF!$D$116:$D$131,0))*kgtoGg</f>
        <v>2.3844825583647378</v>
      </c>
      <c r="AY55" s="22">
        <f>INDEX('Activity data'!AY$24:AY$39,MATCH(Emissions!$D55,'Activity data'!$D$24:$D$39,0))*INDEX(EF!$H$84:$H$99,MATCH(Emissions!$D55,EF!$D$84:$D$99,0))*INDEX(EF!$H$100:$H$115,MATCH(Emissions!$D55,EF!$D$100:$D$115,0))*INDEX(EF!$H$116:$H$131,MATCH(Emissions!$D55,EF!$D$116:$D$131,0))*kgtoGg</f>
        <v>2.3805837268564085</v>
      </c>
      <c r="AZ55" s="22">
        <f>INDEX('Activity data'!AZ$24:AZ$39,MATCH(Emissions!$D55,'Activity data'!$D$24:$D$39,0))*INDEX(EF!$H$84:$H$99,MATCH(Emissions!$D55,EF!$D$84:$D$99,0))*INDEX(EF!$H$100:$H$115,MATCH(Emissions!$D55,EF!$D$100:$D$115,0))*INDEX(EF!$H$116:$H$131,MATCH(Emissions!$D55,EF!$D$116:$D$131,0))*kgtoGg</f>
        <v>2.3766848953480793</v>
      </c>
      <c r="BA55" s="22">
        <f>INDEX('Activity data'!BA$24:BA$39,MATCH(Emissions!$D55,'Activity data'!$D$24:$D$39,0))*INDEX(EF!$H$84:$H$99,MATCH(Emissions!$D55,EF!$D$84:$D$99,0))*INDEX(EF!$H$100:$H$115,MATCH(Emissions!$D55,EF!$D$100:$D$115,0))*INDEX(EF!$H$116:$H$131,MATCH(Emissions!$D55,EF!$D$116:$D$131,0))*kgtoGg</f>
        <v>2.3727860638397509</v>
      </c>
      <c r="BB55" s="22">
        <f>INDEX('Activity data'!BB$24:BB$39,MATCH(Emissions!$D55,'Activity data'!$D$24:$D$39,0))*INDEX(EF!$H$84:$H$99,MATCH(Emissions!$D55,EF!$D$84:$D$99,0))*INDEX(EF!$H$100:$H$115,MATCH(Emissions!$D55,EF!$D$100:$D$115,0))*INDEX(EF!$H$116:$H$131,MATCH(Emissions!$D55,EF!$D$116:$D$131,0))*kgtoGg</f>
        <v>2.3688872323314216</v>
      </c>
      <c r="BC55" s="22">
        <f>INDEX('Activity data'!BC$24:BC$39,MATCH(Emissions!$D55,'Activity data'!$D$24:$D$39,0))*INDEX(EF!$H$84:$H$99,MATCH(Emissions!$D55,EF!$D$84:$D$99,0))*INDEX(EF!$H$100:$H$115,MATCH(Emissions!$D55,EF!$D$100:$D$115,0))*INDEX(EF!$H$116:$H$131,MATCH(Emissions!$D55,EF!$D$116:$D$131,0))*kgtoGg</f>
        <v>2.3649884008230924</v>
      </c>
      <c r="BD55" s="22">
        <f>INDEX('Activity data'!BD$24:BD$39,MATCH(Emissions!$D55,'Activity data'!$D$24:$D$39,0))*INDEX(EF!$H$84:$H$99,MATCH(Emissions!$D55,EF!$D$84:$D$99,0))*INDEX(EF!$H$100:$H$115,MATCH(Emissions!$D55,EF!$D$100:$D$115,0))*INDEX(EF!$H$116:$H$131,MATCH(Emissions!$D55,EF!$D$116:$D$131,0))*kgtoGg</f>
        <v>2.361089569314764</v>
      </c>
      <c r="BE55" s="22">
        <f>INDEX('Activity data'!BE$24:BE$39,MATCH(Emissions!$D55,'Activity data'!$D$24:$D$39,0))*INDEX(EF!$H$84:$H$99,MATCH(Emissions!$D55,EF!$D$84:$D$99,0))*INDEX(EF!$H$100:$H$115,MATCH(Emissions!$D55,EF!$D$100:$D$115,0))*INDEX(EF!$H$116:$H$131,MATCH(Emissions!$D55,EF!$D$116:$D$131,0))*kgtoGg</f>
        <v>2.3571907378064347</v>
      </c>
      <c r="BF55" s="22">
        <f>INDEX('Activity data'!BF$24:BF$39,MATCH(Emissions!$D55,'Activity data'!$D$24:$D$39,0))*INDEX(EF!$H$84:$H$99,MATCH(Emissions!$D55,EF!$D$84:$D$99,0))*INDEX(EF!$H$100:$H$115,MATCH(Emissions!$D55,EF!$D$100:$D$115,0))*INDEX(EF!$H$116:$H$131,MATCH(Emissions!$D55,EF!$D$116:$D$131,0))*kgtoGg</f>
        <v>2.3532919062981059</v>
      </c>
      <c r="BG55" s="22">
        <f>INDEX('Activity data'!BG$24:BG$39,MATCH(Emissions!$D55,'Activity data'!$D$24:$D$39,0))*INDEX(EF!$H$84:$H$99,MATCH(Emissions!$D55,EF!$D$84:$D$99,0))*INDEX(EF!$H$100:$H$115,MATCH(Emissions!$D55,EF!$D$100:$D$115,0))*INDEX(EF!$H$116:$H$131,MATCH(Emissions!$D55,EF!$D$116:$D$131,0))*kgtoGg</f>
        <v>2.3493930747897767</v>
      </c>
      <c r="BH55" s="22">
        <f>INDEX('Activity data'!BH$24:BH$39,MATCH(Emissions!$D55,'Activity data'!$D$24:$D$39,0))*INDEX(EF!$H$84:$H$99,MATCH(Emissions!$D55,EF!$D$84:$D$99,0))*INDEX(EF!$H$100:$H$115,MATCH(Emissions!$D55,EF!$D$100:$D$115,0))*INDEX(EF!$H$116:$H$131,MATCH(Emissions!$D55,EF!$D$116:$D$131,0))*kgtoGg</f>
        <v>2.3454942432814478</v>
      </c>
      <c r="BI55" s="22">
        <f>INDEX('Activity data'!BI$24:BI$39,MATCH(Emissions!$D55,'Activity data'!$D$24:$D$39,0))*INDEX(EF!$H$84:$H$99,MATCH(Emissions!$D55,EF!$D$84:$D$99,0))*INDEX(EF!$H$100:$H$115,MATCH(Emissions!$D55,EF!$D$100:$D$115,0))*INDEX(EF!$H$116:$H$131,MATCH(Emissions!$D55,EF!$D$116:$D$131,0))*kgtoGg</f>
        <v>2.341595411773119</v>
      </c>
      <c r="BJ55" s="22">
        <f>INDEX('Activity data'!BJ$24:BJ$39,MATCH(Emissions!$D55,'Activity data'!$D$24:$D$39,0))*INDEX(EF!$H$84:$H$99,MATCH(Emissions!$D55,EF!$D$84:$D$99,0))*INDEX(EF!$H$100:$H$115,MATCH(Emissions!$D55,EF!$D$100:$D$115,0))*INDEX(EF!$H$116:$H$131,MATCH(Emissions!$D55,EF!$D$116:$D$131,0))*kgtoGg</f>
        <v>2.3376965802647898</v>
      </c>
      <c r="BK55" s="22">
        <f>INDEX('Activity data'!BK$24:BK$39,MATCH(Emissions!$D55,'Activity data'!$D$24:$D$39,0))*INDEX(EF!$H$84:$H$99,MATCH(Emissions!$D55,EF!$D$84:$D$99,0))*INDEX(EF!$H$100:$H$115,MATCH(Emissions!$D55,EF!$D$100:$D$115,0))*INDEX(EF!$H$116:$H$131,MATCH(Emissions!$D55,EF!$D$116:$D$131,0))*kgtoGg</f>
        <v>2.3337977487564614</v>
      </c>
      <c r="BL55" s="22">
        <f>INDEX('Activity data'!BL$24:BL$39,MATCH(Emissions!$D55,'Activity data'!$D$24:$D$39,0))*INDEX(EF!$H$84:$H$99,MATCH(Emissions!$D55,EF!$D$84:$D$99,0))*INDEX(EF!$H$100:$H$115,MATCH(Emissions!$D55,EF!$D$100:$D$115,0))*INDEX(EF!$H$116:$H$131,MATCH(Emissions!$D55,EF!$D$116:$D$131,0))*kgtoGg</f>
        <v>2.3298989172481317</v>
      </c>
      <c r="BM55" s="22">
        <f>INDEX('Activity data'!BM$24:BM$39,MATCH(Emissions!$D55,'Activity data'!$D$24:$D$39,0))*INDEX(EF!$H$84:$H$99,MATCH(Emissions!$D55,EF!$D$84:$D$99,0))*INDEX(EF!$H$100:$H$115,MATCH(Emissions!$D55,EF!$D$100:$D$115,0))*INDEX(EF!$H$116:$H$131,MATCH(Emissions!$D55,EF!$D$116:$D$131,0))*kgtoGg</f>
        <v>2.3260000857398029</v>
      </c>
      <c r="BN55" s="22">
        <f>INDEX('Activity data'!BN$24:BN$39,MATCH(Emissions!$D55,'Activity data'!$D$24:$D$39,0))*INDEX(EF!$H$84:$H$99,MATCH(Emissions!$D55,EF!$D$84:$D$99,0))*INDEX(EF!$H$100:$H$115,MATCH(Emissions!$D55,EF!$D$100:$D$115,0))*INDEX(EF!$H$116:$H$131,MATCH(Emissions!$D55,EF!$D$116:$D$131,0))*kgtoGg</f>
        <v>2.3221012542314736</v>
      </c>
      <c r="BO55" s="22">
        <f>INDEX('Activity data'!BO$24:BO$39,MATCH(Emissions!$D55,'Activity data'!$D$24:$D$39,0))*INDEX(EF!$H$84:$H$99,MATCH(Emissions!$D55,EF!$D$84:$D$99,0))*INDEX(EF!$H$100:$H$115,MATCH(Emissions!$D55,EF!$D$100:$D$115,0))*INDEX(EF!$H$116:$H$131,MATCH(Emissions!$D55,EF!$D$116:$D$131,0))*kgtoGg</f>
        <v>2.3182024227231448</v>
      </c>
      <c r="BP55" s="22">
        <f>INDEX('Activity data'!BP$24:BP$39,MATCH(Emissions!$D55,'Activity data'!$D$24:$D$39,0))*INDEX(EF!$H$84:$H$99,MATCH(Emissions!$D55,EF!$D$84:$D$99,0))*INDEX(EF!$H$100:$H$115,MATCH(Emissions!$D55,EF!$D$100:$D$115,0))*INDEX(EF!$H$116:$H$131,MATCH(Emissions!$D55,EF!$D$116:$D$131,0))*kgtoGg</f>
        <v>2.314303591214816</v>
      </c>
    </row>
    <row r="56" spans="1:68" x14ac:dyDescent="0.25">
      <c r="A56" t="str">
        <f t="shared" ref="A56:A60" si="13">A55</f>
        <v>3C Aggregated and non-CO2 emissions on land</v>
      </c>
      <c r="B56" t="str">
        <f t="shared" ref="B56:B59" si="14">B55</f>
        <v>3C1 Biomass burning (CH4)</v>
      </c>
      <c r="C56" t="str">
        <f t="shared" ref="C56:C57" si="15">C55</f>
        <v>3C1a Biomass burning in forest land</v>
      </c>
      <c r="D56" t="str">
        <f>EF!D86</f>
        <v>Woodlands</v>
      </c>
      <c r="E56" t="s">
        <v>643</v>
      </c>
      <c r="F56" t="str">
        <f t="shared" ref="F56:F59" si="16">F55</f>
        <v>CH4</v>
      </c>
      <c r="G56" t="str">
        <f t="shared" ref="G56:G59" si="17">G55</f>
        <v>Gg CH4</v>
      </c>
      <c r="H56" s="22">
        <f>INDEX('Activity data'!H$24:H$39,MATCH(Emissions!$D56,'Activity data'!$D$24:$D$39,0))*INDEX(EF!$H$84:$H$99,MATCH(Emissions!$D56,EF!$D$84:$D$99,0))*INDEX(EF!$H$100:$H$115,MATCH(Emissions!$D56,EF!$D$100:$D$115,0))*INDEX(EF!$H$116:$H$131,MATCH(Emissions!$D56,EF!$D$116:$D$131,0))*kgtoGg</f>
        <v>5.6531469914652028</v>
      </c>
      <c r="I56" s="22">
        <f>INDEX('Activity data'!I$24:I$39,MATCH(Emissions!$D56,'Activity data'!$D$24:$D$39,0))*INDEX(EF!$H$84:$H$99,MATCH(Emissions!$D56,EF!$D$84:$D$99,0))*INDEX(EF!$H$100:$H$115,MATCH(Emissions!$D56,EF!$D$100:$D$115,0))*INDEX(EF!$H$116:$H$131,MATCH(Emissions!$D56,EF!$D$116:$D$131,0))*kgtoGg</f>
        <v>5.6531469914652028</v>
      </c>
      <c r="J56" s="22">
        <f>INDEX('Activity data'!J$24:J$39,MATCH(Emissions!$D56,'Activity data'!$D$24:$D$39,0))*INDEX(EF!$H$84:$H$99,MATCH(Emissions!$D56,EF!$D$84:$D$99,0))*INDEX(EF!$H$100:$H$115,MATCH(Emissions!$D56,EF!$D$100:$D$115,0))*INDEX(EF!$H$116:$H$131,MATCH(Emissions!$D56,EF!$D$116:$D$131,0))*kgtoGg</f>
        <v>5.6531469914652028</v>
      </c>
      <c r="K56" s="22">
        <f>INDEX('Activity data'!K$24:K$39,MATCH(Emissions!$D56,'Activity data'!$D$24:$D$39,0))*INDEX(EF!$H$84:$H$99,MATCH(Emissions!$D56,EF!$D$84:$D$99,0))*INDEX(EF!$H$100:$H$115,MATCH(Emissions!$D56,EF!$D$100:$D$115,0))*INDEX(EF!$H$116:$H$131,MATCH(Emissions!$D56,EF!$D$116:$D$131,0))*kgtoGg</f>
        <v>5.6531469914652028</v>
      </c>
      <c r="L56" s="22">
        <f>INDEX('Activity data'!L$24:L$39,MATCH(Emissions!$D56,'Activity data'!$D$24:$D$39,0))*INDEX(EF!$H$84:$H$99,MATCH(Emissions!$D56,EF!$D$84:$D$99,0))*INDEX(EF!$H$100:$H$115,MATCH(Emissions!$D56,EF!$D$100:$D$115,0))*INDEX(EF!$H$116:$H$131,MATCH(Emissions!$D56,EF!$D$116:$D$131,0))*kgtoGg</f>
        <v>5.6531469914652028</v>
      </c>
      <c r="M56" s="22">
        <f>INDEX('Activity data'!M$24:M$39,MATCH(Emissions!$D56,'Activity data'!$D$24:$D$39,0))*INDEX(EF!$H$84:$H$99,MATCH(Emissions!$D56,EF!$D$84:$D$99,0))*INDEX(EF!$H$100:$H$115,MATCH(Emissions!$D56,EF!$D$100:$D$115,0))*INDEX(EF!$H$116:$H$131,MATCH(Emissions!$D56,EF!$D$116:$D$131,0))*kgtoGg</f>
        <v>5.6531469914652028</v>
      </c>
      <c r="N56" s="22">
        <f>INDEX('Activity data'!N$24:N$39,MATCH(Emissions!$D56,'Activity data'!$D$24:$D$39,0))*INDEX(EF!$H$84:$H$99,MATCH(Emissions!$D56,EF!$D$84:$D$99,0))*INDEX(EF!$H$100:$H$115,MATCH(Emissions!$D56,EF!$D$100:$D$115,0))*INDEX(EF!$H$116:$H$131,MATCH(Emissions!$D56,EF!$D$116:$D$131,0))*kgtoGg</f>
        <v>5.6531469914652028</v>
      </c>
      <c r="O56" s="22">
        <f>INDEX('Activity data'!O$24:O$39,MATCH(Emissions!$D56,'Activity data'!$D$24:$D$39,0))*INDEX(EF!$H$84:$H$99,MATCH(Emissions!$D56,EF!$D$84:$D$99,0))*INDEX(EF!$H$100:$H$115,MATCH(Emissions!$D56,EF!$D$100:$D$115,0))*INDEX(EF!$H$116:$H$131,MATCH(Emissions!$D56,EF!$D$116:$D$131,0))*kgtoGg</f>
        <v>5.6531469914652028</v>
      </c>
      <c r="P56" s="22">
        <f>INDEX('Activity data'!P$24:P$39,MATCH(Emissions!$D56,'Activity data'!$D$24:$D$39,0))*INDEX(EF!$H$84:$H$99,MATCH(Emissions!$D56,EF!$D$84:$D$99,0))*INDEX(EF!$H$100:$H$115,MATCH(Emissions!$D56,EF!$D$100:$D$115,0))*INDEX(EF!$H$116:$H$131,MATCH(Emissions!$D56,EF!$D$116:$D$131,0))*kgtoGg</f>
        <v>5.6531469914652028</v>
      </c>
      <c r="Q56" s="22">
        <f>INDEX('Activity data'!Q$24:Q$39,MATCH(Emissions!$D56,'Activity data'!$D$24:$D$39,0))*INDEX(EF!$H$84:$H$99,MATCH(Emissions!$D56,EF!$D$84:$D$99,0))*INDEX(EF!$H$100:$H$115,MATCH(Emissions!$D56,EF!$D$100:$D$115,0))*INDEX(EF!$H$116:$H$131,MATCH(Emissions!$D56,EF!$D$116:$D$131,0))*kgtoGg</f>
        <v>5.6531469914652028</v>
      </c>
      <c r="R56" s="22">
        <f>INDEX('Activity data'!R$24:R$39,MATCH(Emissions!$D56,'Activity data'!$D$24:$D$39,0))*INDEX(EF!$H$84:$H$99,MATCH(Emissions!$D56,EF!$D$84:$D$99,0))*INDEX(EF!$H$100:$H$115,MATCH(Emissions!$D56,EF!$D$100:$D$115,0))*INDEX(EF!$H$116:$H$131,MATCH(Emissions!$D56,EF!$D$116:$D$131,0))*kgtoGg</f>
        <v>5.9201330160969858</v>
      </c>
      <c r="S56" s="22">
        <f>INDEX('Activity data'!S$24:S$39,MATCH(Emissions!$D56,'Activity data'!$D$24:$D$39,0))*INDEX(EF!$H$84:$H$99,MATCH(Emissions!$D56,EF!$D$84:$D$99,0))*INDEX(EF!$H$100:$H$115,MATCH(Emissions!$D56,EF!$D$100:$D$115,0))*INDEX(EF!$H$116:$H$131,MATCH(Emissions!$D56,EF!$D$116:$D$131,0))*kgtoGg</f>
        <v>8.5137755895560279</v>
      </c>
      <c r="T56" s="22">
        <f>INDEX('Activity data'!T$24:T$39,MATCH(Emissions!$D56,'Activity data'!$D$24:$D$39,0))*INDEX(EF!$H$84:$H$99,MATCH(Emissions!$D56,EF!$D$84:$D$99,0))*INDEX(EF!$H$100:$H$115,MATCH(Emissions!$D56,EF!$D$100:$D$115,0))*INDEX(EF!$H$116:$H$131,MATCH(Emissions!$D56,EF!$D$116:$D$131,0))*kgtoGg</f>
        <v>6.5840487252639006</v>
      </c>
      <c r="U56" s="22">
        <f>INDEX('Activity data'!U$24:U$39,MATCH(Emissions!$D56,'Activity data'!$D$24:$D$39,0))*INDEX(EF!$H$84:$H$99,MATCH(Emissions!$D56,EF!$D$84:$D$99,0))*INDEX(EF!$H$100:$H$115,MATCH(Emissions!$D56,EF!$D$100:$D$115,0))*INDEX(EF!$H$116:$H$131,MATCH(Emissions!$D56,EF!$D$116:$D$131,0))*kgtoGg</f>
        <v>2.5247104134470595</v>
      </c>
      <c r="V56" s="22">
        <f>INDEX('Activity data'!V$24:V$39,MATCH(Emissions!$D56,'Activity data'!$D$24:$D$39,0))*INDEX(EF!$H$84:$H$99,MATCH(Emissions!$D56,EF!$D$84:$D$99,0))*INDEX(EF!$H$100:$H$115,MATCH(Emissions!$D56,EF!$D$100:$D$115,0))*INDEX(EF!$H$116:$H$131,MATCH(Emissions!$D56,EF!$D$116:$D$131,0))*kgtoGg</f>
        <v>4.7230672129620421</v>
      </c>
      <c r="W56" s="22">
        <f>INDEX('Activity data'!W$24:W$39,MATCH(Emissions!$D56,'Activity data'!$D$24:$D$39,0))*INDEX(EF!$H$84:$H$99,MATCH(Emissions!$D56,EF!$D$84:$D$99,0))*INDEX(EF!$H$100:$H$115,MATCH(Emissions!$D56,EF!$D$100:$D$115,0))*INDEX(EF!$H$116:$H$131,MATCH(Emissions!$D56,EF!$D$116:$D$131,0))*kgtoGg</f>
        <v>7.9744608308714833</v>
      </c>
      <c r="X56" s="22">
        <f>INDEX('Activity data'!X$24:X$39,MATCH(Emissions!$D56,'Activity data'!$D$24:$D$39,0))*INDEX(EF!$H$84:$H$99,MATCH(Emissions!$D56,EF!$D$84:$D$99,0))*INDEX(EF!$H$100:$H$115,MATCH(Emissions!$D56,EF!$D$100:$D$115,0))*INDEX(EF!$H$116:$H$131,MATCH(Emissions!$D56,EF!$D$116:$D$131,0))*kgtoGg</f>
        <v>6.9184350841296229</v>
      </c>
      <c r="Y56" s="22">
        <f>INDEX('Activity data'!Y$24:Y$39,MATCH(Emissions!$D56,'Activity data'!$D$24:$D$39,0))*INDEX(EF!$H$84:$H$99,MATCH(Emissions!$D56,EF!$D$84:$D$99,0))*INDEX(EF!$H$100:$H$115,MATCH(Emissions!$D56,EF!$D$100:$D$115,0))*INDEX(EF!$H$116:$H$131,MATCH(Emissions!$D56,EF!$D$116:$D$131,0))*kgtoGg</f>
        <v>3.9808789426975095</v>
      </c>
      <c r="Z56" s="22">
        <f>INDEX('Activity data'!Z$24:Z$39,MATCH(Emissions!$D56,'Activity data'!$D$24:$D$39,0))*INDEX(EF!$H$84:$H$99,MATCH(Emissions!$D56,EF!$D$84:$D$99,0))*INDEX(EF!$H$100:$H$115,MATCH(Emissions!$D56,EF!$D$100:$D$115,0))*INDEX(EF!$H$116:$H$131,MATCH(Emissions!$D56,EF!$D$116:$D$131,0))*kgtoGg</f>
        <v>7.1887462915478917</v>
      </c>
      <c r="AA56" s="22">
        <f>INDEX('Activity data'!AA$24:AA$39,MATCH(Emissions!$D56,'Activity data'!$D$24:$D$39,0))*INDEX(EF!$H$84:$H$99,MATCH(Emissions!$D56,EF!$D$84:$D$99,0))*INDEX(EF!$H$100:$H$115,MATCH(Emissions!$D56,EF!$D$100:$D$115,0))*INDEX(EF!$H$116:$H$131,MATCH(Emissions!$D56,EF!$D$116:$D$131,0))*kgtoGg</f>
        <v>4.7368910065687819</v>
      </c>
      <c r="AB56" s="22">
        <f>INDEX('Activity data'!AB$24:AB$39,MATCH(Emissions!$D56,'Activity data'!$D$24:$D$39,0))*INDEX(EF!$H$84:$H$99,MATCH(Emissions!$D56,EF!$D$84:$D$99,0))*INDEX(EF!$H$100:$H$115,MATCH(Emissions!$D56,EF!$D$100:$D$115,0))*INDEX(EF!$H$116:$H$131,MATCH(Emissions!$D56,EF!$D$116:$D$131,0))*kgtoGg</f>
        <v>6.6733368768000005</v>
      </c>
      <c r="AC56" s="22">
        <f>INDEX('Activity data'!AC$24:AC$39,MATCH(Emissions!$D56,'Activity data'!$D$24:$D$39,0))*INDEX(EF!$H$84:$H$99,MATCH(Emissions!$D56,EF!$D$84:$D$99,0))*INDEX(EF!$H$100:$H$115,MATCH(Emissions!$D56,EF!$D$100:$D$115,0))*INDEX(EF!$H$116:$H$131,MATCH(Emissions!$D56,EF!$D$116:$D$131,0))*kgtoGg</f>
        <v>6.10643382624</v>
      </c>
      <c r="AD56" s="22">
        <f>INDEX('Activity data'!AD$24:AD$39,MATCH(Emissions!$D56,'Activity data'!$D$24:$D$39,0))*INDEX(EF!$H$84:$H$99,MATCH(Emissions!$D56,EF!$D$84:$D$99,0))*INDEX(EF!$H$100:$H$115,MATCH(Emissions!$D56,EF!$D$100:$D$115,0))*INDEX(EF!$H$116:$H$131,MATCH(Emissions!$D56,EF!$D$116:$D$131,0))*kgtoGg</f>
        <v>5.3786221650316861</v>
      </c>
      <c r="AE56" s="22">
        <f>INDEX('Activity data'!AE$24:AE$39,MATCH(Emissions!$D56,'Activity data'!$D$24:$D$39,0))*INDEX(EF!$H$84:$H$99,MATCH(Emissions!$D56,EF!$D$84:$D$99,0))*INDEX(EF!$H$100:$H$115,MATCH(Emissions!$D56,EF!$D$100:$D$115,0))*INDEX(EF!$H$116:$H$131,MATCH(Emissions!$D56,EF!$D$116:$D$131,0))*kgtoGg</f>
        <v>5.3880428110636629</v>
      </c>
      <c r="AF56" s="22">
        <f>INDEX('Activity data'!AF$24:AF$39,MATCH(Emissions!$D56,'Activity data'!$D$24:$D$39,0))*INDEX(EF!$H$84:$H$99,MATCH(Emissions!$D56,EF!$D$84:$D$99,0))*INDEX(EF!$H$100:$H$115,MATCH(Emissions!$D56,EF!$D$100:$D$115,0))*INDEX(EF!$H$116:$H$131,MATCH(Emissions!$D56,EF!$D$116:$D$131,0))*kgtoGg</f>
        <v>5.3974634570956406</v>
      </c>
      <c r="AG56" s="22">
        <f>INDEX('Activity data'!AG$24:AG$39,MATCH(Emissions!$D56,'Activity data'!$D$24:$D$39,0))*INDEX(EF!$H$84:$H$99,MATCH(Emissions!$D56,EF!$D$84:$D$99,0))*INDEX(EF!$H$100:$H$115,MATCH(Emissions!$D56,EF!$D$100:$D$115,0))*INDEX(EF!$H$116:$H$131,MATCH(Emissions!$D56,EF!$D$116:$D$131,0))*kgtoGg</f>
        <v>5.4068841031276182</v>
      </c>
      <c r="AH56" s="22">
        <f>INDEX('Activity data'!AH$24:AH$39,MATCH(Emissions!$D56,'Activity data'!$D$24:$D$39,0))*INDEX(EF!$H$84:$H$99,MATCH(Emissions!$D56,EF!$D$84:$D$99,0))*INDEX(EF!$H$100:$H$115,MATCH(Emissions!$D56,EF!$D$100:$D$115,0))*INDEX(EF!$H$116:$H$131,MATCH(Emissions!$D56,EF!$D$116:$D$131,0))*kgtoGg</f>
        <v>5.4163047491595959</v>
      </c>
      <c r="AI56" s="22">
        <f>INDEX('Activity data'!AI$24:AI$39,MATCH(Emissions!$D56,'Activity data'!$D$24:$D$39,0))*INDEX(EF!$H$84:$H$99,MATCH(Emissions!$D56,EF!$D$84:$D$99,0))*INDEX(EF!$H$100:$H$115,MATCH(Emissions!$D56,EF!$D$100:$D$115,0))*INDEX(EF!$H$116:$H$131,MATCH(Emissions!$D56,EF!$D$116:$D$131,0))*kgtoGg</f>
        <v>5.4257253951915727</v>
      </c>
      <c r="AJ56" s="22">
        <f>INDEX('Activity data'!AJ$24:AJ$39,MATCH(Emissions!$D56,'Activity data'!$D$24:$D$39,0))*INDEX(EF!$H$84:$H$99,MATCH(Emissions!$D56,EF!$D$84:$D$99,0))*INDEX(EF!$H$100:$H$115,MATCH(Emissions!$D56,EF!$D$100:$D$115,0))*INDEX(EF!$H$116:$H$131,MATCH(Emissions!$D56,EF!$D$116:$D$131,0))*kgtoGg</f>
        <v>5.4351460412235486</v>
      </c>
      <c r="AK56" s="22">
        <f>INDEX('Activity data'!AK$24:AK$39,MATCH(Emissions!$D56,'Activity data'!$D$24:$D$39,0))*INDEX(EF!$H$84:$H$99,MATCH(Emissions!$D56,EF!$D$84:$D$99,0))*INDEX(EF!$H$100:$H$115,MATCH(Emissions!$D56,EF!$D$100:$D$115,0))*INDEX(EF!$H$116:$H$131,MATCH(Emissions!$D56,EF!$D$116:$D$131,0))*kgtoGg</f>
        <v>5.3972660466060871</v>
      </c>
      <c r="AL56" s="22">
        <f>INDEX('Activity data'!AL$24:AL$39,MATCH(Emissions!$D56,'Activity data'!$D$24:$D$39,0))*INDEX(EF!$H$84:$H$99,MATCH(Emissions!$D56,EF!$D$84:$D$99,0))*INDEX(EF!$H$100:$H$115,MATCH(Emissions!$D56,EF!$D$100:$D$115,0))*INDEX(EF!$H$116:$H$131,MATCH(Emissions!$D56,EF!$D$116:$D$131,0))*kgtoGg</f>
        <v>5.3593860519886229</v>
      </c>
      <c r="AM56" s="22">
        <f>INDEX('Activity data'!AM$24:AM$39,MATCH(Emissions!$D56,'Activity data'!$D$24:$D$39,0))*INDEX(EF!$H$84:$H$99,MATCH(Emissions!$D56,EF!$D$84:$D$99,0))*INDEX(EF!$H$100:$H$115,MATCH(Emissions!$D56,EF!$D$100:$D$115,0))*INDEX(EF!$H$116:$H$131,MATCH(Emissions!$D56,EF!$D$116:$D$131,0))*kgtoGg</f>
        <v>5.3215060573711588</v>
      </c>
      <c r="AN56" s="22">
        <f>INDEX('Activity data'!AN$24:AN$39,MATCH(Emissions!$D56,'Activity data'!$D$24:$D$39,0))*INDEX(EF!$H$84:$H$99,MATCH(Emissions!$D56,EF!$D$84:$D$99,0))*INDEX(EF!$H$100:$H$115,MATCH(Emissions!$D56,EF!$D$100:$D$115,0))*INDEX(EF!$H$116:$H$131,MATCH(Emissions!$D56,EF!$D$116:$D$131,0))*kgtoGg</f>
        <v>5.2836260627536946</v>
      </c>
      <c r="AO56" s="22">
        <f>INDEX('Activity data'!AO$24:AO$39,MATCH(Emissions!$D56,'Activity data'!$D$24:$D$39,0))*INDEX(EF!$H$84:$H$99,MATCH(Emissions!$D56,EF!$D$84:$D$99,0))*INDEX(EF!$H$100:$H$115,MATCH(Emissions!$D56,EF!$D$100:$D$115,0))*INDEX(EF!$H$116:$H$131,MATCH(Emissions!$D56,EF!$D$116:$D$131,0))*kgtoGg</f>
        <v>5.2457460681362322</v>
      </c>
      <c r="AP56" s="22">
        <f>INDEX('Activity data'!AP$24:AP$39,MATCH(Emissions!$D56,'Activity data'!$D$24:$D$39,0))*INDEX(EF!$H$84:$H$99,MATCH(Emissions!$D56,EF!$D$84:$D$99,0))*INDEX(EF!$H$100:$H$115,MATCH(Emissions!$D56,EF!$D$100:$D$115,0))*INDEX(EF!$H$116:$H$131,MATCH(Emissions!$D56,EF!$D$116:$D$131,0))*kgtoGg</f>
        <v>5.2078660735187698</v>
      </c>
      <c r="AQ56" s="22">
        <f>INDEX('Activity data'!AQ$24:AQ$39,MATCH(Emissions!$D56,'Activity data'!$D$24:$D$39,0))*INDEX(EF!$H$84:$H$99,MATCH(Emissions!$D56,EF!$D$84:$D$99,0))*INDEX(EF!$H$100:$H$115,MATCH(Emissions!$D56,EF!$D$100:$D$115,0))*INDEX(EF!$H$116:$H$131,MATCH(Emissions!$D56,EF!$D$116:$D$131,0))*kgtoGg</f>
        <v>5.1699860789013057</v>
      </c>
      <c r="AR56" s="22">
        <f>INDEX('Activity data'!AR$24:AR$39,MATCH(Emissions!$D56,'Activity data'!$D$24:$D$39,0))*INDEX(EF!$H$84:$H$99,MATCH(Emissions!$D56,EF!$D$84:$D$99,0))*INDEX(EF!$H$100:$H$115,MATCH(Emissions!$D56,EF!$D$100:$D$115,0))*INDEX(EF!$H$116:$H$131,MATCH(Emissions!$D56,EF!$D$116:$D$131,0))*kgtoGg</f>
        <v>5.1321060842838424</v>
      </c>
      <c r="AS56" s="22">
        <f>INDEX('Activity data'!AS$24:AS$39,MATCH(Emissions!$D56,'Activity data'!$D$24:$D$39,0))*INDEX(EF!$H$84:$H$99,MATCH(Emissions!$D56,EF!$D$84:$D$99,0))*INDEX(EF!$H$100:$H$115,MATCH(Emissions!$D56,EF!$D$100:$D$115,0))*INDEX(EF!$H$116:$H$131,MATCH(Emissions!$D56,EF!$D$116:$D$131,0))*kgtoGg</f>
        <v>5.0942260896663782</v>
      </c>
      <c r="AT56" s="22">
        <f>INDEX('Activity data'!AT$24:AT$39,MATCH(Emissions!$D56,'Activity data'!$D$24:$D$39,0))*INDEX(EF!$H$84:$H$99,MATCH(Emissions!$D56,EF!$D$84:$D$99,0))*INDEX(EF!$H$100:$H$115,MATCH(Emissions!$D56,EF!$D$100:$D$115,0))*INDEX(EF!$H$116:$H$131,MATCH(Emissions!$D56,EF!$D$116:$D$131,0))*kgtoGg</f>
        <v>5.0563460950489141</v>
      </c>
      <c r="AU56" s="22">
        <f>INDEX('Activity data'!AU$24:AU$39,MATCH(Emissions!$D56,'Activity data'!$D$24:$D$39,0))*INDEX(EF!$H$84:$H$99,MATCH(Emissions!$D56,EF!$D$84:$D$99,0))*INDEX(EF!$H$100:$H$115,MATCH(Emissions!$D56,EF!$D$100:$D$115,0))*INDEX(EF!$H$116:$H$131,MATCH(Emissions!$D56,EF!$D$116:$D$131,0))*kgtoGg</f>
        <v>5.0184661004314526</v>
      </c>
      <c r="AV56" s="22">
        <f>INDEX('Activity data'!AV$24:AV$39,MATCH(Emissions!$D56,'Activity data'!$D$24:$D$39,0))*INDEX(EF!$H$84:$H$99,MATCH(Emissions!$D56,EF!$D$84:$D$99,0))*INDEX(EF!$H$100:$H$115,MATCH(Emissions!$D56,EF!$D$100:$D$115,0))*INDEX(EF!$H$116:$H$131,MATCH(Emissions!$D56,EF!$D$116:$D$131,0))*kgtoGg</f>
        <v>4.9805861058139884</v>
      </c>
      <c r="AW56" s="22">
        <f>INDEX('Activity data'!AW$24:AW$39,MATCH(Emissions!$D56,'Activity data'!$D$24:$D$39,0))*INDEX(EF!$H$84:$H$99,MATCH(Emissions!$D56,EF!$D$84:$D$99,0))*INDEX(EF!$H$100:$H$115,MATCH(Emissions!$D56,EF!$D$100:$D$115,0))*INDEX(EF!$H$116:$H$131,MATCH(Emissions!$D56,EF!$D$116:$D$131,0))*kgtoGg</f>
        <v>4.9427061111965243</v>
      </c>
      <c r="AX56" s="22">
        <f>INDEX('Activity data'!AX$24:AX$39,MATCH(Emissions!$D56,'Activity data'!$D$24:$D$39,0))*INDEX(EF!$H$84:$H$99,MATCH(Emissions!$D56,EF!$D$84:$D$99,0))*INDEX(EF!$H$100:$H$115,MATCH(Emissions!$D56,EF!$D$100:$D$115,0))*INDEX(EF!$H$116:$H$131,MATCH(Emissions!$D56,EF!$D$116:$D$131,0))*kgtoGg</f>
        <v>4.9048261165790601</v>
      </c>
      <c r="AY56" s="22">
        <f>INDEX('Activity data'!AY$24:AY$39,MATCH(Emissions!$D56,'Activity data'!$D$24:$D$39,0))*INDEX(EF!$H$84:$H$99,MATCH(Emissions!$D56,EF!$D$84:$D$99,0))*INDEX(EF!$H$100:$H$115,MATCH(Emissions!$D56,EF!$D$100:$D$115,0))*INDEX(EF!$H$116:$H$131,MATCH(Emissions!$D56,EF!$D$116:$D$131,0))*kgtoGg</f>
        <v>4.8669461219615968</v>
      </c>
      <c r="AZ56" s="22">
        <f>INDEX('Activity data'!AZ$24:AZ$39,MATCH(Emissions!$D56,'Activity data'!$D$24:$D$39,0))*INDEX(EF!$H$84:$H$99,MATCH(Emissions!$D56,EF!$D$84:$D$99,0))*INDEX(EF!$H$100:$H$115,MATCH(Emissions!$D56,EF!$D$100:$D$115,0))*INDEX(EF!$H$116:$H$131,MATCH(Emissions!$D56,EF!$D$116:$D$131,0))*kgtoGg</f>
        <v>4.8290661273441344</v>
      </c>
      <c r="BA56" s="22">
        <f>INDEX('Activity data'!BA$24:BA$39,MATCH(Emissions!$D56,'Activity data'!$D$24:$D$39,0))*INDEX(EF!$H$84:$H$99,MATCH(Emissions!$D56,EF!$D$84:$D$99,0))*INDEX(EF!$H$100:$H$115,MATCH(Emissions!$D56,EF!$D$100:$D$115,0))*INDEX(EF!$H$116:$H$131,MATCH(Emissions!$D56,EF!$D$116:$D$131,0))*kgtoGg</f>
        <v>4.7911861327266712</v>
      </c>
      <c r="BB56" s="22">
        <f>INDEX('Activity data'!BB$24:BB$39,MATCH(Emissions!$D56,'Activity data'!$D$24:$D$39,0))*INDEX(EF!$H$84:$H$99,MATCH(Emissions!$D56,EF!$D$84:$D$99,0))*INDEX(EF!$H$100:$H$115,MATCH(Emissions!$D56,EF!$D$100:$D$115,0))*INDEX(EF!$H$116:$H$131,MATCH(Emissions!$D56,EF!$D$116:$D$131,0))*kgtoGg</f>
        <v>4.7533061381092079</v>
      </c>
      <c r="BC56" s="22">
        <f>INDEX('Activity data'!BC$24:BC$39,MATCH(Emissions!$D56,'Activity data'!$D$24:$D$39,0))*INDEX(EF!$H$84:$H$99,MATCH(Emissions!$D56,EF!$D$84:$D$99,0))*INDEX(EF!$H$100:$H$115,MATCH(Emissions!$D56,EF!$D$100:$D$115,0))*INDEX(EF!$H$116:$H$131,MATCH(Emissions!$D56,EF!$D$116:$D$131,0))*kgtoGg</f>
        <v>4.7154261434917437</v>
      </c>
      <c r="BD56" s="22">
        <f>INDEX('Activity data'!BD$24:BD$39,MATCH(Emissions!$D56,'Activity data'!$D$24:$D$39,0))*INDEX(EF!$H$84:$H$99,MATCH(Emissions!$D56,EF!$D$84:$D$99,0))*INDEX(EF!$H$100:$H$115,MATCH(Emissions!$D56,EF!$D$100:$D$115,0))*INDEX(EF!$H$116:$H$131,MATCH(Emissions!$D56,EF!$D$116:$D$131,0))*kgtoGg</f>
        <v>4.6775461488742796</v>
      </c>
      <c r="BE56" s="22">
        <f>INDEX('Activity data'!BE$24:BE$39,MATCH(Emissions!$D56,'Activity data'!$D$24:$D$39,0))*INDEX(EF!$H$84:$H$99,MATCH(Emissions!$D56,EF!$D$84:$D$99,0))*INDEX(EF!$H$100:$H$115,MATCH(Emissions!$D56,EF!$D$100:$D$115,0))*INDEX(EF!$H$116:$H$131,MATCH(Emissions!$D56,EF!$D$116:$D$131,0))*kgtoGg</f>
        <v>4.6396661542568172</v>
      </c>
      <c r="BF56" s="22">
        <f>INDEX('Activity data'!BF$24:BF$39,MATCH(Emissions!$D56,'Activity data'!$D$24:$D$39,0))*INDEX(EF!$H$84:$H$99,MATCH(Emissions!$D56,EF!$D$84:$D$99,0))*INDEX(EF!$H$100:$H$115,MATCH(Emissions!$D56,EF!$D$100:$D$115,0))*INDEX(EF!$H$116:$H$131,MATCH(Emissions!$D56,EF!$D$116:$D$131,0))*kgtoGg</f>
        <v>4.601786159639353</v>
      </c>
      <c r="BG56" s="22">
        <f>INDEX('Activity data'!BG$24:BG$39,MATCH(Emissions!$D56,'Activity data'!$D$24:$D$39,0))*INDEX(EF!$H$84:$H$99,MATCH(Emissions!$D56,EF!$D$84:$D$99,0))*INDEX(EF!$H$100:$H$115,MATCH(Emissions!$D56,EF!$D$100:$D$115,0))*INDEX(EF!$H$116:$H$131,MATCH(Emissions!$D56,EF!$D$116:$D$131,0))*kgtoGg</f>
        <v>4.5639061650218888</v>
      </c>
      <c r="BH56" s="22">
        <f>INDEX('Activity data'!BH$24:BH$39,MATCH(Emissions!$D56,'Activity data'!$D$24:$D$39,0))*INDEX(EF!$H$84:$H$99,MATCH(Emissions!$D56,EF!$D$84:$D$99,0))*INDEX(EF!$H$100:$H$115,MATCH(Emissions!$D56,EF!$D$100:$D$115,0))*INDEX(EF!$H$116:$H$131,MATCH(Emissions!$D56,EF!$D$116:$D$131,0))*kgtoGg</f>
        <v>4.5260261704044256</v>
      </c>
      <c r="BI56" s="22">
        <f>INDEX('Activity data'!BI$24:BI$39,MATCH(Emissions!$D56,'Activity data'!$D$24:$D$39,0))*INDEX(EF!$H$84:$H$99,MATCH(Emissions!$D56,EF!$D$84:$D$99,0))*INDEX(EF!$H$100:$H$115,MATCH(Emissions!$D56,EF!$D$100:$D$115,0))*INDEX(EF!$H$116:$H$131,MATCH(Emissions!$D56,EF!$D$116:$D$131,0))*kgtoGg</f>
        <v>4.4881461757869623</v>
      </c>
      <c r="BJ56" s="22">
        <f>INDEX('Activity data'!BJ$24:BJ$39,MATCH(Emissions!$D56,'Activity data'!$D$24:$D$39,0))*INDEX(EF!$H$84:$H$99,MATCH(Emissions!$D56,EF!$D$84:$D$99,0))*INDEX(EF!$H$100:$H$115,MATCH(Emissions!$D56,EF!$D$100:$D$115,0))*INDEX(EF!$H$116:$H$131,MATCH(Emissions!$D56,EF!$D$116:$D$131,0))*kgtoGg</f>
        <v>4.4502661811694981</v>
      </c>
      <c r="BK56" s="22">
        <f>INDEX('Activity data'!BK$24:BK$39,MATCH(Emissions!$D56,'Activity data'!$D$24:$D$39,0))*INDEX(EF!$H$84:$H$99,MATCH(Emissions!$D56,EF!$D$84:$D$99,0))*INDEX(EF!$H$100:$H$115,MATCH(Emissions!$D56,EF!$D$100:$D$115,0))*INDEX(EF!$H$116:$H$131,MATCH(Emissions!$D56,EF!$D$116:$D$131,0))*kgtoGg</f>
        <v>4.4123861865520357</v>
      </c>
      <c r="BL56" s="22">
        <f>INDEX('Activity data'!BL$24:BL$39,MATCH(Emissions!$D56,'Activity data'!$D$24:$D$39,0))*INDEX(EF!$H$84:$H$99,MATCH(Emissions!$D56,EF!$D$84:$D$99,0))*INDEX(EF!$H$100:$H$115,MATCH(Emissions!$D56,EF!$D$100:$D$115,0))*INDEX(EF!$H$116:$H$131,MATCH(Emissions!$D56,EF!$D$116:$D$131,0))*kgtoGg</f>
        <v>4.3745061919345725</v>
      </c>
      <c r="BM56" s="22">
        <f>INDEX('Activity data'!BM$24:BM$39,MATCH(Emissions!$D56,'Activity data'!$D$24:$D$39,0))*INDEX(EF!$H$84:$H$99,MATCH(Emissions!$D56,EF!$D$84:$D$99,0))*INDEX(EF!$H$100:$H$115,MATCH(Emissions!$D56,EF!$D$100:$D$115,0))*INDEX(EF!$H$116:$H$131,MATCH(Emissions!$D56,EF!$D$116:$D$131,0))*kgtoGg</f>
        <v>4.3366261973171101</v>
      </c>
      <c r="BN56" s="22">
        <f>INDEX('Activity data'!BN$24:BN$39,MATCH(Emissions!$D56,'Activity data'!$D$24:$D$39,0))*INDEX(EF!$H$84:$H$99,MATCH(Emissions!$D56,EF!$D$84:$D$99,0))*INDEX(EF!$H$100:$H$115,MATCH(Emissions!$D56,EF!$D$100:$D$115,0))*INDEX(EF!$H$116:$H$131,MATCH(Emissions!$D56,EF!$D$116:$D$131,0))*kgtoGg</f>
        <v>4.2987462026996468</v>
      </c>
      <c r="BO56" s="22">
        <f>INDEX('Activity data'!BO$24:BO$39,MATCH(Emissions!$D56,'Activity data'!$D$24:$D$39,0))*INDEX(EF!$H$84:$H$99,MATCH(Emissions!$D56,EF!$D$84:$D$99,0))*INDEX(EF!$H$100:$H$115,MATCH(Emissions!$D56,EF!$D$100:$D$115,0))*INDEX(EF!$H$116:$H$131,MATCH(Emissions!$D56,EF!$D$116:$D$131,0))*kgtoGg</f>
        <v>4.2608662080821844</v>
      </c>
      <c r="BP56" s="22">
        <f>INDEX('Activity data'!BP$24:BP$39,MATCH(Emissions!$D56,'Activity data'!$D$24:$D$39,0))*INDEX(EF!$H$84:$H$99,MATCH(Emissions!$D56,EF!$D$84:$D$99,0))*INDEX(EF!$H$100:$H$115,MATCH(Emissions!$D56,EF!$D$100:$D$115,0))*INDEX(EF!$H$116:$H$131,MATCH(Emissions!$D56,EF!$D$116:$D$131,0))*kgtoGg</f>
        <v>4.2229862134647194</v>
      </c>
    </row>
    <row r="57" spans="1:68" x14ac:dyDescent="0.25">
      <c r="A57" t="str">
        <f t="shared" si="13"/>
        <v>3C Aggregated and non-CO2 emissions on land</v>
      </c>
      <c r="B57" t="str">
        <f t="shared" si="14"/>
        <v>3C1 Biomass burning (CH4)</v>
      </c>
      <c r="C57" t="str">
        <f t="shared" si="15"/>
        <v>3C1a Biomass burning in forest land</v>
      </c>
      <c r="D57" t="str">
        <f>EF!D87</f>
        <v>Plantations</v>
      </c>
      <c r="E57" t="s">
        <v>644</v>
      </c>
      <c r="F57" t="str">
        <f t="shared" si="16"/>
        <v>CH4</v>
      </c>
      <c r="G57" t="str">
        <f t="shared" si="17"/>
        <v>Gg CH4</v>
      </c>
      <c r="H57" s="22">
        <f>INDEX('Activity data'!H$24:H$39,MATCH(Emissions!$D57,'Activity data'!$D$24:$D$39,0))*INDEX(EF!$H$84:$H$99,MATCH(Emissions!$D57,EF!$D$84:$D$99,0))*INDEX(EF!$H$100:$H$115,MATCH(Emissions!$D57,EF!$D$100:$D$115,0))*INDEX(EF!$H$116:$H$131,MATCH(Emissions!$D57,EF!$D$116:$D$131,0))*kgtoGg</f>
        <v>7.5442559859280678</v>
      </c>
      <c r="I57" s="22">
        <f>INDEX('Activity data'!I$24:I$39,MATCH(Emissions!$D57,'Activity data'!$D$24:$D$39,0))*INDEX(EF!$H$84:$H$99,MATCH(Emissions!$D57,EF!$D$84:$D$99,0))*INDEX(EF!$H$100:$H$115,MATCH(Emissions!$D57,EF!$D$100:$D$115,0))*INDEX(EF!$H$116:$H$131,MATCH(Emissions!$D57,EF!$D$116:$D$131,0))*kgtoGg</f>
        <v>7.5442559859280678</v>
      </c>
      <c r="J57" s="22">
        <f>INDEX('Activity data'!J$24:J$39,MATCH(Emissions!$D57,'Activity data'!$D$24:$D$39,0))*INDEX(EF!$H$84:$H$99,MATCH(Emissions!$D57,EF!$D$84:$D$99,0))*INDEX(EF!$H$100:$H$115,MATCH(Emissions!$D57,EF!$D$100:$D$115,0))*INDEX(EF!$H$116:$H$131,MATCH(Emissions!$D57,EF!$D$116:$D$131,0))*kgtoGg</f>
        <v>7.5442559859280678</v>
      </c>
      <c r="K57" s="22">
        <f>INDEX('Activity data'!K$24:K$39,MATCH(Emissions!$D57,'Activity data'!$D$24:$D$39,0))*INDEX(EF!$H$84:$H$99,MATCH(Emissions!$D57,EF!$D$84:$D$99,0))*INDEX(EF!$H$100:$H$115,MATCH(Emissions!$D57,EF!$D$100:$D$115,0))*INDEX(EF!$H$116:$H$131,MATCH(Emissions!$D57,EF!$D$116:$D$131,0))*kgtoGg</f>
        <v>7.5442559859280678</v>
      </c>
      <c r="L57" s="22">
        <f>INDEX('Activity data'!L$24:L$39,MATCH(Emissions!$D57,'Activity data'!$D$24:$D$39,0))*INDEX(EF!$H$84:$H$99,MATCH(Emissions!$D57,EF!$D$84:$D$99,0))*INDEX(EF!$H$100:$H$115,MATCH(Emissions!$D57,EF!$D$100:$D$115,0))*INDEX(EF!$H$116:$H$131,MATCH(Emissions!$D57,EF!$D$116:$D$131,0))*kgtoGg</f>
        <v>7.5442559859280678</v>
      </c>
      <c r="M57" s="22">
        <f>INDEX('Activity data'!M$24:M$39,MATCH(Emissions!$D57,'Activity data'!$D$24:$D$39,0))*INDEX(EF!$H$84:$H$99,MATCH(Emissions!$D57,EF!$D$84:$D$99,0))*INDEX(EF!$H$100:$H$115,MATCH(Emissions!$D57,EF!$D$100:$D$115,0))*INDEX(EF!$H$116:$H$131,MATCH(Emissions!$D57,EF!$D$116:$D$131,0))*kgtoGg</f>
        <v>7.5442559859280678</v>
      </c>
      <c r="N57" s="22">
        <f>INDEX('Activity data'!N$24:N$39,MATCH(Emissions!$D57,'Activity data'!$D$24:$D$39,0))*INDEX(EF!$H$84:$H$99,MATCH(Emissions!$D57,EF!$D$84:$D$99,0))*INDEX(EF!$H$100:$H$115,MATCH(Emissions!$D57,EF!$D$100:$D$115,0))*INDEX(EF!$H$116:$H$131,MATCH(Emissions!$D57,EF!$D$116:$D$131,0))*kgtoGg</f>
        <v>7.5442559859280678</v>
      </c>
      <c r="O57" s="22">
        <f>INDEX('Activity data'!O$24:O$39,MATCH(Emissions!$D57,'Activity data'!$D$24:$D$39,0))*INDEX(EF!$H$84:$H$99,MATCH(Emissions!$D57,EF!$D$84:$D$99,0))*INDEX(EF!$H$100:$H$115,MATCH(Emissions!$D57,EF!$D$100:$D$115,0))*INDEX(EF!$H$116:$H$131,MATCH(Emissions!$D57,EF!$D$116:$D$131,0))*kgtoGg</f>
        <v>7.5442559859280678</v>
      </c>
      <c r="P57" s="22">
        <f>INDEX('Activity data'!P$24:P$39,MATCH(Emissions!$D57,'Activity data'!$D$24:$D$39,0))*INDEX(EF!$H$84:$H$99,MATCH(Emissions!$D57,EF!$D$84:$D$99,0))*INDEX(EF!$H$100:$H$115,MATCH(Emissions!$D57,EF!$D$100:$D$115,0))*INDEX(EF!$H$116:$H$131,MATCH(Emissions!$D57,EF!$D$116:$D$131,0))*kgtoGg</f>
        <v>7.5442559859280678</v>
      </c>
      <c r="Q57" s="22">
        <f>INDEX('Activity data'!Q$24:Q$39,MATCH(Emissions!$D57,'Activity data'!$D$24:$D$39,0))*INDEX(EF!$H$84:$H$99,MATCH(Emissions!$D57,EF!$D$84:$D$99,0))*INDEX(EF!$H$100:$H$115,MATCH(Emissions!$D57,EF!$D$100:$D$115,0))*INDEX(EF!$H$116:$H$131,MATCH(Emissions!$D57,EF!$D$116:$D$131,0))*kgtoGg</f>
        <v>7.5442559859280678</v>
      </c>
      <c r="R57" s="22">
        <f>INDEX('Activity data'!R$24:R$39,MATCH(Emissions!$D57,'Activity data'!$D$24:$D$39,0))*INDEX(EF!$H$84:$H$99,MATCH(Emissions!$D57,EF!$D$84:$D$99,0))*INDEX(EF!$H$100:$H$115,MATCH(Emissions!$D57,EF!$D$100:$D$115,0))*INDEX(EF!$H$116:$H$131,MATCH(Emissions!$D57,EF!$D$116:$D$131,0))*kgtoGg</f>
        <v>6.8796151958231224</v>
      </c>
      <c r="S57" s="22">
        <f>INDEX('Activity data'!S$24:S$39,MATCH(Emissions!$D57,'Activity data'!$D$24:$D$39,0))*INDEX(EF!$H$84:$H$99,MATCH(Emissions!$D57,EF!$D$84:$D$99,0))*INDEX(EF!$H$100:$H$115,MATCH(Emissions!$D57,EF!$D$100:$D$115,0))*INDEX(EF!$H$116:$H$131,MATCH(Emissions!$D57,EF!$D$116:$D$131,0))*kgtoGg</f>
        <v>8.4683398914687142</v>
      </c>
      <c r="T57" s="22">
        <f>INDEX('Activity data'!T$24:T$39,MATCH(Emissions!$D57,'Activity data'!$D$24:$D$39,0))*INDEX(EF!$H$84:$H$99,MATCH(Emissions!$D57,EF!$D$84:$D$99,0))*INDEX(EF!$H$100:$H$115,MATCH(Emissions!$D57,EF!$D$100:$D$115,0))*INDEX(EF!$H$116:$H$131,MATCH(Emissions!$D57,EF!$D$116:$D$131,0))*kgtoGg</f>
        <v>7.561017760239924</v>
      </c>
      <c r="U57" s="22">
        <f>INDEX('Activity data'!U$24:U$39,MATCH(Emissions!$D57,'Activity data'!$D$24:$D$39,0))*INDEX(EF!$H$84:$H$99,MATCH(Emissions!$D57,EF!$D$84:$D$99,0))*INDEX(EF!$H$100:$H$115,MATCH(Emissions!$D57,EF!$D$100:$D$115,0))*INDEX(EF!$H$116:$H$131,MATCH(Emissions!$D57,EF!$D$116:$D$131,0))*kgtoGg</f>
        <v>8.7780683298399893</v>
      </c>
      <c r="V57" s="22">
        <f>INDEX('Activity data'!V$24:V$39,MATCH(Emissions!$D57,'Activity data'!$D$24:$D$39,0))*INDEX(EF!$H$84:$H$99,MATCH(Emissions!$D57,EF!$D$84:$D$99,0))*INDEX(EF!$H$100:$H$115,MATCH(Emissions!$D57,EF!$D$100:$D$115,0))*INDEX(EF!$H$116:$H$131,MATCH(Emissions!$D57,EF!$D$116:$D$131,0))*kgtoGg</f>
        <v>6.0342387522685863</v>
      </c>
      <c r="W57" s="22">
        <f>INDEX('Activity data'!W$24:W$39,MATCH(Emissions!$D57,'Activity data'!$D$24:$D$39,0))*INDEX(EF!$H$84:$H$99,MATCH(Emissions!$D57,EF!$D$84:$D$99,0))*INDEX(EF!$H$100:$H$115,MATCH(Emissions!$D57,EF!$D$100:$D$115,0))*INDEX(EF!$H$116:$H$131,MATCH(Emissions!$D57,EF!$D$116:$D$131,0))*kgtoGg</f>
        <v>8.8436578814950799</v>
      </c>
      <c r="X57" s="22">
        <f>INDEX('Activity data'!X$24:X$39,MATCH(Emissions!$D57,'Activity data'!$D$24:$D$39,0))*INDEX(EF!$H$84:$H$99,MATCH(Emissions!$D57,EF!$D$84:$D$99,0))*INDEX(EF!$H$100:$H$115,MATCH(Emissions!$D57,EF!$D$100:$D$115,0))*INDEX(EF!$H$116:$H$131,MATCH(Emissions!$D57,EF!$D$116:$D$131,0))*kgtoGg</f>
        <v>6.9124099716506668</v>
      </c>
      <c r="Y57" s="22">
        <f>INDEX('Activity data'!Y$24:Y$39,MATCH(Emissions!$D57,'Activity data'!$D$24:$D$39,0))*INDEX(EF!$H$84:$H$99,MATCH(Emissions!$D57,EF!$D$84:$D$99,0))*INDEX(EF!$H$100:$H$115,MATCH(Emissions!$D57,EF!$D$100:$D$115,0))*INDEX(EF!$H$116:$H$131,MATCH(Emissions!$D57,EF!$D$116:$D$131,0))*kgtoGg</f>
        <v>12.870127580321645</v>
      </c>
      <c r="Z57" s="22">
        <f>INDEX('Activity data'!Z$24:Z$39,MATCH(Emissions!$D57,'Activity data'!$D$24:$D$39,0))*INDEX(EF!$H$84:$H$99,MATCH(Emissions!$D57,EF!$D$84:$D$99,0))*INDEX(EF!$H$100:$H$115,MATCH(Emissions!$D57,EF!$D$100:$D$115,0))*INDEX(EF!$H$116:$H$131,MATCH(Emissions!$D57,EF!$D$116:$D$131,0))*kgtoGg</f>
        <v>8.3152976042734963</v>
      </c>
      <c r="AA57" s="22">
        <f>INDEX('Activity data'!AA$24:AA$39,MATCH(Emissions!$D57,'Activity data'!$D$24:$D$39,0))*INDEX(EF!$H$84:$H$99,MATCH(Emissions!$D57,EF!$D$84:$D$99,0))*INDEX(EF!$H$100:$H$115,MATCH(Emissions!$D57,EF!$D$100:$D$115,0))*INDEX(EF!$H$116:$H$131,MATCH(Emissions!$D57,EF!$D$116:$D$131,0))*kgtoGg</f>
        <v>7.0836715787500779</v>
      </c>
      <c r="AB57" s="22">
        <f>INDEX('Activity data'!AB$24:AB$39,MATCH(Emissions!$D57,'Activity data'!$D$24:$D$39,0))*INDEX(EF!$H$84:$H$99,MATCH(Emissions!$D57,EF!$D$84:$D$99,0))*INDEX(EF!$H$100:$H$115,MATCH(Emissions!$D57,EF!$D$100:$D$115,0))*INDEX(EF!$H$116:$H$131,MATCH(Emissions!$D57,EF!$D$116:$D$131,0))*kgtoGg</f>
        <v>5.9791970448000002</v>
      </c>
      <c r="AC57" s="22">
        <f>INDEX('Activity data'!AC$24:AC$39,MATCH(Emissions!$D57,'Activity data'!$D$24:$D$39,0))*INDEX(EF!$H$84:$H$99,MATCH(Emissions!$D57,EF!$D$84:$D$99,0))*INDEX(EF!$H$100:$H$115,MATCH(Emissions!$D57,EF!$D$100:$D$115,0))*INDEX(EF!$H$116:$H$131,MATCH(Emissions!$D57,EF!$D$116:$D$131,0))*kgtoGg</f>
        <v>6.8024024208</v>
      </c>
      <c r="AD57" s="22">
        <f>INDEX('Activity data'!AD$24:AD$39,MATCH(Emissions!$D57,'Activity data'!$D$24:$D$39,0))*INDEX(EF!$H$84:$H$99,MATCH(Emissions!$D57,EF!$D$84:$D$99,0))*INDEX(EF!$H$100:$H$115,MATCH(Emissions!$D57,EF!$D$100:$D$115,0))*INDEX(EF!$H$116:$H$131,MATCH(Emissions!$D57,EF!$D$116:$D$131,0))*kgtoGg</f>
        <v>2.098124981532016</v>
      </c>
      <c r="AE57" s="22">
        <f>INDEX('Activity data'!AE$24:AE$39,MATCH(Emissions!$D57,'Activity data'!$D$24:$D$39,0))*INDEX(EF!$H$84:$H$99,MATCH(Emissions!$D57,EF!$D$84:$D$99,0))*INDEX(EF!$H$100:$H$115,MATCH(Emissions!$D57,EF!$D$100:$D$115,0))*INDEX(EF!$H$116:$H$131,MATCH(Emissions!$D57,EF!$D$116:$D$131,0))*kgtoGg</f>
        <v>3.9454731415320157</v>
      </c>
      <c r="AF57" s="22">
        <f>INDEX('Activity data'!AF$24:AF$39,MATCH(Emissions!$D57,'Activity data'!$D$24:$D$39,0))*INDEX(EF!$H$84:$H$99,MATCH(Emissions!$D57,EF!$D$84:$D$99,0))*INDEX(EF!$H$100:$H$115,MATCH(Emissions!$D57,EF!$D$100:$D$115,0))*INDEX(EF!$H$116:$H$131,MATCH(Emissions!$D57,EF!$D$116:$D$131,0))*kgtoGg</f>
        <v>3.1857200215320161</v>
      </c>
      <c r="AG57" s="22">
        <f>INDEX('Activity data'!AG$24:AG$39,MATCH(Emissions!$D57,'Activity data'!$D$24:$D$39,0))*INDEX(EF!$H$84:$H$99,MATCH(Emissions!$D57,EF!$D$84:$D$99,0))*INDEX(EF!$H$100:$H$115,MATCH(Emissions!$D57,EF!$D$100:$D$115,0))*INDEX(EF!$H$116:$H$131,MATCH(Emissions!$D57,EF!$D$116:$D$131,0))*kgtoGg</f>
        <v>2.4712899415320164</v>
      </c>
      <c r="AH57" s="22">
        <f>INDEX('Activity data'!AH$24:AH$39,MATCH(Emissions!$D57,'Activity data'!$D$24:$D$39,0))*INDEX(EF!$H$84:$H$99,MATCH(Emissions!$D57,EF!$D$84:$D$99,0))*INDEX(EF!$H$100:$H$115,MATCH(Emissions!$D57,EF!$D$100:$D$115,0))*INDEX(EF!$H$116:$H$131,MATCH(Emissions!$D57,EF!$D$116:$D$131,0))*kgtoGg</f>
        <v>2.8281891415320159</v>
      </c>
      <c r="AI57" s="22">
        <f>INDEX('Activity data'!AI$24:AI$39,MATCH(Emissions!$D57,'Activity data'!$D$24:$D$39,0))*INDEX(EF!$H$84:$H$99,MATCH(Emissions!$D57,EF!$D$84:$D$99,0))*INDEX(EF!$H$100:$H$115,MATCH(Emissions!$D57,EF!$D$100:$D$115,0))*INDEX(EF!$H$116:$H$131,MATCH(Emissions!$D57,EF!$D$116:$D$131,0))*kgtoGg</f>
        <v>3.1318693015320158</v>
      </c>
      <c r="AJ57" s="22">
        <f>INDEX('Activity data'!AJ$24:AJ$39,MATCH(Emissions!$D57,'Activity data'!$D$24:$D$39,0))*INDEX(EF!$H$84:$H$99,MATCH(Emissions!$D57,EF!$D$84:$D$99,0))*INDEX(EF!$H$100:$H$115,MATCH(Emissions!$D57,EF!$D$100:$D$115,0))*INDEX(EF!$H$116:$H$131,MATCH(Emissions!$D57,EF!$D$116:$D$131,0))*kgtoGg</f>
        <v>3.1318693015320158</v>
      </c>
      <c r="AK57" s="22">
        <f>INDEX('Activity data'!AK$24:AK$39,MATCH(Emissions!$D57,'Activity data'!$D$24:$D$39,0))*INDEX(EF!$H$84:$H$99,MATCH(Emissions!$D57,EF!$D$84:$D$99,0))*INDEX(EF!$H$100:$H$115,MATCH(Emissions!$D57,EF!$D$100:$D$115,0))*INDEX(EF!$H$116:$H$131,MATCH(Emissions!$D57,EF!$D$116:$D$131,0))*kgtoGg</f>
        <v>3.1454659408897232</v>
      </c>
      <c r="AL57" s="22">
        <f>INDEX('Activity data'!AL$24:AL$39,MATCH(Emissions!$D57,'Activity data'!$D$24:$D$39,0))*INDEX(EF!$H$84:$H$99,MATCH(Emissions!$D57,EF!$D$84:$D$99,0))*INDEX(EF!$H$100:$H$115,MATCH(Emissions!$D57,EF!$D$100:$D$115,0))*INDEX(EF!$H$116:$H$131,MATCH(Emissions!$D57,EF!$D$116:$D$131,0))*kgtoGg</f>
        <v>3.1590625802474293</v>
      </c>
      <c r="AM57" s="22">
        <f>INDEX('Activity data'!AM$24:AM$39,MATCH(Emissions!$D57,'Activity data'!$D$24:$D$39,0))*INDEX(EF!$H$84:$H$99,MATCH(Emissions!$D57,EF!$D$84:$D$99,0))*INDEX(EF!$H$100:$H$115,MATCH(Emissions!$D57,EF!$D$100:$D$115,0))*INDEX(EF!$H$116:$H$131,MATCH(Emissions!$D57,EF!$D$116:$D$131,0))*kgtoGg</f>
        <v>3.1726592196051362</v>
      </c>
      <c r="AN57" s="22">
        <f>INDEX('Activity data'!AN$24:AN$39,MATCH(Emissions!$D57,'Activity data'!$D$24:$D$39,0))*INDEX(EF!$H$84:$H$99,MATCH(Emissions!$D57,EF!$D$84:$D$99,0))*INDEX(EF!$H$100:$H$115,MATCH(Emissions!$D57,EF!$D$100:$D$115,0))*INDEX(EF!$H$116:$H$131,MATCH(Emissions!$D57,EF!$D$116:$D$131,0))*kgtoGg</f>
        <v>3.1862558589628427</v>
      </c>
      <c r="AO57" s="22">
        <f>INDEX('Activity data'!AO$24:AO$39,MATCH(Emissions!$D57,'Activity data'!$D$24:$D$39,0))*INDEX(EF!$H$84:$H$99,MATCH(Emissions!$D57,EF!$D$84:$D$99,0))*INDEX(EF!$H$100:$H$115,MATCH(Emissions!$D57,EF!$D$100:$D$115,0))*INDEX(EF!$H$116:$H$131,MATCH(Emissions!$D57,EF!$D$116:$D$131,0))*kgtoGg</f>
        <v>3.1998524983205496</v>
      </c>
      <c r="AP57" s="22">
        <f>INDEX('Activity data'!AP$24:AP$39,MATCH(Emissions!$D57,'Activity data'!$D$24:$D$39,0))*INDEX(EF!$H$84:$H$99,MATCH(Emissions!$D57,EF!$D$84:$D$99,0))*INDEX(EF!$H$100:$H$115,MATCH(Emissions!$D57,EF!$D$100:$D$115,0))*INDEX(EF!$H$116:$H$131,MATCH(Emissions!$D57,EF!$D$116:$D$131,0))*kgtoGg</f>
        <v>3.2134491376782566</v>
      </c>
      <c r="AQ57" s="22">
        <f>INDEX('Activity data'!AQ$24:AQ$39,MATCH(Emissions!$D57,'Activity data'!$D$24:$D$39,0))*INDEX(EF!$H$84:$H$99,MATCH(Emissions!$D57,EF!$D$84:$D$99,0))*INDEX(EF!$H$100:$H$115,MATCH(Emissions!$D57,EF!$D$100:$D$115,0))*INDEX(EF!$H$116:$H$131,MATCH(Emissions!$D57,EF!$D$116:$D$131,0))*kgtoGg</f>
        <v>3.2270457770359631</v>
      </c>
      <c r="AR57" s="22">
        <f>INDEX('Activity data'!AR$24:AR$39,MATCH(Emissions!$D57,'Activity data'!$D$24:$D$39,0))*INDEX(EF!$H$84:$H$99,MATCH(Emissions!$D57,EF!$D$84:$D$99,0))*INDEX(EF!$H$100:$H$115,MATCH(Emissions!$D57,EF!$D$100:$D$115,0))*INDEX(EF!$H$116:$H$131,MATCH(Emissions!$D57,EF!$D$116:$D$131,0))*kgtoGg</f>
        <v>3.24064241639367</v>
      </c>
      <c r="AS57" s="22">
        <f>INDEX('Activity data'!AS$24:AS$39,MATCH(Emissions!$D57,'Activity data'!$D$24:$D$39,0))*INDEX(EF!$H$84:$H$99,MATCH(Emissions!$D57,EF!$D$84:$D$99,0))*INDEX(EF!$H$100:$H$115,MATCH(Emissions!$D57,EF!$D$100:$D$115,0))*INDEX(EF!$H$116:$H$131,MATCH(Emissions!$D57,EF!$D$116:$D$131,0))*kgtoGg</f>
        <v>3.2542390557513761</v>
      </c>
      <c r="AT57" s="22">
        <f>INDEX('Activity data'!AT$24:AT$39,MATCH(Emissions!$D57,'Activity data'!$D$24:$D$39,0))*INDEX(EF!$H$84:$H$99,MATCH(Emissions!$D57,EF!$D$84:$D$99,0))*INDEX(EF!$H$100:$H$115,MATCH(Emissions!$D57,EF!$D$100:$D$115,0))*INDEX(EF!$H$116:$H$131,MATCH(Emissions!$D57,EF!$D$116:$D$131,0))*kgtoGg</f>
        <v>3.267835695109083</v>
      </c>
      <c r="AU57" s="22">
        <f>INDEX('Activity data'!AU$24:AU$39,MATCH(Emissions!$D57,'Activity data'!$D$24:$D$39,0))*INDEX(EF!$H$84:$H$99,MATCH(Emissions!$D57,EF!$D$84:$D$99,0))*INDEX(EF!$H$100:$H$115,MATCH(Emissions!$D57,EF!$D$100:$D$115,0))*INDEX(EF!$H$116:$H$131,MATCH(Emissions!$D57,EF!$D$116:$D$131,0))*kgtoGg</f>
        <v>3.2814323344667895</v>
      </c>
      <c r="AV57" s="22">
        <f>INDEX('Activity data'!AV$24:AV$39,MATCH(Emissions!$D57,'Activity data'!$D$24:$D$39,0))*INDEX(EF!$H$84:$H$99,MATCH(Emissions!$D57,EF!$D$84:$D$99,0))*INDEX(EF!$H$100:$H$115,MATCH(Emissions!$D57,EF!$D$100:$D$115,0))*INDEX(EF!$H$116:$H$131,MATCH(Emissions!$D57,EF!$D$116:$D$131,0))*kgtoGg</f>
        <v>3.2950289738244969</v>
      </c>
      <c r="AW57" s="22">
        <f>INDEX('Activity data'!AW$24:AW$39,MATCH(Emissions!$D57,'Activity data'!$D$24:$D$39,0))*INDEX(EF!$H$84:$H$99,MATCH(Emissions!$D57,EF!$D$84:$D$99,0))*INDEX(EF!$H$100:$H$115,MATCH(Emissions!$D57,EF!$D$100:$D$115,0))*INDEX(EF!$H$116:$H$131,MATCH(Emissions!$D57,EF!$D$116:$D$131,0))*kgtoGg</f>
        <v>3.2950289738244969</v>
      </c>
      <c r="AX57" s="22">
        <f>INDEX('Activity data'!AX$24:AX$39,MATCH(Emissions!$D57,'Activity data'!$D$24:$D$39,0))*INDEX(EF!$H$84:$H$99,MATCH(Emissions!$D57,EF!$D$84:$D$99,0))*INDEX(EF!$H$100:$H$115,MATCH(Emissions!$D57,EF!$D$100:$D$115,0))*INDEX(EF!$H$116:$H$131,MATCH(Emissions!$D57,EF!$D$116:$D$131,0))*kgtoGg</f>
        <v>3.2950289738244969</v>
      </c>
      <c r="AY57" s="22">
        <f>INDEX('Activity data'!AY$24:AY$39,MATCH(Emissions!$D57,'Activity data'!$D$24:$D$39,0))*INDEX(EF!$H$84:$H$99,MATCH(Emissions!$D57,EF!$D$84:$D$99,0))*INDEX(EF!$H$100:$H$115,MATCH(Emissions!$D57,EF!$D$100:$D$115,0))*INDEX(EF!$H$116:$H$131,MATCH(Emissions!$D57,EF!$D$116:$D$131,0))*kgtoGg</f>
        <v>3.2950289738244969</v>
      </c>
      <c r="AZ57" s="22">
        <f>INDEX('Activity data'!AZ$24:AZ$39,MATCH(Emissions!$D57,'Activity data'!$D$24:$D$39,0))*INDEX(EF!$H$84:$H$99,MATCH(Emissions!$D57,EF!$D$84:$D$99,0))*INDEX(EF!$H$100:$H$115,MATCH(Emissions!$D57,EF!$D$100:$D$115,0))*INDEX(EF!$H$116:$H$131,MATCH(Emissions!$D57,EF!$D$116:$D$131,0))*kgtoGg</f>
        <v>3.2950289738244969</v>
      </c>
      <c r="BA57" s="22">
        <f>INDEX('Activity data'!BA$24:BA$39,MATCH(Emissions!$D57,'Activity data'!$D$24:$D$39,0))*INDEX(EF!$H$84:$H$99,MATCH(Emissions!$D57,EF!$D$84:$D$99,0))*INDEX(EF!$H$100:$H$115,MATCH(Emissions!$D57,EF!$D$100:$D$115,0))*INDEX(EF!$H$116:$H$131,MATCH(Emissions!$D57,EF!$D$116:$D$131,0))*kgtoGg</f>
        <v>3.2950289738244969</v>
      </c>
      <c r="BB57" s="22">
        <f>INDEX('Activity data'!BB$24:BB$39,MATCH(Emissions!$D57,'Activity data'!$D$24:$D$39,0))*INDEX(EF!$H$84:$H$99,MATCH(Emissions!$D57,EF!$D$84:$D$99,0))*INDEX(EF!$H$100:$H$115,MATCH(Emissions!$D57,EF!$D$100:$D$115,0))*INDEX(EF!$H$116:$H$131,MATCH(Emissions!$D57,EF!$D$116:$D$131,0))*kgtoGg</f>
        <v>3.2950289738244969</v>
      </c>
      <c r="BC57" s="22">
        <f>INDEX('Activity data'!BC$24:BC$39,MATCH(Emissions!$D57,'Activity data'!$D$24:$D$39,0))*INDEX(EF!$H$84:$H$99,MATCH(Emissions!$D57,EF!$D$84:$D$99,0))*INDEX(EF!$H$100:$H$115,MATCH(Emissions!$D57,EF!$D$100:$D$115,0))*INDEX(EF!$H$116:$H$131,MATCH(Emissions!$D57,EF!$D$116:$D$131,0))*kgtoGg</f>
        <v>3.2950289738244969</v>
      </c>
      <c r="BD57" s="22">
        <f>INDEX('Activity data'!BD$24:BD$39,MATCH(Emissions!$D57,'Activity data'!$D$24:$D$39,0))*INDEX(EF!$H$84:$H$99,MATCH(Emissions!$D57,EF!$D$84:$D$99,0))*INDEX(EF!$H$100:$H$115,MATCH(Emissions!$D57,EF!$D$100:$D$115,0))*INDEX(EF!$H$116:$H$131,MATCH(Emissions!$D57,EF!$D$116:$D$131,0))*kgtoGg</f>
        <v>3.2950289738244969</v>
      </c>
      <c r="BE57" s="22">
        <f>INDEX('Activity data'!BE$24:BE$39,MATCH(Emissions!$D57,'Activity data'!$D$24:$D$39,0))*INDEX(EF!$H$84:$H$99,MATCH(Emissions!$D57,EF!$D$84:$D$99,0))*INDEX(EF!$H$100:$H$115,MATCH(Emissions!$D57,EF!$D$100:$D$115,0))*INDEX(EF!$H$116:$H$131,MATCH(Emissions!$D57,EF!$D$116:$D$131,0))*kgtoGg</f>
        <v>3.2814323344667895</v>
      </c>
      <c r="BF57" s="22">
        <f>INDEX('Activity data'!BF$24:BF$39,MATCH(Emissions!$D57,'Activity data'!$D$24:$D$39,0))*INDEX(EF!$H$84:$H$99,MATCH(Emissions!$D57,EF!$D$84:$D$99,0))*INDEX(EF!$H$100:$H$115,MATCH(Emissions!$D57,EF!$D$100:$D$115,0))*INDEX(EF!$H$116:$H$131,MATCH(Emissions!$D57,EF!$D$116:$D$131,0))*kgtoGg</f>
        <v>3.267835695109083</v>
      </c>
      <c r="BG57" s="22">
        <f>INDEX('Activity data'!BG$24:BG$39,MATCH(Emissions!$D57,'Activity data'!$D$24:$D$39,0))*INDEX(EF!$H$84:$H$99,MATCH(Emissions!$D57,EF!$D$84:$D$99,0))*INDEX(EF!$H$100:$H$115,MATCH(Emissions!$D57,EF!$D$100:$D$115,0))*INDEX(EF!$H$116:$H$131,MATCH(Emissions!$D57,EF!$D$116:$D$131,0))*kgtoGg</f>
        <v>3.2542390557513761</v>
      </c>
      <c r="BH57" s="22">
        <f>INDEX('Activity data'!BH$24:BH$39,MATCH(Emissions!$D57,'Activity data'!$D$24:$D$39,0))*INDEX(EF!$H$84:$H$99,MATCH(Emissions!$D57,EF!$D$84:$D$99,0))*INDEX(EF!$H$100:$H$115,MATCH(Emissions!$D57,EF!$D$100:$D$115,0))*INDEX(EF!$H$116:$H$131,MATCH(Emissions!$D57,EF!$D$116:$D$131,0))*kgtoGg</f>
        <v>3.24064241639367</v>
      </c>
      <c r="BI57" s="22">
        <f>INDEX('Activity data'!BI$24:BI$39,MATCH(Emissions!$D57,'Activity data'!$D$24:$D$39,0))*INDEX(EF!$H$84:$H$99,MATCH(Emissions!$D57,EF!$D$84:$D$99,0))*INDEX(EF!$H$100:$H$115,MATCH(Emissions!$D57,EF!$D$100:$D$115,0))*INDEX(EF!$H$116:$H$131,MATCH(Emissions!$D57,EF!$D$116:$D$131,0))*kgtoGg</f>
        <v>3.2270457770359631</v>
      </c>
      <c r="BJ57" s="22">
        <f>INDEX('Activity data'!BJ$24:BJ$39,MATCH(Emissions!$D57,'Activity data'!$D$24:$D$39,0))*INDEX(EF!$H$84:$H$99,MATCH(Emissions!$D57,EF!$D$84:$D$99,0))*INDEX(EF!$H$100:$H$115,MATCH(Emissions!$D57,EF!$D$100:$D$115,0))*INDEX(EF!$H$116:$H$131,MATCH(Emissions!$D57,EF!$D$116:$D$131,0))*kgtoGg</f>
        <v>3.2134491376782566</v>
      </c>
      <c r="BK57" s="22">
        <f>INDEX('Activity data'!BK$24:BK$39,MATCH(Emissions!$D57,'Activity data'!$D$24:$D$39,0))*INDEX(EF!$H$84:$H$99,MATCH(Emissions!$D57,EF!$D$84:$D$99,0))*INDEX(EF!$H$100:$H$115,MATCH(Emissions!$D57,EF!$D$100:$D$115,0))*INDEX(EF!$H$116:$H$131,MATCH(Emissions!$D57,EF!$D$116:$D$131,0))*kgtoGg</f>
        <v>3.1998524983205496</v>
      </c>
      <c r="BL57" s="22">
        <f>INDEX('Activity data'!BL$24:BL$39,MATCH(Emissions!$D57,'Activity data'!$D$24:$D$39,0))*INDEX(EF!$H$84:$H$99,MATCH(Emissions!$D57,EF!$D$84:$D$99,0))*INDEX(EF!$H$100:$H$115,MATCH(Emissions!$D57,EF!$D$100:$D$115,0))*INDEX(EF!$H$116:$H$131,MATCH(Emissions!$D57,EF!$D$116:$D$131,0))*kgtoGg</f>
        <v>3.1862558589628427</v>
      </c>
      <c r="BM57" s="22">
        <f>INDEX('Activity data'!BM$24:BM$39,MATCH(Emissions!$D57,'Activity data'!$D$24:$D$39,0))*INDEX(EF!$H$84:$H$99,MATCH(Emissions!$D57,EF!$D$84:$D$99,0))*INDEX(EF!$H$100:$H$115,MATCH(Emissions!$D57,EF!$D$100:$D$115,0))*INDEX(EF!$H$116:$H$131,MATCH(Emissions!$D57,EF!$D$116:$D$131,0))*kgtoGg</f>
        <v>3.1726592196051362</v>
      </c>
      <c r="BN57" s="22">
        <f>INDEX('Activity data'!BN$24:BN$39,MATCH(Emissions!$D57,'Activity data'!$D$24:$D$39,0))*INDEX(EF!$H$84:$H$99,MATCH(Emissions!$D57,EF!$D$84:$D$99,0))*INDEX(EF!$H$100:$H$115,MATCH(Emissions!$D57,EF!$D$100:$D$115,0))*INDEX(EF!$H$116:$H$131,MATCH(Emissions!$D57,EF!$D$116:$D$131,0))*kgtoGg</f>
        <v>3.1590625802474293</v>
      </c>
      <c r="BO57" s="22">
        <f>INDEX('Activity data'!BO$24:BO$39,MATCH(Emissions!$D57,'Activity data'!$D$24:$D$39,0))*INDEX(EF!$H$84:$H$99,MATCH(Emissions!$D57,EF!$D$84:$D$99,0))*INDEX(EF!$H$100:$H$115,MATCH(Emissions!$D57,EF!$D$100:$D$115,0))*INDEX(EF!$H$116:$H$131,MATCH(Emissions!$D57,EF!$D$116:$D$131,0))*kgtoGg</f>
        <v>3.1454659408897232</v>
      </c>
      <c r="BP57" s="22">
        <f>INDEX('Activity data'!BP$24:BP$39,MATCH(Emissions!$D57,'Activity data'!$D$24:$D$39,0))*INDEX(EF!$H$84:$H$99,MATCH(Emissions!$D57,EF!$D$84:$D$99,0))*INDEX(EF!$H$100:$H$115,MATCH(Emissions!$D57,EF!$D$100:$D$115,0))*INDEX(EF!$H$116:$H$131,MATCH(Emissions!$D57,EF!$D$116:$D$131,0))*kgtoGg</f>
        <v>3.1318693015320158</v>
      </c>
    </row>
    <row r="58" spans="1:68" x14ac:dyDescent="0.25">
      <c r="A58" t="str">
        <f t="shared" si="13"/>
        <v>3C Aggregated and non-CO2 emissions on land</v>
      </c>
      <c r="B58" t="str">
        <f t="shared" si="14"/>
        <v>3C1 Biomass burning (CH4)</v>
      </c>
      <c r="C58" t="str">
        <f>'IPCC Categories'!C60</f>
        <v>3C1b Biomass burning in Croplands</v>
      </c>
      <c r="D58" t="str">
        <f>EF!D88</f>
        <v>Annual non-pivot</v>
      </c>
      <c r="E58" t="s">
        <v>645</v>
      </c>
      <c r="F58" t="str">
        <f t="shared" si="16"/>
        <v>CH4</v>
      </c>
      <c r="G58" t="str">
        <f t="shared" si="17"/>
        <v>Gg CH4</v>
      </c>
      <c r="H58" s="22">
        <f>INDEX('Activity data'!H$24:H$39,MATCH(Emissions!$D58,'Activity data'!$D$24:$D$39,0))*INDEX(EF!$H$84:$H$99,MATCH(Emissions!$D58,EF!$D$84:$D$99,0))*INDEX(EF!$H$100:$H$115,MATCH(Emissions!$D58,EF!$D$100:$D$115,0))*INDEX(EF!$H$116:$H$131,MATCH(Emissions!$D58,EF!$D$116:$D$131,0))*kgtoGg</f>
        <v>0.56789038673711778</v>
      </c>
      <c r="I58" s="22">
        <f>INDEX('Activity data'!I$24:I$39,MATCH(Emissions!$D58,'Activity data'!$D$24:$D$39,0))*INDEX(EF!$H$84:$H$99,MATCH(Emissions!$D58,EF!$D$84:$D$99,0))*INDEX(EF!$H$100:$H$115,MATCH(Emissions!$D58,EF!$D$100:$D$115,0))*INDEX(EF!$H$116:$H$131,MATCH(Emissions!$D58,EF!$D$116:$D$131,0))*kgtoGg</f>
        <v>0.56789038673711778</v>
      </c>
      <c r="J58" s="22">
        <f>INDEX('Activity data'!J$24:J$39,MATCH(Emissions!$D58,'Activity data'!$D$24:$D$39,0))*INDEX(EF!$H$84:$H$99,MATCH(Emissions!$D58,EF!$D$84:$D$99,0))*INDEX(EF!$H$100:$H$115,MATCH(Emissions!$D58,EF!$D$100:$D$115,0))*INDEX(EF!$H$116:$H$131,MATCH(Emissions!$D58,EF!$D$116:$D$131,0))*kgtoGg</f>
        <v>0.56789038673711778</v>
      </c>
      <c r="K58" s="22">
        <f>INDEX('Activity data'!K$24:K$39,MATCH(Emissions!$D58,'Activity data'!$D$24:$D$39,0))*INDEX(EF!$H$84:$H$99,MATCH(Emissions!$D58,EF!$D$84:$D$99,0))*INDEX(EF!$H$100:$H$115,MATCH(Emissions!$D58,EF!$D$100:$D$115,0))*INDEX(EF!$H$116:$H$131,MATCH(Emissions!$D58,EF!$D$116:$D$131,0))*kgtoGg</f>
        <v>0.56789038673711778</v>
      </c>
      <c r="L58" s="22">
        <f>INDEX('Activity data'!L$24:L$39,MATCH(Emissions!$D58,'Activity data'!$D$24:$D$39,0))*INDEX(EF!$H$84:$H$99,MATCH(Emissions!$D58,EF!$D$84:$D$99,0))*INDEX(EF!$H$100:$H$115,MATCH(Emissions!$D58,EF!$D$100:$D$115,0))*INDEX(EF!$H$116:$H$131,MATCH(Emissions!$D58,EF!$D$116:$D$131,0))*kgtoGg</f>
        <v>0.56789038673711778</v>
      </c>
      <c r="M58" s="22">
        <f>INDEX('Activity data'!M$24:M$39,MATCH(Emissions!$D58,'Activity data'!$D$24:$D$39,0))*INDEX(EF!$H$84:$H$99,MATCH(Emissions!$D58,EF!$D$84:$D$99,0))*INDEX(EF!$H$100:$H$115,MATCH(Emissions!$D58,EF!$D$100:$D$115,0))*INDEX(EF!$H$116:$H$131,MATCH(Emissions!$D58,EF!$D$116:$D$131,0))*kgtoGg</f>
        <v>0.56789038673711778</v>
      </c>
      <c r="N58" s="22">
        <f>INDEX('Activity data'!N$24:N$39,MATCH(Emissions!$D58,'Activity data'!$D$24:$D$39,0))*INDEX(EF!$H$84:$H$99,MATCH(Emissions!$D58,EF!$D$84:$D$99,0))*INDEX(EF!$H$100:$H$115,MATCH(Emissions!$D58,EF!$D$100:$D$115,0))*INDEX(EF!$H$116:$H$131,MATCH(Emissions!$D58,EF!$D$116:$D$131,0))*kgtoGg</f>
        <v>0.56789038673711778</v>
      </c>
      <c r="O58" s="22">
        <f>INDEX('Activity data'!O$24:O$39,MATCH(Emissions!$D58,'Activity data'!$D$24:$D$39,0))*INDEX(EF!$H$84:$H$99,MATCH(Emissions!$D58,EF!$D$84:$D$99,0))*INDEX(EF!$H$100:$H$115,MATCH(Emissions!$D58,EF!$D$100:$D$115,0))*INDEX(EF!$H$116:$H$131,MATCH(Emissions!$D58,EF!$D$116:$D$131,0))*kgtoGg</f>
        <v>0.56789038673711778</v>
      </c>
      <c r="P58" s="22">
        <f>INDEX('Activity data'!P$24:P$39,MATCH(Emissions!$D58,'Activity data'!$D$24:$D$39,0))*INDEX(EF!$H$84:$H$99,MATCH(Emissions!$D58,EF!$D$84:$D$99,0))*INDEX(EF!$H$100:$H$115,MATCH(Emissions!$D58,EF!$D$100:$D$115,0))*INDEX(EF!$H$116:$H$131,MATCH(Emissions!$D58,EF!$D$116:$D$131,0))*kgtoGg</f>
        <v>0.56789038673711778</v>
      </c>
      <c r="Q58" s="22">
        <f>INDEX('Activity data'!Q$24:Q$39,MATCH(Emissions!$D58,'Activity data'!$D$24:$D$39,0))*INDEX(EF!$H$84:$H$99,MATCH(Emissions!$D58,EF!$D$84:$D$99,0))*INDEX(EF!$H$100:$H$115,MATCH(Emissions!$D58,EF!$D$100:$D$115,0))*INDEX(EF!$H$116:$H$131,MATCH(Emissions!$D58,EF!$D$116:$D$131,0))*kgtoGg</f>
        <v>0.56789038673711778</v>
      </c>
      <c r="R58" s="22">
        <f>INDEX('Activity data'!R$24:R$39,MATCH(Emissions!$D58,'Activity data'!$D$24:$D$39,0))*INDEX(EF!$H$84:$H$99,MATCH(Emissions!$D58,EF!$D$84:$D$99,0))*INDEX(EF!$H$100:$H$115,MATCH(Emissions!$D58,EF!$D$100:$D$115,0))*INDEX(EF!$H$116:$H$131,MATCH(Emissions!$D58,EF!$D$116:$D$131,0))*kgtoGg</f>
        <v>0.57739738292116727</v>
      </c>
      <c r="S58" s="22">
        <f>INDEX('Activity data'!S$24:S$39,MATCH(Emissions!$D58,'Activity data'!$D$24:$D$39,0))*INDEX(EF!$H$84:$H$99,MATCH(Emissions!$D58,EF!$D$84:$D$99,0))*INDEX(EF!$H$100:$H$115,MATCH(Emissions!$D58,EF!$D$100:$D$115,0))*INDEX(EF!$H$116:$H$131,MATCH(Emissions!$D58,EF!$D$116:$D$131,0))*kgtoGg</f>
        <v>0.45049206688637894</v>
      </c>
      <c r="T58" s="22">
        <f>INDEX('Activity data'!T$24:T$39,MATCH(Emissions!$D58,'Activity data'!$D$24:$D$39,0))*INDEX(EF!$H$84:$H$99,MATCH(Emissions!$D58,EF!$D$84:$D$99,0))*INDEX(EF!$H$100:$H$115,MATCH(Emissions!$D58,EF!$D$100:$D$115,0))*INDEX(EF!$H$116:$H$131,MATCH(Emissions!$D58,EF!$D$116:$D$131,0))*kgtoGg</f>
        <v>0.58568329702653155</v>
      </c>
      <c r="U58" s="22">
        <f>INDEX('Activity data'!U$24:U$39,MATCH(Emissions!$D58,'Activity data'!$D$24:$D$39,0))*INDEX(EF!$H$84:$H$99,MATCH(Emissions!$D58,EF!$D$84:$D$99,0))*INDEX(EF!$H$100:$H$115,MATCH(Emissions!$D58,EF!$D$100:$D$115,0))*INDEX(EF!$H$116:$H$131,MATCH(Emissions!$D58,EF!$D$116:$D$131,0))*kgtoGg</f>
        <v>0.54250932353016013</v>
      </c>
      <c r="V58" s="22">
        <f>INDEX('Activity data'!V$24:V$39,MATCH(Emissions!$D58,'Activity data'!$D$24:$D$39,0))*INDEX(EF!$H$84:$H$99,MATCH(Emissions!$D58,EF!$D$84:$D$99,0))*INDEX(EF!$H$100:$H$115,MATCH(Emissions!$D58,EF!$D$100:$D$115,0))*INDEX(EF!$H$116:$H$131,MATCH(Emissions!$D58,EF!$D$116:$D$131,0))*kgtoGg</f>
        <v>0.68336986332135119</v>
      </c>
      <c r="W58" s="22">
        <f>INDEX('Activity data'!W$24:W$39,MATCH(Emissions!$D58,'Activity data'!$D$24:$D$39,0))*INDEX(EF!$H$84:$H$99,MATCH(Emissions!$D58,EF!$D$84:$D$99,0))*INDEX(EF!$H$100:$H$115,MATCH(Emissions!$D58,EF!$D$100:$D$115,0))*INDEX(EF!$H$116:$H$131,MATCH(Emissions!$D58,EF!$D$116:$D$131,0))*kgtoGg</f>
        <v>0.75052937764903993</v>
      </c>
      <c r="X58" s="22">
        <f>INDEX('Activity data'!X$24:X$39,MATCH(Emissions!$D58,'Activity data'!$D$24:$D$39,0))*INDEX(EF!$H$84:$H$99,MATCH(Emissions!$D58,EF!$D$84:$D$99,0))*INDEX(EF!$H$100:$H$115,MATCH(Emissions!$D58,EF!$D$100:$D$115,0))*INDEX(EF!$H$116:$H$131,MATCH(Emissions!$D58,EF!$D$116:$D$131,0))*kgtoGg</f>
        <v>0.5625699576799893</v>
      </c>
      <c r="Y58" s="22">
        <f>INDEX('Activity data'!Y$24:Y$39,MATCH(Emissions!$D58,'Activity data'!$D$24:$D$39,0))*INDEX(EF!$H$84:$H$99,MATCH(Emissions!$D58,EF!$D$84:$D$99,0))*INDEX(EF!$H$100:$H$115,MATCH(Emissions!$D58,EF!$D$100:$D$115,0))*INDEX(EF!$H$116:$H$131,MATCH(Emissions!$D58,EF!$D$116:$D$131,0))*kgtoGg</f>
        <v>0.56431436064953955</v>
      </c>
      <c r="Z58" s="22">
        <f>INDEX('Activity data'!Z$24:Z$39,MATCH(Emissions!$D58,'Activity data'!$D$24:$D$39,0))*INDEX(EF!$H$84:$H$99,MATCH(Emissions!$D58,EF!$D$84:$D$99,0))*INDEX(EF!$H$100:$H$115,MATCH(Emissions!$D58,EF!$D$100:$D$115,0))*INDEX(EF!$H$116:$H$131,MATCH(Emissions!$D58,EF!$D$116:$D$131,0))*kgtoGg</f>
        <v>0.39859607854225587</v>
      </c>
      <c r="AA58" s="22">
        <f>INDEX('Activity data'!AA$24:AA$39,MATCH(Emissions!$D58,'Activity data'!$D$24:$D$39,0))*INDEX(EF!$H$84:$H$99,MATCH(Emissions!$D58,EF!$D$84:$D$99,0))*INDEX(EF!$H$100:$H$115,MATCH(Emissions!$D58,EF!$D$100:$D$115,0))*INDEX(EF!$H$116:$H$131,MATCH(Emissions!$D58,EF!$D$116:$D$131,0))*kgtoGg</f>
        <v>0.41385960452582149</v>
      </c>
      <c r="AB58" s="22">
        <f>INDEX('Activity data'!AB$24:AB$39,MATCH(Emissions!$D58,'Activity data'!$D$24:$D$39,0))*INDEX(EF!$H$84:$H$99,MATCH(Emissions!$D58,EF!$D$84:$D$99,0))*INDEX(EF!$H$100:$H$115,MATCH(Emissions!$D58,EF!$D$100:$D$115,0))*INDEX(EF!$H$116:$H$131,MATCH(Emissions!$D58,EF!$D$116:$D$131,0))*kgtoGg</f>
        <v>0.58478679</v>
      </c>
      <c r="AC58" s="22">
        <f>INDEX('Activity data'!AC$24:AC$39,MATCH(Emissions!$D58,'Activity data'!$D$24:$D$39,0))*INDEX(EF!$H$84:$H$99,MATCH(Emissions!$D58,EF!$D$84:$D$99,0))*INDEX(EF!$H$100:$H$115,MATCH(Emissions!$D58,EF!$D$100:$D$115,0))*INDEX(EF!$H$116:$H$131,MATCH(Emissions!$D58,EF!$D$116:$D$131,0))*kgtoGg</f>
        <v>0.584370045</v>
      </c>
      <c r="AD58" s="22">
        <f>INDEX('Activity data'!AD$24:AD$39,MATCH(Emissions!$D58,'Activity data'!$D$24:$D$39,0))*INDEX(EF!$H$84:$H$99,MATCH(Emissions!$D58,EF!$D$84:$D$99,0))*INDEX(EF!$H$100:$H$115,MATCH(Emissions!$D58,EF!$D$100:$D$115,0))*INDEX(EF!$H$116:$H$131,MATCH(Emissions!$D58,EF!$D$116:$D$131,0))*kgtoGg</f>
        <v>6.2297189589909543</v>
      </c>
      <c r="AE58" s="22">
        <f>INDEX('Activity data'!AE$24:AE$39,MATCH(Emissions!$D58,'Activity data'!$D$24:$D$39,0))*INDEX(EF!$H$84:$H$99,MATCH(Emissions!$D58,EF!$D$84:$D$99,0))*INDEX(EF!$H$100:$H$115,MATCH(Emissions!$D58,EF!$D$100:$D$115,0))*INDEX(EF!$H$116:$H$131,MATCH(Emissions!$D58,EF!$D$116:$D$131,0))*kgtoGg</f>
        <v>6.2126409419483526</v>
      </c>
      <c r="AF58" s="22">
        <f>INDEX('Activity data'!AF$24:AF$39,MATCH(Emissions!$D58,'Activity data'!$D$24:$D$39,0))*INDEX(EF!$H$84:$H$99,MATCH(Emissions!$D58,EF!$D$84:$D$99,0))*INDEX(EF!$H$100:$H$115,MATCH(Emissions!$D58,EF!$D$100:$D$115,0))*INDEX(EF!$H$116:$H$131,MATCH(Emissions!$D58,EF!$D$116:$D$131,0))*kgtoGg</f>
        <v>6.1955629249057527</v>
      </c>
      <c r="AG58" s="22">
        <f>INDEX('Activity data'!AG$24:AG$39,MATCH(Emissions!$D58,'Activity data'!$D$24:$D$39,0))*INDEX(EF!$H$84:$H$99,MATCH(Emissions!$D58,EF!$D$84:$D$99,0))*INDEX(EF!$H$100:$H$115,MATCH(Emissions!$D58,EF!$D$100:$D$115,0))*INDEX(EF!$H$116:$H$131,MATCH(Emissions!$D58,EF!$D$116:$D$131,0))*kgtoGg</f>
        <v>6.1784849078631501</v>
      </c>
      <c r="AH58" s="22">
        <f>INDEX('Activity data'!AH$24:AH$39,MATCH(Emissions!$D58,'Activity data'!$D$24:$D$39,0))*INDEX(EF!$H$84:$H$99,MATCH(Emissions!$D58,EF!$D$84:$D$99,0))*INDEX(EF!$H$100:$H$115,MATCH(Emissions!$D58,EF!$D$100:$D$115,0))*INDEX(EF!$H$116:$H$131,MATCH(Emissions!$D58,EF!$D$116:$D$131,0))*kgtoGg</f>
        <v>6.1614068908205484</v>
      </c>
      <c r="AI58" s="22">
        <f>INDEX('Activity data'!AI$24:AI$39,MATCH(Emissions!$D58,'Activity data'!$D$24:$D$39,0))*INDEX(EF!$H$84:$H$99,MATCH(Emissions!$D58,EF!$D$84:$D$99,0))*INDEX(EF!$H$100:$H$115,MATCH(Emissions!$D58,EF!$D$100:$D$115,0))*INDEX(EF!$H$116:$H$131,MATCH(Emissions!$D58,EF!$D$116:$D$131,0))*kgtoGg</f>
        <v>6.1443288737779493</v>
      </c>
      <c r="AJ58" s="22">
        <f>INDEX('Activity data'!AJ$24:AJ$39,MATCH(Emissions!$D58,'Activity data'!$D$24:$D$39,0))*INDEX(EF!$H$84:$H$99,MATCH(Emissions!$D58,EF!$D$84:$D$99,0))*INDEX(EF!$H$100:$H$115,MATCH(Emissions!$D58,EF!$D$100:$D$115,0))*INDEX(EF!$H$116:$H$131,MATCH(Emissions!$D58,EF!$D$116:$D$131,0))*kgtoGg</f>
        <v>6.1272508567353459</v>
      </c>
      <c r="AK58" s="22">
        <f>INDEX('Activity data'!AK$24:AK$39,MATCH(Emissions!$D58,'Activity data'!$D$24:$D$39,0))*INDEX(EF!$H$84:$H$99,MATCH(Emissions!$D58,EF!$D$84:$D$99,0))*INDEX(EF!$H$100:$H$115,MATCH(Emissions!$D58,EF!$D$100:$D$115,0))*INDEX(EF!$H$116:$H$131,MATCH(Emissions!$D58,EF!$D$116:$D$131,0))*kgtoGg</f>
        <v>6.1101728396927459</v>
      </c>
      <c r="AL58" s="22">
        <f>INDEX('Activity data'!AL$24:AL$39,MATCH(Emissions!$D58,'Activity data'!$D$24:$D$39,0))*INDEX(EF!$H$84:$H$99,MATCH(Emissions!$D58,EF!$D$84:$D$99,0))*INDEX(EF!$H$100:$H$115,MATCH(Emissions!$D58,EF!$D$100:$D$115,0))*INDEX(EF!$H$116:$H$131,MATCH(Emissions!$D58,EF!$D$116:$D$131,0))*kgtoGg</f>
        <v>6.0930948226501442</v>
      </c>
      <c r="AM58" s="22">
        <f>INDEX('Activity data'!AM$24:AM$39,MATCH(Emissions!$D58,'Activity data'!$D$24:$D$39,0))*INDEX(EF!$H$84:$H$99,MATCH(Emissions!$D58,EF!$D$84:$D$99,0))*INDEX(EF!$H$100:$H$115,MATCH(Emissions!$D58,EF!$D$100:$D$115,0))*INDEX(EF!$H$116:$H$131,MATCH(Emissions!$D58,EF!$D$116:$D$131,0))*kgtoGg</f>
        <v>6.0760168056075434</v>
      </c>
      <c r="AN58" s="22">
        <f>INDEX('Activity data'!AN$24:AN$39,MATCH(Emissions!$D58,'Activity data'!$D$24:$D$39,0))*INDEX(EF!$H$84:$H$99,MATCH(Emissions!$D58,EF!$D$84:$D$99,0))*INDEX(EF!$H$100:$H$115,MATCH(Emissions!$D58,EF!$D$100:$D$115,0))*INDEX(EF!$H$116:$H$131,MATCH(Emissions!$D58,EF!$D$116:$D$131,0))*kgtoGg</f>
        <v>6.0589387885649417</v>
      </c>
      <c r="AO58" s="22">
        <f>INDEX('Activity data'!AO$24:AO$39,MATCH(Emissions!$D58,'Activity data'!$D$24:$D$39,0))*INDEX(EF!$H$84:$H$99,MATCH(Emissions!$D58,EF!$D$84:$D$99,0))*INDEX(EF!$H$100:$H$115,MATCH(Emissions!$D58,EF!$D$100:$D$115,0))*INDEX(EF!$H$116:$H$131,MATCH(Emissions!$D58,EF!$D$116:$D$131,0))*kgtoGg</f>
        <v>6.04186077152234</v>
      </c>
      <c r="AP58" s="22">
        <f>INDEX('Activity data'!AP$24:AP$39,MATCH(Emissions!$D58,'Activity data'!$D$24:$D$39,0))*INDEX(EF!$H$84:$H$99,MATCH(Emissions!$D58,EF!$D$84:$D$99,0))*INDEX(EF!$H$100:$H$115,MATCH(Emissions!$D58,EF!$D$100:$D$115,0))*INDEX(EF!$H$116:$H$131,MATCH(Emissions!$D58,EF!$D$116:$D$131,0))*kgtoGg</f>
        <v>6.0247827544797383</v>
      </c>
      <c r="AQ58" s="22">
        <f>INDEX('Activity data'!AQ$24:AQ$39,MATCH(Emissions!$D58,'Activity data'!$D$24:$D$39,0))*INDEX(EF!$H$84:$H$99,MATCH(Emissions!$D58,EF!$D$84:$D$99,0))*INDEX(EF!$H$100:$H$115,MATCH(Emissions!$D58,EF!$D$100:$D$115,0))*INDEX(EF!$H$116:$H$131,MATCH(Emissions!$D58,EF!$D$116:$D$131,0))*kgtoGg</f>
        <v>6.0077047374371375</v>
      </c>
      <c r="AR58" s="22">
        <f>INDEX('Activity data'!AR$24:AR$39,MATCH(Emissions!$D58,'Activity data'!$D$24:$D$39,0))*INDEX(EF!$H$84:$H$99,MATCH(Emissions!$D58,EF!$D$84:$D$99,0))*INDEX(EF!$H$100:$H$115,MATCH(Emissions!$D58,EF!$D$100:$D$115,0))*INDEX(EF!$H$116:$H$131,MATCH(Emissions!$D58,EF!$D$116:$D$131,0))*kgtoGg</f>
        <v>5.9906267203945358</v>
      </c>
      <c r="AS58" s="22">
        <f>INDEX('Activity data'!AS$24:AS$39,MATCH(Emissions!$D58,'Activity data'!$D$24:$D$39,0))*INDEX(EF!$H$84:$H$99,MATCH(Emissions!$D58,EF!$D$84:$D$99,0))*INDEX(EF!$H$100:$H$115,MATCH(Emissions!$D58,EF!$D$100:$D$115,0))*INDEX(EF!$H$116:$H$131,MATCH(Emissions!$D58,EF!$D$116:$D$131,0))*kgtoGg</f>
        <v>5.9735487033519359</v>
      </c>
      <c r="AT58" s="22">
        <f>INDEX('Activity data'!AT$24:AT$39,MATCH(Emissions!$D58,'Activity data'!$D$24:$D$39,0))*INDEX(EF!$H$84:$H$99,MATCH(Emissions!$D58,EF!$D$84:$D$99,0))*INDEX(EF!$H$100:$H$115,MATCH(Emissions!$D58,EF!$D$100:$D$115,0))*INDEX(EF!$H$116:$H$131,MATCH(Emissions!$D58,EF!$D$116:$D$131,0))*kgtoGg</f>
        <v>5.9564706863093333</v>
      </c>
      <c r="AU58" s="22">
        <f>INDEX('Activity data'!AU$24:AU$39,MATCH(Emissions!$D58,'Activity data'!$D$24:$D$39,0))*INDEX(EF!$H$84:$H$99,MATCH(Emissions!$D58,EF!$D$84:$D$99,0))*INDEX(EF!$H$100:$H$115,MATCH(Emissions!$D58,EF!$D$100:$D$115,0))*INDEX(EF!$H$116:$H$131,MATCH(Emissions!$D58,EF!$D$116:$D$131,0))*kgtoGg</f>
        <v>5.9393926692667334</v>
      </c>
      <c r="AV58" s="22">
        <f>INDEX('Activity data'!AV$24:AV$39,MATCH(Emissions!$D58,'Activity data'!$D$24:$D$39,0))*INDEX(EF!$H$84:$H$99,MATCH(Emissions!$D58,EF!$D$84:$D$99,0))*INDEX(EF!$H$100:$H$115,MATCH(Emissions!$D58,EF!$D$100:$D$115,0))*INDEX(EF!$H$116:$H$131,MATCH(Emissions!$D58,EF!$D$116:$D$131,0))*kgtoGg</f>
        <v>5.9223146522241317</v>
      </c>
      <c r="AW58" s="22">
        <f>INDEX('Activity data'!AW$24:AW$39,MATCH(Emissions!$D58,'Activity data'!$D$24:$D$39,0))*INDEX(EF!$H$84:$H$99,MATCH(Emissions!$D58,EF!$D$84:$D$99,0))*INDEX(EF!$H$100:$H$115,MATCH(Emissions!$D58,EF!$D$100:$D$115,0))*INDEX(EF!$H$116:$H$131,MATCH(Emissions!$D58,EF!$D$116:$D$131,0))*kgtoGg</f>
        <v>5.90523663518153</v>
      </c>
      <c r="AX58" s="22">
        <f>INDEX('Activity data'!AX$24:AX$39,MATCH(Emissions!$D58,'Activity data'!$D$24:$D$39,0))*INDEX(EF!$H$84:$H$99,MATCH(Emissions!$D58,EF!$D$84:$D$99,0))*INDEX(EF!$H$100:$H$115,MATCH(Emissions!$D58,EF!$D$100:$D$115,0))*INDEX(EF!$H$116:$H$131,MATCH(Emissions!$D58,EF!$D$116:$D$131,0))*kgtoGg</f>
        <v>5.8881586181389283</v>
      </c>
      <c r="AY58" s="22">
        <f>INDEX('Activity data'!AY$24:AY$39,MATCH(Emissions!$D58,'Activity data'!$D$24:$D$39,0))*INDEX(EF!$H$84:$H$99,MATCH(Emissions!$D58,EF!$D$84:$D$99,0))*INDEX(EF!$H$100:$H$115,MATCH(Emissions!$D58,EF!$D$100:$D$115,0))*INDEX(EF!$H$116:$H$131,MATCH(Emissions!$D58,EF!$D$116:$D$131,0))*kgtoGg</f>
        <v>5.8710806010963275</v>
      </c>
      <c r="AZ58" s="22">
        <f>INDEX('Activity data'!AZ$24:AZ$39,MATCH(Emissions!$D58,'Activity data'!$D$24:$D$39,0))*INDEX(EF!$H$84:$H$99,MATCH(Emissions!$D58,EF!$D$84:$D$99,0))*INDEX(EF!$H$100:$H$115,MATCH(Emissions!$D58,EF!$D$100:$D$115,0))*INDEX(EF!$H$116:$H$131,MATCH(Emissions!$D58,EF!$D$116:$D$131,0))*kgtoGg</f>
        <v>5.8540025840537266</v>
      </c>
      <c r="BA58" s="22">
        <f>INDEX('Activity data'!BA$24:BA$39,MATCH(Emissions!$D58,'Activity data'!$D$24:$D$39,0))*INDEX(EF!$H$84:$H$99,MATCH(Emissions!$D58,EF!$D$84:$D$99,0))*INDEX(EF!$H$100:$H$115,MATCH(Emissions!$D58,EF!$D$100:$D$115,0))*INDEX(EF!$H$116:$H$131,MATCH(Emissions!$D58,EF!$D$116:$D$131,0))*kgtoGg</f>
        <v>5.8369245670111249</v>
      </c>
      <c r="BB58" s="22">
        <f>INDEX('Activity data'!BB$24:BB$39,MATCH(Emissions!$D58,'Activity data'!$D$24:$D$39,0))*INDEX(EF!$H$84:$H$99,MATCH(Emissions!$D58,EF!$D$84:$D$99,0))*INDEX(EF!$H$100:$H$115,MATCH(Emissions!$D58,EF!$D$100:$D$115,0))*INDEX(EF!$H$116:$H$131,MATCH(Emissions!$D58,EF!$D$116:$D$131,0))*kgtoGg</f>
        <v>5.8198465499685241</v>
      </c>
      <c r="BC58" s="22">
        <f>INDEX('Activity data'!BC$24:BC$39,MATCH(Emissions!$D58,'Activity data'!$D$24:$D$39,0))*INDEX(EF!$H$84:$H$99,MATCH(Emissions!$D58,EF!$D$84:$D$99,0))*INDEX(EF!$H$100:$H$115,MATCH(Emissions!$D58,EF!$D$100:$D$115,0))*INDEX(EF!$H$116:$H$131,MATCH(Emissions!$D58,EF!$D$116:$D$131,0))*kgtoGg</f>
        <v>5.8027685329259224</v>
      </c>
      <c r="BD58" s="22">
        <f>INDEX('Activity data'!BD$24:BD$39,MATCH(Emissions!$D58,'Activity data'!$D$24:$D$39,0))*INDEX(EF!$H$84:$H$99,MATCH(Emissions!$D58,EF!$D$84:$D$99,0))*INDEX(EF!$H$100:$H$115,MATCH(Emissions!$D58,EF!$D$100:$D$115,0))*INDEX(EF!$H$116:$H$131,MATCH(Emissions!$D58,EF!$D$116:$D$131,0))*kgtoGg</f>
        <v>5.7856905158833216</v>
      </c>
      <c r="BE58" s="22">
        <f>INDEX('Activity data'!BE$24:BE$39,MATCH(Emissions!$D58,'Activity data'!$D$24:$D$39,0))*INDEX(EF!$H$84:$H$99,MATCH(Emissions!$D58,EF!$D$84:$D$99,0))*INDEX(EF!$H$100:$H$115,MATCH(Emissions!$D58,EF!$D$100:$D$115,0))*INDEX(EF!$H$116:$H$131,MATCH(Emissions!$D58,EF!$D$116:$D$131,0))*kgtoGg</f>
        <v>5.7686124988407199</v>
      </c>
      <c r="BF58" s="22">
        <f>INDEX('Activity data'!BF$24:BF$39,MATCH(Emissions!$D58,'Activity data'!$D$24:$D$39,0))*INDEX(EF!$H$84:$H$99,MATCH(Emissions!$D58,EF!$D$84:$D$99,0))*INDEX(EF!$H$100:$H$115,MATCH(Emissions!$D58,EF!$D$100:$D$115,0))*INDEX(EF!$H$116:$H$131,MATCH(Emissions!$D58,EF!$D$116:$D$131,0))*kgtoGg</f>
        <v>5.7515344817981173</v>
      </c>
      <c r="BG58" s="22">
        <f>INDEX('Activity data'!BG$24:BG$39,MATCH(Emissions!$D58,'Activity data'!$D$24:$D$39,0))*INDEX(EF!$H$84:$H$99,MATCH(Emissions!$D58,EF!$D$84:$D$99,0))*INDEX(EF!$H$100:$H$115,MATCH(Emissions!$D58,EF!$D$100:$D$115,0))*INDEX(EF!$H$116:$H$131,MATCH(Emissions!$D58,EF!$D$116:$D$131,0))*kgtoGg</f>
        <v>5.7344564647555183</v>
      </c>
      <c r="BH58" s="22">
        <f>INDEX('Activity data'!BH$24:BH$39,MATCH(Emissions!$D58,'Activity data'!$D$24:$D$39,0))*INDEX(EF!$H$84:$H$99,MATCH(Emissions!$D58,EF!$D$84:$D$99,0))*INDEX(EF!$H$100:$H$115,MATCH(Emissions!$D58,EF!$D$100:$D$115,0))*INDEX(EF!$H$116:$H$131,MATCH(Emissions!$D58,EF!$D$116:$D$131,0))*kgtoGg</f>
        <v>5.7173784477129166</v>
      </c>
      <c r="BI58" s="22">
        <f>INDEX('Activity data'!BI$24:BI$39,MATCH(Emissions!$D58,'Activity data'!$D$24:$D$39,0))*INDEX(EF!$H$84:$H$99,MATCH(Emissions!$D58,EF!$D$84:$D$99,0))*INDEX(EF!$H$100:$H$115,MATCH(Emissions!$D58,EF!$D$100:$D$115,0))*INDEX(EF!$H$116:$H$131,MATCH(Emissions!$D58,EF!$D$116:$D$131,0))*kgtoGg</f>
        <v>5.7003004306703149</v>
      </c>
      <c r="BJ58" s="22">
        <f>INDEX('Activity data'!BJ$24:BJ$39,MATCH(Emissions!$D58,'Activity data'!$D$24:$D$39,0))*INDEX(EF!$H$84:$H$99,MATCH(Emissions!$D58,EF!$D$84:$D$99,0))*INDEX(EF!$H$100:$H$115,MATCH(Emissions!$D58,EF!$D$100:$D$115,0))*INDEX(EF!$H$116:$H$131,MATCH(Emissions!$D58,EF!$D$116:$D$131,0))*kgtoGg</f>
        <v>5.6832224136277141</v>
      </c>
      <c r="BK58" s="22">
        <f>INDEX('Activity data'!BK$24:BK$39,MATCH(Emissions!$D58,'Activity data'!$D$24:$D$39,0))*INDEX(EF!$H$84:$H$99,MATCH(Emissions!$D58,EF!$D$84:$D$99,0))*INDEX(EF!$H$100:$H$115,MATCH(Emissions!$D58,EF!$D$100:$D$115,0))*INDEX(EF!$H$116:$H$131,MATCH(Emissions!$D58,EF!$D$116:$D$131,0))*kgtoGg</f>
        <v>5.6661443965851124</v>
      </c>
      <c r="BL58" s="22">
        <f>INDEX('Activity data'!BL$24:BL$39,MATCH(Emissions!$D58,'Activity data'!$D$24:$D$39,0))*INDEX(EF!$H$84:$H$99,MATCH(Emissions!$D58,EF!$D$84:$D$99,0))*INDEX(EF!$H$100:$H$115,MATCH(Emissions!$D58,EF!$D$100:$D$115,0))*INDEX(EF!$H$116:$H$131,MATCH(Emissions!$D58,EF!$D$116:$D$131,0))*kgtoGg</f>
        <v>5.6490663795425107</v>
      </c>
      <c r="BM58" s="22">
        <f>INDEX('Activity data'!BM$24:BM$39,MATCH(Emissions!$D58,'Activity data'!$D$24:$D$39,0))*INDEX(EF!$H$84:$H$99,MATCH(Emissions!$D58,EF!$D$84:$D$99,0))*INDEX(EF!$H$100:$H$115,MATCH(Emissions!$D58,EF!$D$100:$D$115,0))*INDEX(EF!$H$116:$H$131,MATCH(Emissions!$D58,EF!$D$116:$D$131,0))*kgtoGg</f>
        <v>5.631988362499909</v>
      </c>
      <c r="BN58" s="22">
        <f>INDEX('Activity data'!BN$24:BN$39,MATCH(Emissions!$D58,'Activity data'!$D$24:$D$39,0))*INDEX(EF!$H$84:$H$99,MATCH(Emissions!$D58,EF!$D$84:$D$99,0))*INDEX(EF!$H$100:$H$115,MATCH(Emissions!$D58,EF!$D$100:$D$115,0))*INDEX(EF!$H$116:$H$131,MATCH(Emissions!$D58,EF!$D$116:$D$131,0))*kgtoGg</f>
        <v>5.614910345457309</v>
      </c>
      <c r="BO58" s="22">
        <f>INDEX('Activity data'!BO$24:BO$39,MATCH(Emissions!$D58,'Activity data'!$D$24:$D$39,0))*INDEX(EF!$H$84:$H$99,MATCH(Emissions!$D58,EF!$D$84:$D$99,0))*INDEX(EF!$H$100:$H$115,MATCH(Emissions!$D58,EF!$D$100:$D$115,0))*INDEX(EF!$H$116:$H$131,MATCH(Emissions!$D58,EF!$D$116:$D$131,0))*kgtoGg</f>
        <v>5.5978323284147082</v>
      </c>
      <c r="BP58" s="22">
        <f>INDEX('Activity data'!BP$24:BP$39,MATCH(Emissions!$D58,'Activity data'!$D$24:$D$39,0))*INDEX(EF!$H$84:$H$99,MATCH(Emissions!$D58,EF!$D$84:$D$99,0))*INDEX(EF!$H$100:$H$115,MATCH(Emissions!$D58,EF!$D$100:$D$115,0))*INDEX(EF!$H$116:$H$131,MATCH(Emissions!$D58,EF!$D$116:$D$131,0))*kgtoGg</f>
        <v>5.5807543113721056</v>
      </c>
    </row>
    <row r="59" spans="1:68" x14ac:dyDescent="0.25">
      <c r="A59" t="str">
        <f t="shared" si="13"/>
        <v>3C Aggregated and non-CO2 emissions on land</v>
      </c>
      <c r="B59" t="str">
        <f t="shared" si="14"/>
        <v>3C1 Biomass burning (CH4)</v>
      </c>
      <c r="C59" t="str">
        <f>C58</f>
        <v>3C1b Biomass burning in Croplands</v>
      </c>
      <c r="D59" t="str">
        <f>EF!D89</f>
        <v>Annual pivot</v>
      </c>
      <c r="E59" t="s">
        <v>646</v>
      </c>
      <c r="F59" t="str">
        <f t="shared" si="16"/>
        <v>CH4</v>
      </c>
      <c r="G59" t="str">
        <f t="shared" si="17"/>
        <v>Gg CH4</v>
      </c>
      <c r="H59" s="22">
        <f>INDEX('Activity data'!H$24:H$39,MATCH(Emissions!$D59,'Activity data'!$D$24:$D$39,0))*INDEX(EF!$H$84:$H$99,MATCH(Emissions!$D59,EF!$D$84:$D$99,0))*INDEX(EF!$H$100:$H$115,MATCH(Emissions!$D59,EF!$D$100:$D$115,0))*INDEX(EF!$H$116:$H$131,MATCH(Emissions!$D59,EF!$D$116:$D$131,0))*kgtoGg</f>
        <v>7.1890335181109197</v>
      </c>
      <c r="I59" s="22">
        <f>INDEX('Activity data'!I$24:I$39,MATCH(Emissions!$D59,'Activity data'!$D$24:$D$39,0))*INDEX(EF!$H$84:$H$99,MATCH(Emissions!$D59,EF!$D$84:$D$99,0))*INDEX(EF!$H$100:$H$115,MATCH(Emissions!$D59,EF!$D$100:$D$115,0))*INDEX(EF!$H$116:$H$131,MATCH(Emissions!$D59,EF!$D$116:$D$131,0))*kgtoGg</f>
        <v>7.1890335181109197</v>
      </c>
      <c r="J59" s="22">
        <f>INDEX('Activity data'!J$24:J$39,MATCH(Emissions!$D59,'Activity data'!$D$24:$D$39,0))*INDEX(EF!$H$84:$H$99,MATCH(Emissions!$D59,EF!$D$84:$D$99,0))*INDEX(EF!$H$100:$H$115,MATCH(Emissions!$D59,EF!$D$100:$D$115,0))*INDEX(EF!$H$116:$H$131,MATCH(Emissions!$D59,EF!$D$116:$D$131,0))*kgtoGg</f>
        <v>7.1890335181109197</v>
      </c>
      <c r="K59" s="22">
        <f>INDEX('Activity data'!K$24:K$39,MATCH(Emissions!$D59,'Activity data'!$D$24:$D$39,0))*INDEX(EF!$H$84:$H$99,MATCH(Emissions!$D59,EF!$D$84:$D$99,0))*INDEX(EF!$H$100:$H$115,MATCH(Emissions!$D59,EF!$D$100:$D$115,0))*INDEX(EF!$H$116:$H$131,MATCH(Emissions!$D59,EF!$D$116:$D$131,0))*kgtoGg</f>
        <v>7.1890335181109197</v>
      </c>
      <c r="L59" s="22">
        <f>INDEX('Activity data'!L$24:L$39,MATCH(Emissions!$D59,'Activity data'!$D$24:$D$39,0))*INDEX(EF!$H$84:$H$99,MATCH(Emissions!$D59,EF!$D$84:$D$99,0))*INDEX(EF!$H$100:$H$115,MATCH(Emissions!$D59,EF!$D$100:$D$115,0))*INDEX(EF!$H$116:$H$131,MATCH(Emissions!$D59,EF!$D$116:$D$131,0))*kgtoGg</f>
        <v>7.1890335181109197</v>
      </c>
      <c r="M59" s="22">
        <f>INDEX('Activity data'!M$24:M$39,MATCH(Emissions!$D59,'Activity data'!$D$24:$D$39,0))*INDEX(EF!$H$84:$H$99,MATCH(Emissions!$D59,EF!$D$84:$D$99,0))*INDEX(EF!$H$100:$H$115,MATCH(Emissions!$D59,EF!$D$100:$D$115,0))*INDEX(EF!$H$116:$H$131,MATCH(Emissions!$D59,EF!$D$116:$D$131,0))*kgtoGg</f>
        <v>7.1890335181109197</v>
      </c>
      <c r="N59" s="22">
        <f>INDEX('Activity data'!N$24:N$39,MATCH(Emissions!$D59,'Activity data'!$D$24:$D$39,0))*INDEX(EF!$H$84:$H$99,MATCH(Emissions!$D59,EF!$D$84:$D$99,0))*INDEX(EF!$H$100:$H$115,MATCH(Emissions!$D59,EF!$D$100:$D$115,0))*INDEX(EF!$H$116:$H$131,MATCH(Emissions!$D59,EF!$D$116:$D$131,0))*kgtoGg</f>
        <v>7.1890335181109197</v>
      </c>
      <c r="O59" s="22">
        <f>INDEX('Activity data'!O$24:O$39,MATCH(Emissions!$D59,'Activity data'!$D$24:$D$39,0))*INDEX(EF!$H$84:$H$99,MATCH(Emissions!$D59,EF!$D$84:$D$99,0))*INDEX(EF!$H$100:$H$115,MATCH(Emissions!$D59,EF!$D$100:$D$115,0))*INDEX(EF!$H$116:$H$131,MATCH(Emissions!$D59,EF!$D$116:$D$131,0))*kgtoGg</f>
        <v>7.1890335181109197</v>
      </c>
      <c r="P59" s="22">
        <f>INDEX('Activity data'!P$24:P$39,MATCH(Emissions!$D59,'Activity data'!$D$24:$D$39,0))*INDEX(EF!$H$84:$H$99,MATCH(Emissions!$D59,EF!$D$84:$D$99,0))*INDEX(EF!$H$100:$H$115,MATCH(Emissions!$D59,EF!$D$100:$D$115,0))*INDEX(EF!$H$116:$H$131,MATCH(Emissions!$D59,EF!$D$116:$D$131,0))*kgtoGg</f>
        <v>7.1890335181109197</v>
      </c>
      <c r="Q59" s="22">
        <f>INDEX('Activity data'!Q$24:Q$39,MATCH(Emissions!$D59,'Activity data'!$D$24:$D$39,0))*INDEX(EF!$H$84:$H$99,MATCH(Emissions!$D59,EF!$D$84:$D$99,0))*INDEX(EF!$H$100:$H$115,MATCH(Emissions!$D59,EF!$D$100:$D$115,0))*INDEX(EF!$H$116:$H$131,MATCH(Emissions!$D59,EF!$D$116:$D$131,0))*kgtoGg</f>
        <v>7.1890335181109197</v>
      </c>
      <c r="R59" s="22">
        <f>INDEX('Activity data'!R$24:R$39,MATCH(Emissions!$D59,'Activity data'!$D$24:$D$39,0))*INDEX(EF!$H$84:$H$99,MATCH(Emissions!$D59,EF!$D$84:$D$99,0))*INDEX(EF!$H$100:$H$115,MATCH(Emissions!$D59,EF!$D$100:$D$115,0))*INDEX(EF!$H$116:$H$131,MATCH(Emissions!$D59,EF!$D$116:$D$131,0))*kgtoGg</f>
        <v>7.7769845389978656</v>
      </c>
      <c r="S59" s="22">
        <f>INDEX('Activity data'!S$24:S$39,MATCH(Emissions!$D59,'Activity data'!$D$24:$D$39,0))*INDEX(EF!$H$84:$H$99,MATCH(Emissions!$D59,EF!$D$84:$D$99,0))*INDEX(EF!$H$100:$H$115,MATCH(Emissions!$D59,EF!$D$100:$D$115,0))*INDEX(EF!$H$116:$H$131,MATCH(Emissions!$D59,EF!$D$116:$D$131,0))*kgtoGg</f>
        <v>7.2043842642429627</v>
      </c>
      <c r="T59" s="22">
        <f>INDEX('Activity data'!T$24:T$39,MATCH(Emissions!$D59,'Activity data'!$D$24:$D$39,0))*INDEX(EF!$H$84:$H$99,MATCH(Emissions!$D59,EF!$D$84:$D$99,0))*INDEX(EF!$H$100:$H$115,MATCH(Emissions!$D59,EF!$D$100:$D$115,0))*INDEX(EF!$H$116:$H$131,MATCH(Emissions!$D59,EF!$D$116:$D$131,0))*kgtoGg</f>
        <v>8.8223180185009138</v>
      </c>
      <c r="U59" s="22">
        <f>INDEX('Activity data'!U$24:U$39,MATCH(Emissions!$D59,'Activity data'!$D$24:$D$39,0))*INDEX(EF!$H$84:$H$99,MATCH(Emissions!$D59,EF!$D$84:$D$99,0))*INDEX(EF!$H$100:$H$115,MATCH(Emissions!$D59,EF!$D$100:$D$115,0))*INDEX(EF!$H$116:$H$131,MATCH(Emissions!$D59,EF!$D$116:$D$131,0))*kgtoGg</f>
        <v>6.58642951227975</v>
      </c>
      <c r="V59" s="22">
        <f>INDEX('Activity data'!V$24:V$39,MATCH(Emissions!$D59,'Activity data'!$D$24:$D$39,0))*INDEX(EF!$H$84:$H$99,MATCH(Emissions!$D59,EF!$D$84:$D$99,0))*INDEX(EF!$H$100:$H$115,MATCH(Emissions!$D59,EF!$D$100:$D$115,0))*INDEX(EF!$H$116:$H$131,MATCH(Emissions!$D59,EF!$D$116:$D$131,0))*kgtoGg</f>
        <v>5.5550512565331021</v>
      </c>
      <c r="W59" s="22">
        <f>INDEX('Activity data'!W$24:W$39,MATCH(Emissions!$D59,'Activity data'!$D$24:$D$39,0))*INDEX(EF!$H$84:$H$99,MATCH(Emissions!$D59,EF!$D$84:$D$99,0))*INDEX(EF!$H$100:$H$115,MATCH(Emissions!$D59,EF!$D$100:$D$115,0))*INDEX(EF!$H$116:$H$131,MATCH(Emissions!$D59,EF!$D$116:$D$131,0))*kgtoGg</f>
        <v>9.4036403081035704</v>
      </c>
      <c r="X59" s="22">
        <f>INDEX('Activity data'!X$24:X$39,MATCH(Emissions!$D59,'Activity data'!$D$24:$D$39,0))*INDEX(EF!$H$84:$H$99,MATCH(Emissions!$D59,EF!$D$84:$D$99,0))*INDEX(EF!$H$100:$H$115,MATCH(Emissions!$D59,EF!$D$100:$D$115,0))*INDEX(EF!$H$116:$H$131,MATCH(Emissions!$D59,EF!$D$116:$D$131,0))*kgtoGg</f>
        <v>9.5850582169368082</v>
      </c>
      <c r="Y59" s="22">
        <f>INDEX('Activity data'!Y$24:Y$39,MATCH(Emissions!$D59,'Activity data'!$D$24:$D$39,0))*INDEX(EF!$H$84:$H$99,MATCH(Emissions!$D59,EF!$D$84:$D$99,0))*INDEX(EF!$H$100:$H$115,MATCH(Emissions!$D59,EF!$D$100:$D$115,0))*INDEX(EF!$H$116:$H$131,MATCH(Emissions!$D59,EF!$D$116:$D$131,0))*kgtoGg</f>
        <v>5.4189878249081751</v>
      </c>
      <c r="Z59" s="22">
        <f>INDEX('Activity data'!Z$24:Z$39,MATCH(Emissions!$D59,'Activity data'!$D$24:$D$39,0))*INDEX(EF!$H$84:$H$99,MATCH(Emissions!$D59,EF!$D$84:$D$99,0))*INDEX(EF!$H$100:$H$115,MATCH(Emissions!$D59,EF!$D$100:$D$115,0))*INDEX(EF!$H$116:$H$131,MATCH(Emissions!$D59,EF!$D$116:$D$131,0))*kgtoGg</f>
        <v>6.2693842725639728</v>
      </c>
      <c r="AA59" s="22">
        <f>INDEX('Activity data'!AA$24:AA$39,MATCH(Emissions!$D59,'Activity data'!$D$24:$D$39,0))*INDEX(EF!$H$84:$H$99,MATCH(Emissions!$D59,EF!$D$84:$D$99,0))*INDEX(EF!$H$100:$H$115,MATCH(Emissions!$D59,EF!$D$100:$D$115,0))*INDEX(EF!$H$116:$H$131,MATCH(Emissions!$D59,EF!$D$116:$D$131,0))*kgtoGg</f>
        <v>6.2022247582362837</v>
      </c>
      <c r="AB59" s="22">
        <f>INDEX('Activity data'!AB$24:AB$39,MATCH(Emissions!$D59,'Activity data'!$D$24:$D$39,0))*INDEX(EF!$H$84:$H$99,MATCH(Emissions!$D59,EF!$D$84:$D$99,0))*INDEX(EF!$H$100:$H$115,MATCH(Emissions!$D59,EF!$D$100:$D$115,0))*INDEX(EF!$H$116:$H$131,MATCH(Emissions!$D59,EF!$D$116:$D$131,0))*kgtoGg</f>
        <v>6.9937244370000009</v>
      </c>
      <c r="AC59" s="22">
        <f>INDEX('Activity data'!AC$24:AC$39,MATCH(Emissions!$D59,'Activity data'!$D$24:$D$39,0))*INDEX(EF!$H$84:$H$99,MATCH(Emissions!$D59,EF!$D$84:$D$99,0))*INDEX(EF!$H$100:$H$115,MATCH(Emissions!$D59,EF!$D$100:$D$115,0))*INDEX(EF!$H$116:$H$131,MATCH(Emissions!$D59,EF!$D$116:$D$131,0))*kgtoGg</f>
        <v>7.3062814859999996</v>
      </c>
      <c r="AD59" s="22">
        <f>INDEX('Activity data'!AD$24:AD$39,MATCH(Emissions!$D59,'Activity data'!$D$24:$D$39,0))*INDEX(EF!$H$84:$H$99,MATCH(Emissions!$D59,EF!$D$84:$D$99,0))*INDEX(EF!$H$100:$H$115,MATCH(Emissions!$D59,EF!$D$100:$D$115,0))*INDEX(EF!$H$116:$H$131,MATCH(Emissions!$D59,EF!$D$116:$D$131,0))*kgtoGg</f>
        <v>0.51545593822160218</v>
      </c>
      <c r="AE59" s="22">
        <f>INDEX('Activity data'!AE$24:AE$39,MATCH(Emissions!$D59,'Activity data'!$D$24:$D$39,0))*INDEX(EF!$H$84:$H$99,MATCH(Emissions!$D59,EF!$D$84:$D$99,0))*INDEX(EF!$H$100:$H$115,MATCH(Emissions!$D59,EF!$D$100:$D$115,0))*INDEX(EF!$H$116:$H$131,MATCH(Emissions!$D59,EF!$D$116:$D$131,0))*kgtoGg</f>
        <v>0.53112945404780765</v>
      </c>
      <c r="AF59" s="22">
        <f>INDEX('Activity data'!AF$24:AF$39,MATCH(Emissions!$D59,'Activity data'!$D$24:$D$39,0))*INDEX(EF!$H$84:$H$99,MATCH(Emissions!$D59,EF!$D$84:$D$99,0))*INDEX(EF!$H$100:$H$115,MATCH(Emissions!$D59,EF!$D$100:$D$115,0))*INDEX(EF!$H$116:$H$131,MATCH(Emissions!$D59,EF!$D$116:$D$131,0))*kgtoGg</f>
        <v>0.54680296987401311</v>
      </c>
      <c r="AG59" s="22">
        <f>INDEX('Activity data'!AG$24:AG$39,MATCH(Emissions!$D59,'Activity data'!$D$24:$D$39,0))*INDEX(EF!$H$84:$H$99,MATCH(Emissions!$D59,EF!$D$84:$D$99,0))*INDEX(EF!$H$100:$H$115,MATCH(Emissions!$D59,EF!$D$100:$D$115,0))*INDEX(EF!$H$116:$H$131,MATCH(Emissions!$D59,EF!$D$116:$D$131,0))*kgtoGg</f>
        <v>0.5624764857002188</v>
      </c>
      <c r="AH59" s="22">
        <f>INDEX('Activity data'!AH$24:AH$39,MATCH(Emissions!$D59,'Activity data'!$D$24:$D$39,0))*INDEX(EF!$H$84:$H$99,MATCH(Emissions!$D59,EF!$D$84:$D$99,0))*INDEX(EF!$H$100:$H$115,MATCH(Emissions!$D59,EF!$D$100:$D$115,0))*INDEX(EF!$H$116:$H$131,MATCH(Emissions!$D59,EF!$D$116:$D$131,0))*kgtoGg</f>
        <v>0.57815000152642426</v>
      </c>
      <c r="AI59" s="22">
        <f>INDEX('Activity data'!AI$24:AI$39,MATCH(Emissions!$D59,'Activity data'!$D$24:$D$39,0))*INDEX(EF!$H$84:$H$99,MATCH(Emissions!$D59,EF!$D$84:$D$99,0))*INDEX(EF!$H$100:$H$115,MATCH(Emissions!$D59,EF!$D$100:$D$115,0))*INDEX(EF!$H$116:$H$131,MATCH(Emissions!$D59,EF!$D$116:$D$131,0))*kgtoGg</f>
        <v>0.59382351735262984</v>
      </c>
      <c r="AJ59" s="22">
        <f>INDEX('Activity data'!AJ$24:AJ$39,MATCH(Emissions!$D59,'Activity data'!$D$24:$D$39,0))*INDEX(EF!$H$84:$H$99,MATCH(Emissions!$D59,EF!$D$84:$D$99,0))*INDEX(EF!$H$100:$H$115,MATCH(Emissions!$D59,EF!$D$100:$D$115,0))*INDEX(EF!$H$116:$H$131,MATCH(Emissions!$D59,EF!$D$116:$D$131,0))*kgtoGg</f>
        <v>0.6094970331788353</v>
      </c>
      <c r="AK59" s="22">
        <f>INDEX('Activity data'!AK$24:AK$39,MATCH(Emissions!$D59,'Activity data'!$D$24:$D$39,0))*INDEX(EF!$H$84:$H$99,MATCH(Emissions!$D59,EF!$D$84:$D$99,0))*INDEX(EF!$H$100:$H$115,MATCH(Emissions!$D59,EF!$D$100:$D$115,0))*INDEX(EF!$H$116:$H$131,MATCH(Emissions!$D59,EF!$D$116:$D$131,0))*kgtoGg</f>
        <v>0.62517054900504077</v>
      </c>
      <c r="AL59" s="22">
        <f>INDEX('Activity data'!AL$24:AL$39,MATCH(Emissions!$D59,'Activity data'!$D$24:$D$39,0))*INDEX(EF!$H$84:$H$99,MATCH(Emissions!$D59,EF!$D$84:$D$99,0))*INDEX(EF!$H$100:$H$115,MATCH(Emissions!$D59,EF!$D$100:$D$115,0))*INDEX(EF!$H$116:$H$131,MATCH(Emissions!$D59,EF!$D$116:$D$131,0))*kgtoGg</f>
        <v>0.64084406483124634</v>
      </c>
      <c r="AM59" s="22">
        <f>INDEX('Activity data'!AM$24:AM$39,MATCH(Emissions!$D59,'Activity data'!$D$24:$D$39,0))*INDEX(EF!$H$84:$H$99,MATCH(Emissions!$D59,EF!$D$84:$D$99,0))*INDEX(EF!$H$100:$H$115,MATCH(Emissions!$D59,EF!$D$100:$D$115,0))*INDEX(EF!$H$116:$H$131,MATCH(Emissions!$D59,EF!$D$116:$D$131,0))*kgtoGg</f>
        <v>0.65651758065745214</v>
      </c>
      <c r="AN59" s="22">
        <f>INDEX('Activity data'!AN$24:AN$39,MATCH(Emissions!$D59,'Activity data'!$D$24:$D$39,0))*INDEX(EF!$H$84:$H$99,MATCH(Emissions!$D59,EF!$D$84:$D$99,0))*INDEX(EF!$H$100:$H$115,MATCH(Emissions!$D59,EF!$D$100:$D$115,0))*INDEX(EF!$H$116:$H$131,MATCH(Emissions!$D59,EF!$D$116:$D$131,0))*kgtoGg</f>
        <v>0.6721910964836576</v>
      </c>
      <c r="AO59" s="22">
        <f>INDEX('Activity data'!AO$24:AO$39,MATCH(Emissions!$D59,'Activity data'!$D$24:$D$39,0))*INDEX(EF!$H$84:$H$99,MATCH(Emissions!$D59,EF!$D$84:$D$99,0))*INDEX(EF!$H$100:$H$115,MATCH(Emissions!$D59,EF!$D$100:$D$115,0))*INDEX(EF!$H$116:$H$131,MATCH(Emissions!$D59,EF!$D$116:$D$131,0))*kgtoGg</f>
        <v>0.68786461230986296</v>
      </c>
      <c r="AP59" s="22">
        <f>INDEX('Activity data'!AP$24:AP$39,MATCH(Emissions!$D59,'Activity data'!$D$24:$D$39,0))*INDEX(EF!$H$84:$H$99,MATCH(Emissions!$D59,EF!$D$84:$D$99,0))*INDEX(EF!$H$100:$H$115,MATCH(Emissions!$D59,EF!$D$100:$D$115,0))*INDEX(EF!$H$116:$H$131,MATCH(Emissions!$D59,EF!$D$116:$D$131,0))*kgtoGg</f>
        <v>0.70353812813606853</v>
      </c>
      <c r="AQ59" s="22">
        <f>INDEX('Activity data'!AQ$24:AQ$39,MATCH(Emissions!$D59,'Activity data'!$D$24:$D$39,0))*INDEX(EF!$H$84:$H$99,MATCH(Emissions!$D59,EF!$D$84:$D$99,0))*INDEX(EF!$H$100:$H$115,MATCH(Emissions!$D59,EF!$D$100:$D$115,0))*INDEX(EF!$H$116:$H$131,MATCH(Emissions!$D59,EF!$D$116:$D$131,0))*kgtoGg</f>
        <v>0.71921164396227399</v>
      </c>
      <c r="AR59" s="22">
        <f>INDEX('Activity data'!AR$24:AR$39,MATCH(Emissions!$D59,'Activity data'!$D$24:$D$39,0))*INDEX(EF!$H$84:$H$99,MATCH(Emissions!$D59,EF!$D$84:$D$99,0))*INDEX(EF!$H$100:$H$115,MATCH(Emissions!$D59,EF!$D$100:$D$115,0))*INDEX(EF!$H$116:$H$131,MATCH(Emissions!$D59,EF!$D$116:$D$131,0))*kgtoGg</f>
        <v>0.73488515978847979</v>
      </c>
      <c r="AS59" s="22">
        <f>INDEX('Activity data'!AS$24:AS$39,MATCH(Emissions!$D59,'Activity data'!$D$24:$D$39,0))*INDEX(EF!$H$84:$H$99,MATCH(Emissions!$D59,EF!$D$84:$D$99,0))*INDEX(EF!$H$100:$H$115,MATCH(Emissions!$D59,EF!$D$100:$D$115,0))*INDEX(EF!$H$116:$H$131,MATCH(Emissions!$D59,EF!$D$116:$D$131,0))*kgtoGg</f>
        <v>0.75055867561468514</v>
      </c>
      <c r="AT59" s="22">
        <f>INDEX('Activity data'!AT$24:AT$39,MATCH(Emissions!$D59,'Activity data'!$D$24:$D$39,0))*INDEX(EF!$H$84:$H$99,MATCH(Emissions!$D59,EF!$D$84:$D$99,0))*INDEX(EF!$H$100:$H$115,MATCH(Emissions!$D59,EF!$D$100:$D$115,0))*INDEX(EF!$H$116:$H$131,MATCH(Emissions!$D59,EF!$D$116:$D$131,0))*kgtoGg</f>
        <v>0.76623219144089083</v>
      </c>
      <c r="AU59" s="22">
        <f>INDEX('Activity data'!AU$24:AU$39,MATCH(Emissions!$D59,'Activity data'!$D$24:$D$39,0))*INDEX(EF!$H$84:$H$99,MATCH(Emissions!$D59,EF!$D$84:$D$99,0))*INDEX(EF!$H$100:$H$115,MATCH(Emissions!$D59,EF!$D$100:$D$115,0))*INDEX(EF!$H$116:$H$131,MATCH(Emissions!$D59,EF!$D$116:$D$131,0))*kgtoGg</f>
        <v>0.78190570726709629</v>
      </c>
      <c r="AV59" s="22">
        <f>INDEX('Activity data'!AV$24:AV$39,MATCH(Emissions!$D59,'Activity data'!$D$24:$D$39,0))*INDEX(EF!$H$84:$H$99,MATCH(Emissions!$D59,EF!$D$84:$D$99,0))*INDEX(EF!$H$100:$H$115,MATCH(Emissions!$D59,EF!$D$100:$D$115,0))*INDEX(EF!$H$116:$H$131,MATCH(Emissions!$D59,EF!$D$116:$D$131,0))*kgtoGg</f>
        <v>0.79757922309330198</v>
      </c>
      <c r="AW59" s="22">
        <f>INDEX('Activity data'!AW$24:AW$39,MATCH(Emissions!$D59,'Activity data'!$D$24:$D$39,0))*INDEX(EF!$H$84:$H$99,MATCH(Emissions!$D59,EF!$D$84:$D$99,0))*INDEX(EF!$H$100:$H$115,MATCH(Emissions!$D59,EF!$D$100:$D$115,0))*INDEX(EF!$H$116:$H$131,MATCH(Emissions!$D59,EF!$D$116:$D$131,0))*kgtoGg</f>
        <v>0.81325273891950733</v>
      </c>
      <c r="AX59" s="22">
        <f>INDEX('Activity data'!AX$24:AX$39,MATCH(Emissions!$D59,'Activity data'!$D$24:$D$39,0))*INDEX(EF!$H$84:$H$99,MATCH(Emissions!$D59,EF!$D$84:$D$99,0))*INDEX(EF!$H$100:$H$115,MATCH(Emissions!$D59,EF!$D$100:$D$115,0))*INDEX(EF!$H$116:$H$131,MATCH(Emissions!$D59,EF!$D$116:$D$131,0))*kgtoGg</f>
        <v>0.82892625474571302</v>
      </c>
      <c r="AY59" s="22">
        <f>INDEX('Activity data'!AY$24:AY$39,MATCH(Emissions!$D59,'Activity data'!$D$24:$D$39,0))*INDEX(EF!$H$84:$H$99,MATCH(Emissions!$D59,EF!$D$84:$D$99,0))*INDEX(EF!$H$100:$H$115,MATCH(Emissions!$D59,EF!$D$100:$D$115,0))*INDEX(EF!$H$116:$H$131,MATCH(Emissions!$D59,EF!$D$116:$D$131,0))*kgtoGg</f>
        <v>0.84459977057191826</v>
      </c>
      <c r="AZ59" s="22">
        <f>INDEX('Activity data'!AZ$24:AZ$39,MATCH(Emissions!$D59,'Activity data'!$D$24:$D$39,0))*INDEX(EF!$H$84:$H$99,MATCH(Emissions!$D59,EF!$D$84:$D$99,0))*INDEX(EF!$H$100:$H$115,MATCH(Emissions!$D59,EF!$D$100:$D$115,0))*INDEX(EF!$H$116:$H$131,MATCH(Emissions!$D59,EF!$D$116:$D$131,0))*kgtoGg</f>
        <v>0.86027328639812406</v>
      </c>
      <c r="BA59" s="22">
        <f>INDEX('Activity data'!BA$24:BA$39,MATCH(Emissions!$D59,'Activity data'!$D$24:$D$39,0))*INDEX(EF!$H$84:$H$99,MATCH(Emissions!$D59,EF!$D$84:$D$99,0))*INDEX(EF!$H$100:$H$115,MATCH(Emissions!$D59,EF!$D$100:$D$115,0))*INDEX(EF!$H$116:$H$131,MATCH(Emissions!$D59,EF!$D$116:$D$131,0))*kgtoGg</f>
        <v>0.87594680222432952</v>
      </c>
      <c r="BB59" s="22">
        <f>INDEX('Activity data'!BB$24:BB$39,MATCH(Emissions!$D59,'Activity data'!$D$24:$D$39,0))*INDEX(EF!$H$84:$H$99,MATCH(Emissions!$D59,EF!$D$84:$D$99,0))*INDEX(EF!$H$100:$H$115,MATCH(Emissions!$D59,EF!$D$100:$D$115,0))*INDEX(EF!$H$116:$H$131,MATCH(Emissions!$D59,EF!$D$116:$D$131,0))*kgtoGg</f>
        <v>0.89162031805053521</v>
      </c>
      <c r="BC59" s="22">
        <f>INDEX('Activity data'!BC$24:BC$39,MATCH(Emissions!$D59,'Activity data'!$D$24:$D$39,0))*INDEX(EF!$H$84:$H$99,MATCH(Emissions!$D59,EF!$D$84:$D$99,0))*INDEX(EF!$H$100:$H$115,MATCH(Emissions!$D59,EF!$D$100:$D$115,0))*INDEX(EF!$H$116:$H$131,MATCH(Emissions!$D59,EF!$D$116:$D$131,0))*kgtoGg</f>
        <v>0.90729383387674067</v>
      </c>
      <c r="BD59" s="22">
        <f>INDEX('Activity data'!BD$24:BD$39,MATCH(Emissions!$D59,'Activity data'!$D$24:$D$39,0))*INDEX(EF!$H$84:$H$99,MATCH(Emissions!$D59,EF!$D$84:$D$99,0))*INDEX(EF!$H$100:$H$115,MATCH(Emissions!$D59,EF!$D$100:$D$115,0))*INDEX(EF!$H$116:$H$131,MATCH(Emissions!$D59,EF!$D$116:$D$131,0))*kgtoGg</f>
        <v>0.92296734970294614</v>
      </c>
      <c r="BE59" s="22">
        <f>INDEX('Activity data'!BE$24:BE$39,MATCH(Emissions!$D59,'Activity data'!$D$24:$D$39,0))*INDEX(EF!$H$84:$H$99,MATCH(Emissions!$D59,EF!$D$84:$D$99,0))*INDEX(EF!$H$100:$H$115,MATCH(Emissions!$D59,EF!$D$100:$D$115,0))*INDEX(EF!$H$116:$H$131,MATCH(Emissions!$D59,EF!$D$116:$D$131,0))*kgtoGg</f>
        <v>0.93864086552915194</v>
      </c>
      <c r="BF59" s="22">
        <f>INDEX('Activity data'!BF$24:BF$39,MATCH(Emissions!$D59,'Activity data'!$D$24:$D$39,0))*INDEX(EF!$H$84:$H$99,MATCH(Emissions!$D59,EF!$D$84:$D$99,0))*INDEX(EF!$H$100:$H$115,MATCH(Emissions!$D59,EF!$D$100:$D$115,0))*INDEX(EF!$H$116:$H$131,MATCH(Emissions!$D59,EF!$D$116:$D$131,0))*kgtoGg</f>
        <v>0.95431438135535729</v>
      </c>
      <c r="BG59" s="22">
        <f>INDEX('Activity data'!BG$24:BG$39,MATCH(Emissions!$D59,'Activity data'!$D$24:$D$39,0))*INDEX(EF!$H$84:$H$99,MATCH(Emissions!$D59,EF!$D$84:$D$99,0))*INDEX(EF!$H$100:$H$115,MATCH(Emissions!$D59,EF!$D$100:$D$115,0))*INDEX(EF!$H$116:$H$131,MATCH(Emissions!$D59,EF!$D$116:$D$131,0))*kgtoGg</f>
        <v>0.96998789718156264</v>
      </c>
      <c r="BH59" s="22">
        <f>INDEX('Activity data'!BH$24:BH$39,MATCH(Emissions!$D59,'Activity data'!$D$24:$D$39,0))*INDEX(EF!$H$84:$H$99,MATCH(Emissions!$D59,EF!$D$84:$D$99,0))*INDEX(EF!$H$100:$H$115,MATCH(Emissions!$D59,EF!$D$100:$D$115,0))*INDEX(EF!$H$116:$H$131,MATCH(Emissions!$D59,EF!$D$116:$D$131,0))*kgtoGg</f>
        <v>0.98566141300776822</v>
      </c>
      <c r="BI59" s="22">
        <f>INDEX('Activity data'!BI$24:BI$39,MATCH(Emissions!$D59,'Activity data'!$D$24:$D$39,0))*INDEX(EF!$H$84:$H$99,MATCH(Emissions!$D59,EF!$D$84:$D$99,0))*INDEX(EF!$H$100:$H$115,MATCH(Emissions!$D59,EF!$D$100:$D$115,0))*INDEX(EF!$H$116:$H$131,MATCH(Emissions!$D59,EF!$D$116:$D$131,0))*kgtoGg</f>
        <v>1.0013349288339739</v>
      </c>
      <c r="BJ59" s="22">
        <f>INDEX('Activity data'!BJ$24:BJ$39,MATCH(Emissions!$D59,'Activity data'!$D$24:$D$39,0))*INDEX(EF!$H$84:$H$99,MATCH(Emissions!$D59,EF!$D$84:$D$99,0))*INDEX(EF!$H$100:$H$115,MATCH(Emissions!$D59,EF!$D$100:$D$115,0))*INDEX(EF!$H$116:$H$131,MATCH(Emissions!$D59,EF!$D$116:$D$131,0))*kgtoGg</f>
        <v>1.0170084446601795</v>
      </c>
      <c r="BK59" s="22">
        <f>INDEX('Activity data'!BK$24:BK$39,MATCH(Emissions!$D59,'Activity data'!$D$24:$D$39,0))*INDEX(EF!$H$84:$H$99,MATCH(Emissions!$D59,EF!$D$84:$D$99,0))*INDEX(EF!$H$100:$H$115,MATCH(Emissions!$D59,EF!$D$100:$D$115,0))*INDEX(EF!$H$116:$H$131,MATCH(Emissions!$D59,EF!$D$116:$D$131,0))*kgtoGg</f>
        <v>1.0326819604863848</v>
      </c>
      <c r="BL59" s="22">
        <f>INDEX('Activity data'!BL$24:BL$39,MATCH(Emissions!$D59,'Activity data'!$D$24:$D$39,0))*INDEX(EF!$H$84:$H$99,MATCH(Emissions!$D59,EF!$D$84:$D$99,0))*INDEX(EF!$H$100:$H$115,MATCH(Emissions!$D59,EF!$D$100:$D$115,0))*INDEX(EF!$H$116:$H$131,MATCH(Emissions!$D59,EF!$D$116:$D$131,0))*kgtoGg</f>
        <v>1.0483554763125904</v>
      </c>
      <c r="BM59" s="22">
        <f>INDEX('Activity data'!BM$24:BM$39,MATCH(Emissions!$D59,'Activity data'!$D$24:$D$39,0))*INDEX(EF!$H$84:$H$99,MATCH(Emissions!$D59,EF!$D$84:$D$99,0))*INDEX(EF!$H$100:$H$115,MATCH(Emissions!$D59,EF!$D$100:$D$115,0))*INDEX(EF!$H$116:$H$131,MATCH(Emissions!$D59,EF!$D$116:$D$131,0))*kgtoGg</f>
        <v>1.0640289921387955</v>
      </c>
      <c r="BN59" s="22">
        <f>INDEX('Activity data'!BN$24:BN$39,MATCH(Emissions!$D59,'Activity data'!$D$24:$D$39,0))*INDEX(EF!$H$84:$H$99,MATCH(Emissions!$D59,EF!$D$84:$D$99,0))*INDEX(EF!$H$100:$H$115,MATCH(Emissions!$D59,EF!$D$100:$D$115,0))*INDEX(EF!$H$116:$H$131,MATCH(Emissions!$D59,EF!$D$116:$D$131,0))*kgtoGg</f>
        <v>1.0797025079650009</v>
      </c>
      <c r="BO59" s="22">
        <f>INDEX('Activity data'!BO$24:BO$39,MATCH(Emissions!$D59,'Activity data'!$D$24:$D$39,0))*INDEX(EF!$H$84:$H$99,MATCH(Emissions!$D59,EF!$D$84:$D$99,0))*INDEX(EF!$H$100:$H$115,MATCH(Emissions!$D59,EF!$D$100:$D$115,0))*INDEX(EF!$H$116:$H$131,MATCH(Emissions!$D59,EF!$D$116:$D$131,0))*kgtoGg</f>
        <v>1.0953760237912065</v>
      </c>
      <c r="BP59" s="22">
        <f>INDEX('Activity data'!BP$24:BP$39,MATCH(Emissions!$D59,'Activity data'!$D$24:$D$39,0))*INDEX(EF!$H$84:$H$99,MATCH(Emissions!$D59,EF!$D$84:$D$99,0))*INDEX(EF!$H$100:$H$115,MATCH(Emissions!$D59,EF!$D$100:$D$115,0))*INDEX(EF!$H$116:$H$131,MATCH(Emissions!$D59,EF!$D$116:$D$131,0))*kgtoGg</f>
        <v>1.111049539617412</v>
      </c>
    </row>
    <row r="60" spans="1:68" x14ac:dyDescent="0.25">
      <c r="A60" t="str">
        <f t="shared" si="13"/>
        <v>3C Aggregated and non-CO2 emissions on land</v>
      </c>
      <c r="B60" t="str">
        <f>B59</f>
        <v>3C1 Biomass burning (CH4)</v>
      </c>
      <c r="C60" t="str">
        <f t="shared" ref="C60:C62" si="18">C59</f>
        <v>3C1b Biomass burning in Croplands</v>
      </c>
      <c r="D60" t="str">
        <f>EF!D90</f>
        <v>Perennial orchards</v>
      </c>
      <c r="E60" t="s">
        <v>647</v>
      </c>
      <c r="F60" t="str">
        <f>F59</f>
        <v>CH4</v>
      </c>
      <c r="G60" t="str">
        <f>G59</f>
        <v>Gg CH4</v>
      </c>
      <c r="H60" s="22">
        <f>INDEX('Activity data'!H$24:H$39,MATCH(Emissions!$D60,'Activity data'!$D$24:$D$39,0))*INDEX(EF!$H$84:$H$99,MATCH(Emissions!$D60,EF!$D$84:$D$99,0))*INDEX(EF!$H$100:$H$115,MATCH(Emissions!$D60,EF!$D$100:$D$115,0))*INDEX(EF!$H$116:$H$131,MATCH(Emissions!$D60,EF!$D$116:$D$131,0))*kgtoGg</f>
        <v>5.1372667453257928E-2</v>
      </c>
      <c r="I60" s="22">
        <f>INDEX('Activity data'!I$24:I$39,MATCH(Emissions!$D60,'Activity data'!$D$24:$D$39,0))*INDEX(EF!$H$84:$H$99,MATCH(Emissions!$D60,EF!$D$84:$D$99,0))*INDEX(EF!$H$100:$H$115,MATCH(Emissions!$D60,EF!$D$100:$D$115,0))*INDEX(EF!$H$116:$H$131,MATCH(Emissions!$D60,EF!$D$116:$D$131,0))*kgtoGg</f>
        <v>5.1372667453257928E-2</v>
      </c>
      <c r="J60" s="22">
        <f>INDEX('Activity data'!J$24:J$39,MATCH(Emissions!$D60,'Activity data'!$D$24:$D$39,0))*INDEX(EF!$H$84:$H$99,MATCH(Emissions!$D60,EF!$D$84:$D$99,0))*INDEX(EF!$H$100:$H$115,MATCH(Emissions!$D60,EF!$D$100:$D$115,0))*INDEX(EF!$H$116:$H$131,MATCH(Emissions!$D60,EF!$D$116:$D$131,0))*kgtoGg</f>
        <v>5.1372667453257928E-2</v>
      </c>
      <c r="K60" s="22">
        <f>INDEX('Activity data'!K$24:K$39,MATCH(Emissions!$D60,'Activity data'!$D$24:$D$39,0))*INDEX(EF!$H$84:$H$99,MATCH(Emissions!$D60,EF!$D$84:$D$99,0))*INDEX(EF!$H$100:$H$115,MATCH(Emissions!$D60,EF!$D$100:$D$115,0))*INDEX(EF!$H$116:$H$131,MATCH(Emissions!$D60,EF!$D$116:$D$131,0))*kgtoGg</f>
        <v>5.1372667453257928E-2</v>
      </c>
      <c r="L60" s="22">
        <f>INDEX('Activity data'!L$24:L$39,MATCH(Emissions!$D60,'Activity data'!$D$24:$D$39,0))*INDEX(EF!$H$84:$H$99,MATCH(Emissions!$D60,EF!$D$84:$D$99,0))*INDEX(EF!$H$100:$H$115,MATCH(Emissions!$D60,EF!$D$100:$D$115,0))*INDEX(EF!$H$116:$H$131,MATCH(Emissions!$D60,EF!$D$116:$D$131,0))*kgtoGg</f>
        <v>5.1372667453257928E-2</v>
      </c>
      <c r="M60" s="22">
        <f>INDEX('Activity data'!M$24:M$39,MATCH(Emissions!$D60,'Activity data'!$D$24:$D$39,0))*INDEX(EF!$H$84:$H$99,MATCH(Emissions!$D60,EF!$D$84:$D$99,0))*INDEX(EF!$H$100:$H$115,MATCH(Emissions!$D60,EF!$D$100:$D$115,0))*INDEX(EF!$H$116:$H$131,MATCH(Emissions!$D60,EF!$D$116:$D$131,0))*kgtoGg</f>
        <v>5.1372667453257928E-2</v>
      </c>
      <c r="N60" s="22">
        <f>INDEX('Activity data'!N$24:N$39,MATCH(Emissions!$D60,'Activity data'!$D$24:$D$39,0))*INDEX(EF!$H$84:$H$99,MATCH(Emissions!$D60,EF!$D$84:$D$99,0))*INDEX(EF!$H$100:$H$115,MATCH(Emissions!$D60,EF!$D$100:$D$115,0))*INDEX(EF!$H$116:$H$131,MATCH(Emissions!$D60,EF!$D$116:$D$131,0))*kgtoGg</f>
        <v>5.1372667453257928E-2</v>
      </c>
      <c r="O60" s="22">
        <f>INDEX('Activity data'!O$24:O$39,MATCH(Emissions!$D60,'Activity data'!$D$24:$D$39,0))*INDEX(EF!$H$84:$H$99,MATCH(Emissions!$D60,EF!$D$84:$D$99,0))*INDEX(EF!$H$100:$H$115,MATCH(Emissions!$D60,EF!$D$100:$D$115,0))*INDEX(EF!$H$116:$H$131,MATCH(Emissions!$D60,EF!$D$116:$D$131,0))*kgtoGg</f>
        <v>5.1372667453257928E-2</v>
      </c>
      <c r="P60" s="22">
        <f>INDEX('Activity data'!P$24:P$39,MATCH(Emissions!$D60,'Activity data'!$D$24:$D$39,0))*INDEX(EF!$H$84:$H$99,MATCH(Emissions!$D60,EF!$D$84:$D$99,0))*INDEX(EF!$H$100:$H$115,MATCH(Emissions!$D60,EF!$D$100:$D$115,0))*INDEX(EF!$H$116:$H$131,MATCH(Emissions!$D60,EF!$D$116:$D$131,0))*kgtoGg</f>
        <v>5.1372667453257928E-2</v>
      </c>
      <c r="Q60" s="22">
        <f>INDEX('Activity data'!Q$24:Q$39,MATCH(Emissions!$D60,'Activity data'!$D$24:$D$39,0))*INDEX(EF!$H$84:$H$99,MATCH(Emissions!$D60,EF!$D$84:$D$99,0))*INDEX(EF!$H$100:$H$115,MATCH(Emissions!$D60,EF!$D$100:$D$115,0))*INDEX(EF!$H$116:$H$131,MATCH(Emissions!$D60,EF!$D$116:$D$131,0))*kgtoGg</f>
        <v>5.1372667453257928E-2</v>
      </c>
      <c r="R60" s="22">
        <f>INDEX('Activity data'!R$24:R$39,MATCH(Emissions!$D60,'Activity data'!$D$24:$D$39,0))*INDEX(EF!$H$84:$H$99,MATCH(Emissions!$D60,EF!$D$84:$D$99,0))*INDEX(EF!$H$100:$H$115,MATCH(Emissions!$D60,EF!$D$100:$D$115,0))*INDEX(EF!$H$116:$H$131,MATCH(Emissions!$D60,EF!$D$116:$D$131,0))*kgtoGg</f>
        <v>3.9249066814882973E-2</v>
      </c>
      <c r="S60" s="22">
        <f>INDEX('Activity data'!S$24:S$39,MATCH(Emissions!$D60,'Activity data'!$D$24:$D$39,0))*INDEX(EF!$H$84:$H$99,MATCH(Emissions!$D60,EF!$D$84:$D$99,0))*INDEX(EF!$H$100:$H$115,MATCH(Emissions!$D60,EF!$D$100:$D$115,0))*INDEX(EF!$H$116:$H$131,MATCH(Emissions!$D60,EF!$D$116:$D$131,0))*kgtoGg</f>
        <v>7.5445428433052811E-2</v>
      </c>
      <c r="T60" s="22">
        <f>INDEX('Activity data'!T$24:T$39,MATCH(Emissions!$D60,'Activity data'!$D$24:$D$39,0))*INDEX(EF!$H$84:$H$99,MATCH(Emissions!$D60,EF!$D$84:$D$99,0))*INDEX(EF!$H$100:$H$115,MATCH(Emissions!$D60,EF!$D$100:$D$115,0))*INDEX(EF!$H$116:$H$131,MATCH(Emissions!$D60,EF!$D$116:$D$131,0))*kgtoGg</f>
        <v>5.494869354083616E-2</v>
      </c>
      <c r="U60" s="22">
        <f>INDEX('Activity data'!U$24:U$39,MATCH(Emissions!$D60,'Activity data'!$D$24:$D$39,0))*INDEX(EF!$H$84:$H$99,MATCH(Emissions!$D60,EF!$D$84:$D$99,0))*INDEX(EF!$H$100:$H$115,MATCH(Emissions!$D60,EF!$D$100:$D$115,0))*INDEX(EF!$H$116:$H$131,MATCH(Emissions!$D60,EF!$D$116:$D$131,0))*kgtoGg</f>
        <v>5.6256995767998919E-2</v>
      </c>
      <c r="V60" s="22">
        <f>INDEX('Activity data'!V$24:V$39,MATCH(Emissions!$D60,'Activity data'!$D$24:$D$39,0))*INDEX(EF!$H$84:$H$99,MATCH(Emissions!$D60,EF!$D$84:$D$99,0))*INDEX(EF!$H$100:$H$115,MATCH(Emissions!$D60,EF!$D$100:$D$115,0))*INDEX(EF!$H$116:$H$131,MATCH(Emissions!$D60,EF!$D$116:$D$131,0))*kgtoGg</f>
        <v>3.0963152709518785E-2</v>
      </c>
      <c r="W60" s="22">
        <f>INDEX('Activity data'!W$24:W$39,MATCH(Emissions!$D60,'Activity data'!$D$24:$D$39,0))*INDEX(EF!$H$84:$H$99,MATCH(Emissions!$D60,EF!$D$84:$D$99,0))*INDEX(EF!$H$100:$H$115,MATCH(Emissions!$D60,EF!$D$100:$D$115,0))*INDEX(EF!$H$116:$H$131,MATCH(Emissions!$D60,EF!$D$116:$D$131,0))*kgtoGg</f>
        <v>6.977611878201416E-2</v>
      </c>
      <c r="X60" s="22">
        <f>INDEX('Activity data'!X$24:X$39,MATCH(Emissions!$D60,'Activity data'!$D$24:$D$39,0))*INDEX(EF!$H$84:$H$99,MATCH(Emissions!$D60,EF!$D$84:$D$99,0))*INDEX(EF!$H$100:$H$115,MATCH(Emissions!$D60,EF!$D$100:$D$115,0))*INDEX(EF!$H$116:$H$131,MATCH(Emissions!$D60,EF!$D$116:$D$131,0))*kgtoGg</f>
        <v>4.8407182405022328E-2</v>
      </c>
      <c r="Y60" s="22">
        <f>INDEX('Activity data'!Y$24:Y$39,MATCH(Emissions!$D60,'Activity data'!$D$24:$D$39,0))*INDEX(EF!$H$84:$H$99,MATCH(Emissions!$D60,EF!$D$84:$D$99,0))*INDEX(EF!$H$100:$H$115,MATCH(Emissions!$D60,EF!$D$100:$D$115,0))*INDEX(EF!$H$116:$H$131,MATCH(Emissions!$D60,EF!$D$116:$D$131,0))*kgtoGg</f>
        <v>8.4167443280804582E-2</v>
      </c>
      <c r="Z60" s="22">
        <f>INDEX('Activity data'!Z$24:Z$39,MATCH(Emissions!$D60,'Activity data'!$D$24:$D$39,0))*INDEX(EF!$H$84:$H$99,MATCH(Emissions!$D60,EF!$D$84:$D$99,0))*INDEX(EF!$H$100:$H$115,MATCH(Emissions!$D60,EF!$D$100:$D$115,0))*INDEX(EF!$H$116:$H$131,MATCH(Emissions!$D60,EF!$D$116:$D$131,0))*kgtoGg</f>
        <v>0.10728078262734679</v>
      </c>
      <c r="AA60" s="22">
        <f>INDEX('Activity data'!AA$24:AA$39,MATCH(Emissions!$D60,'Activity data'!$D$24:$D$39,0))*INDEX(EF!$H$84:$H$99,MATCH(Emissions!$D60,EF!$D$84:$D$99,0))*INDEX(EF!$H$100:$H$115,MATCH(Emissions!$D60,EF!$D$100:$D$115,0))*INDEX(EF!$H$116:$H$131,MATCH(Emissions!$D60,EF!$D$116:$D$131,0))*kgtoGg</f>
        <v>4.5790577950696791E-2</v>
      </c>
      <c r="AB60" s="22">
        <f>INDEX('Activity data'!AB$24:AB$39,MATCH(Emissions!$D60,'Activity data'!$D$24:$D$39,0))*INDEX(EF!$H$84:$H$99,MATCH(Emissions!$D60,EF!$D$84:$D$99,0))*INDEX(EF!$H$100:$H$115,MATCH(Emissions!$D60,EF!$D$100:$D$115,0))*INDEX(EF!$H$116:$H$131,MATCH(Emissions!$D60,EF!$D$116:$D$131,0))*kgtoGg</f>
        <v>7.6968548999999997E-2</v>
      </c>
      <c r="AC60" s="22">
        <f>INDEX('Activity data'!AC$24:AC$39,MATCH(Emissions!$D60,'Activity data'!$D$24:$D$39,0))*INDEX(EF!$H$84:$H$99,MATCH(Emissions!$D60,EF!$D$84:$D$99,0))*INDEX(EF!$H$100:$H$115,MATCH(Emissions!$D60,EF!$D$100:$D$115,0))*INDEX(EF!$H$116:$H$131,MATCH(Emissions!$D60,EF!$D$116:$D$131,0))*kgtoGg</f>
        <v>5.8869908999999998E-2</v>
      </c>
      <c r="AD60" s="22">
        <f>INDEX('Activity data'!AD$24:AD$39,MATCH(Emissions!$D60,'Activity data'!$D$24:$D$39,0))*INDEX(EF!$H$84:$H$99,MATCH(Emissions!$D60,EF!$D$84:$D$99,0))*INDEX(EF!$H$100:$H$115,MATCH(Emissions!$D60,EF!$D$100:$D$115,0))*INDEX(EF!$H$116:$H$131,MATCH(Emissions!$D60,EF!$D$116:$D$131,0))*kgtoGg</f>
        <v>6.1007970305663753E-2</v>
      </c>
      <c r="AE60" s="22">
        <f>INDEX('Activity data'!AE$24:AE$39,MATCH(Emissions!$D60,'Activity data'!$D$24:$D$39,0))*INDEX(EF!$H$84:$H$99,MATCH(Emissions!$D60,EF!$D$84:$D$99,0))*INDEX(EF!$H$100:$H$115,MATCH(Emissions!$D60,EF!$D$100:$D$115,0))*INDEX(EF!$H$116:$H$131,MATCH(Emissions!$D60,EF!$D$116:$D$131,0))*kgtoGg</f>
        <v>6.1529004605947853E-2</v>
      </c>
      <c r="AF60" s="22">
        <f>INDEX('Activity data'!AF$24:AF$39,MATCH(Emissions!$D60,'Activity data'!$D$24:$D$39,0))*INDEX(EF!$H$84:$H$99,MATCH(Emissions!$D60,EF!$D$84:$D$99,0))*INDEX(EF!$H$100:$H$115,MATCH(Emissions!$D60,EF!$D$100:$D$115,0))*INDEX(EF!$H$116:$H$131,MATCH(Emissions!$D60,EF!$D$116:$D$131,0))*kgtoGg</f>
        <v>6.2050038906231952E-2</v>
      </c>
      <c r="AG60" s="22">
        <f>INDEX('Activity data'!AG$24:AG$39,MATCH(Emissions!$D60,'Activity data'!$D$24:$D$39,0))*INDEX(EF!$H$84:$H$99,MATCH(Emissions!$D60,EF!$D$84:$D$99,0))*INDEX(EF!$H$100:$H$115,MATCH(Emissions!$D60,EF!$D$100:$D$115,0))*INDEX(EF!$H$116:$H$131,MATCH(Emissions!$D60,EF!$D$116:$D$131,0))*kgtoGg</f>
        <v>6.2571073206516031E-2</v>
      </c>
      <c r="AH60" s="22">
        <f>INDEX('Activity data'!AH$24:AH$39,MATCH(Emissions!$D60,'Activity data'!$D$24:$D$39,0))*INDEX(EF!$H$84:$H$99,MATCH(Emissions!$D60,EF!$D$84:$D$99,0))*INDEX(EF!$H$100:$H$115,MATCH(Emissions!$D60,EF!$D$100:$D$115,0))*INDEX(EF!$H$116:$H$131,MATCH(Emissions!$D60,EF!$D$116:$D$131,0))*kgtoGg</f>
        <v>6.3092107506800124E-2</v>
      </c>
      <c r="AI60" s="22">
        <f>INDEX('Activity data'!AI$24:AI$39,MATCH(Emissions!$D60,'Activity data'!$D$24:$D$39,0))*INDEX(EF!$H$84:$H$99,MATCH(Emissions!$D60,EF!$D$84:$D$99,0))*INDEX(EF!$H$100:$H$115,MATCH(Emissions!$D60,EF!$D$100:$D$115,0))*INDEX(EF!$H$116:$H$131,MATCH(Emissions!$D60,EF!$D$116:$D$131,0))*kgtoGg</f>
        <v>6.3613141807084217E-2</v>
      </c>
      <c r="AJ60" s="22">
        <f>INDEX('Activity data'!AJ$24:AJ$39,MATCH(Emissions!$D60,'Activity data'!$D$24:$D$39,0))*INDEX(EF!$H$84:$H$99,MATCH(Emissions!$D60,EF!$D$84:$D$99,0))*INDEX(EF!$H$100:$H$115,MATCH(Emissions!$D60,EF!$D$100:$D$115,0))*INDEX(EF!$H$116:$H$131,MATCH(Emissions!$D60,EF!$D$116:$D$131,0))*kgtoGg</f>
        <v>6.413417610736831E-2</v>
      </c>
      <c r="AK60" s="22">
        <f>INDEX('Activity data'!AK$24:AK$39,MATCH(Emissions!$D60,'Activity data'!$D$24:$D$39,0))*INDEX(EF!$H$84:$H$99,MATCH(Emissions!$D60,EF!$D$84:$D$99,0))*INDEX(EF!$H$100:$H$115,MATCH(Emissions!$D60,EF!$D$100:$D$115,0))*INDEX(EF!$H$116:$H$131,MATCH(Emissions!$D60,EF!$D$116:$D$131,0))*kgtoGg</f>
        <v>6.4655210407652403E-2</v>
      </c>
      <c r="AL60" s="22">
        <f>INDEX('Activity data'!AL$24:AL$39,MATCH(Emissions!$D60,'Activity data'!$D$24:$D$39,0))*INDEX(EF!$H$84:$H$99,MATCH(Emissions!$D60,EF!$D$84:$D$99,0))*INDEX(EF!$H$100:$H$115,MATCH(Emissions!$D60,EF!$D$100:$D$115,0))*INDEX(EF!$H$116:$H$131,MATCH(Emissions!$D60,EF!$D$116:$D$131,0))*kgtoGg</f>
        <v>6.5176244707936495E-2</v>
      </c>
      <c r="AM60" s="22">
        <f>INDEX('Activity data'!AM$24:AM$39,MATCH(Emissions!$D60,'Activity data'!$D$24:$D$39,0))*INDEX(EF!$H$84:$H$99,MATCH(Emissions!$D60,EF!$D$84:$D$99,0))*INDEX(EF!$H$100:$H$115,MATCH(Emissions!$D60,EF!$D$100:$D$115,0))*INDEX(EF!$H$116:$H$131,MATCH(Emissions!$D60,EF!$D$116:$D$131,0))*kgtoGg</f>
        <v>6.5697279008220588E-2</v>
      </c>
      <c r="AN60" s="22">
        <f>INDEX('Activity data'!AN$24:AN$39,MATCH(Emissions!$D60,'Activity data'!$D$24:$D$39,0))*INDEX(EF!$H$84:$H$99,MATCH(Emissions!$D60,EF!$D$84:$D$99,0))*INDEX(EF!$H$100:$H$115,MATCH(Emissions!$D60,EF!$D$100:$D$115,0))*INDEX(EF!$H$116:$H$131,MATCH(Emissions!$D60,EF!$D$116:$D$131,0))*kgtoGg</f>
        <v>6.6218313308504667E-2</v>
      </c>
      <c r="AO60" s="22">
        <f>INDEX('Activity data'!AO$24:AO$39,MATCH(Emissions!$D60,'Activity data'!$D$24:$D$39,0))*INDEX(EF!$H$84:$H$99,MATCH(Emissions!$D60,EF!$D$84:$D$99,0))*INDEX(EF!$H$100:$H$115,MATCH(Emissions!$D60,EF!$D$100:$D$115,0))*INDEX(EF!$H$116:$H$131,MATCH(Emissions!$D60,EF!$D$116:$D$131,0))*kgtoGg</f>
        <v>6.673934760878876E-2</v>
      </c>
      <c r="AP60" s="22">
        <f>INDEX('Activity data'!AP$24:AP$39,MATCH(Emissions!$D60,'Activity data'!$D$24:$D$39,0))*INDEX(EF!$H$84:$H$99,MATCH(Emissions!$D60,EF!$D$84:$D$99,0))*INDEX(EF!$H$100:$H$115,MATCH(Emissions!$D60,EF!$D$100:$D$115,0))*INDEX(EF!$H$116:$H$131,MATCH(Emissions!$D60,EF!$D$116:$D$131,0))*kgtoGg</f>
        <v>6.7260381909072867E-2</v>
      </c>
      <c r="AQ60" s="22">
        <f>INDEX('Activity data'!AQ$24:AQ$39,MATCH(Emissions!$D60,'Activity data'!$D$24:$D$39,0))*INDEX(EF!$H$84:$H$99,MATCH(Emissions!$D60,EF!$D$84:$D$99,0))*INDEX(EF!$H$100:$H$115,MATCH(Emissions!$D60,EF!$D$100:$D$115,0))*INDEX(EF!$H$116:$H$131,MATCH(Emissions!$D60,EF!$D$116:$D$131,0))*kgtoGg</f>
        <v>6.7781416209356946E-2</v>
      </c>
      <c r="AR60" s="22">
        <f>INDEX('Activity data'!AR$24:AR$39,MATCH(Emissions!$D60,'Activity data'!$D$24:$D$39,0))*INDEX(EF!$H$84:$H$99,MATCH(Emissions!$D60,EF!$D$84:$D$99,0))*INDEX(EF!$H$100:$H$115,MATCH(Emissions!$D60,EF!$D$100:$D$115,0))*INDEX(EF!$H$116:$H$131,MATCH(Emissions!$D60,EF!$D$116:$D$131,0))*kgtoGg</f>
        <v>6.8302450509641038E-2</v>
      </c>
      <c r="AS60" s="22">
        <f>INDEX('Activity data'!AS$24:AS$39,MATCH(Emissions!$D60,'Activity data'!$D$24:$D$39,0))*INDEX(EF!$H$84:$H$99,MATCH(Emissions!$D60,EF!$D$84:$D$99,0))*INDEX(EF!$H$100:$H$115,MATCH(Emissions!$D60,EF!$D$100:$D$115,0))*INDEX(EF!$H$116:$H$131,MATCH(Emissions!$D60,EF!$D$116:$D$131,0))*kgtoGg</f>
        <v>6.8823484809925117E-2</v>
      </c>
      <c r="AT60" s="22">
        <f>INDEX('Activity data'!AT$24:AT$39,MATCH(Emissions!$D60,'Activity data'!$D$24:$D$39,0))*INDEX(EF!$H$84:$H$99,MATCH(Emissions!$D60,EF!$D$84:$D$99,0))*INDEX(EF!$H$100:$H$115,MATCH(Emissions!$D60,EF!$D$100:$D$115,0))*INDEX(EF!$H$116:$H$131,MATCH(Emissions!$D60,EF!$D$116:$D$131,0))*kgtoGg</f>
        <v>6.9344519110209224E-2</v>
      </c>
      <c r="AU60" s="22">
        <f>INDEX('Activity data'!AU$24:AU$39,MATCH(Emissions!$D60,'Activity data'!$D$24:$D$39,0))*INDEX(EF!$H$84:$H$99,MATCH(Emissions!$D60,EF!$D$84:$D$99,0))*INDEX(EF!$H$100:$H$115,MATCH(Emissions!$D60,EF!$D$100:$D$115,0))*INDEX(EF!$H$116:$H$131,MATCH(Emissions!$D60,EF!$D$116:$D$131,0))*kgtoGg</f>
        <v>6.9865553410493303E-2</v>
      </c>
      <c r="AV60" s="22">
        <f>INDEX('Activity data'!AV$24:AV$39,MATCH(Emissions!$D60,'Activity data'!$D$24:$D$39,0))*INDEX(EF!$H$84:$H$99,MATCH(Emissions!$D60,EF!$D$84:$D$99,0))*INDEX(EF!$H$100:$H$115,MATCH(Emissions!$D60,EF!$D$100:$D$115,0))*INDEX(EF!$H$116:$H$131,MATCH(Emissions!$D60,EF!$D$116:$D$131,0))*kgtoGg</f>
        <v>7.038658771077741E-2</v>
      </c>
      <c r="AW60" s="22">
        <f>INDEX('Activity data'!AW$24:AW$39,MATCH(Emissions!$D60,'Activity data'!$D$24:$D$39,0))*INDEX(EF!$H$84:$H$99,MATCH(Emissions!$D60,EF!$D$84:$D$99,0))*INDEX(EF!$H$100:$H$115,MATCH(Emissions!$D60,EF!$D$100:$D$115,0))*INDEX(EF!$H$116:$H$131,MATCH(Emissions!$D60,EF!$D$116:$D$131,0))*kgtoGg</f>
        <v>7.0907622011061489E-2</v>
      </c>
      <c r="AX60" s="22">
        <f>INDEX('Activity data'!AX$24:AX$39,MATCH(Emissions!$D60,'Activity data'!$D$24:$D$39,0))*INDEX(EF!$H$84:$H$99,MATCH(Emissions!$D60,EF!$D$84:$D$99,0))*INDEX(EF!$H$100:$H$115,MATCH(Emissions!$D60,EF!$D$100:$D$115,0))*INDEX(EF!$H$116:$H$131,MATCH(Emissions!$D60,EF!$D$116:$D$131,0))*kgtoGg</f>
        <v>7.1428656311345595E-2</v>
      </c>
      <c r="AY60" s="22">
        <f>INDEX('Activity data'!AY$24:AY$39,MATCH(Emissions!$D60,'Activity data'!$D$24:$D$39,0))*INDEX(EF!$H$84:$H$99,MATCH(Emissions!$D60,EF!$D$84:$D$99,0))*INDEX(EF!$H$100:$H$115,MATCH(Emissions!$D60,EF!$D$100:$D$115,0))*INDEX(EF!$H$116:$H$131,MATCH(Emissions!$D60,EF!$D$116:$D$131,0))*kgtoGg</f>
        <v>7.1949690611629674E-2</v>
      </c>
      <c r="AZ60" s="22">
        <f>INDEX('Activity data'!AZ$24:AZ$39,MATCH(Emissions!$D60,'Activity data'!$D$24:$D$39,0))*INDEX(EF!$H$84:$H$99,MATCH(Emissions!$D60,EF!$D$84:$D$99,0))*INDEX(EF!$H$100:$H$115,MATCH(Emissions!$D60,EF!$D$100:$D$115,0))*INDEX(EF!$H$116:$H$131,MATCH(Emissions!$D60,EF!$D$116:$D$131,0))*kgtoGg</f>
        <v>7.2470724911913767E-2</v>
      </c>
      <c r="BA60" s="22">
        <f>INDEX('Activity data'!BA$24:BA$39,MATCH(Emissions!$D60,'Activity data'!$D$24:$D$39,0))*INDEX(EF!$H$84:$H$99,MATCH(Emissions!$D60,EF!$D$84:$D$99,0))*INDEX(EF!$H$100:$H$115,MATCH(Emissions!$D60,EF!$D$100:$D$115,0))*INDEX(EF!$H$116:$H$131,MATCH(Emissions!$D60,EF!$D$116:$D$131,0))*kgtoGg</f>
        <v>7.2991759212197846E-2</v>
      </c>
      <c r="BB60" s="22">
        <f>INDEX('Activity data'!BB$24:BB$39,MATCH(Emissions!$D60,'Activity data'!$D$24:$D$39,0))*INDEX(EF!$H$84:$H$99,MATCH(Emissions!$D60,EF!$D$84:$D$99,0))*INDEX(EF!$H$100:$H$115,MATCH(Emissions!$D60,EF!$D$100:$D$115,0))*INDEX(EF!$H$116:$H$131,MATCH(Emissions!$D60,EF!$D$116:$D$131,0))*kgtoGg</f>
        <v>7.3512793512481966E-2</v>
      </c>
      <c r="BC60" s="22">
        <f>INDEX('Activity data'!BC$24:BC$39,MATCH(Emissions!$D60,'Activity data'!$D$24:$D$39,0))*INDEX(EF!$H$84:$H$99,MATCH(Emissions!$D60,EF!$D$84:$D$99,0))*INDEX(EF!$H$100:$H$115,MATCH(Emissions!$D60,EF!$D$100:$D$115,0))*INDEX(EF!$H$116:$H$131,MATCH(Emissions!$D60,EF!$D$116:$D$131,0))*kgtoGg</f>
        <v>7.4033827812766045E-2</v>
      </c>
      <c r="BD60" s="22">
        <f>INDEX('Activity data'!BD$24:BD$39,MATCH(Emissions!$D60,'Activity data'!$D$24:$D$39,0))*INDEX(EF!$H$84:$H$99,MATCH(Emissions!$D60,EF!$D$84:$D$99,0))*INDEX(EF!$H$100:$H$115,MATCH(Emissions!$D60,EF!$D$100:$D$115,0))*INDEX(EF!$H$116:$H$131,MATCH(Emissions!$D60,EF!$D$116:$D$131,0))*kgtoGg</f>
        <v>7.4554862113050138E-2</v>
      </c>
      <c r="BE60" s="22">
        <f>INDEX('Activity data'!BE$24:BE$39,MATCH(Emissions!$D60,'Activity data'!$D$24:$D$39,0))*INDEX(EF!$H$84:$H$99,MATCH(Emissions!$D60,EF!$D$84:$D$99,0))*INDEX(EF!$H$100:$H$115,MATCH(Emissions!$D60,EF!$D$100:$D$115,0))*INDEX(EF!$H$116:$H$131,MATCH(Emissions!$D60,EF!$D$116:$D$131,0))*kgtoGg</f>
        <v>7.5075896413334217E-2</v>
      </c>
      <c r="BF60" s="22">
        <f>INDEX('Activity data'!BF$24:BF$39,MATCH(Emissions!$D60,'Activity data'!$D$24:$D$39,0))*INDEX(EF!$H$84:$H$99,MATCH(Emissions!$D60,EF!$D$84:$D$99,0))*INDEX(EF!$H$100:$H$115,MATCH(Emissions!$D60,EF!$D$100:$D$115,0))*INDEX(EF!$H$116:$H$131,MATCH(Emissions!$D60,EF!$D$116:$D$131,0))*kgtoGg</f>
        <v>7.5596930713618296E-2</v>
      </c>
      <c r="BG60" s="22">
        <f>INDEX('Activity data'!BG$24:BG$39,MATCH(Emissions!$D60,'Activity data'!$D$24:$D$39,0))*INDEX(EF!$H$84:$H$99,MATCH(Emissions!$D60,EF!$D$84:$D$99,0))*INDEX(EF!$H$100:$H$115,MATCH(Emissions!$D60,EF!$D$100:$D$115,0))*INDEX(EF!$H$116:$H$131,MATCH(Emissions!$D60,EF!$D$116:$D$131,0))*kgtoGg</f>
        <v>7.6117965013902403E-2</v>
      </c>
      <c r="BH60" s="22">
        <f>INDEX('Activity data'!BH$24:BH$39,MATCH(Emissions!$D60,'Activity data'!$D$24:$D$39,0))*INDEX(EF!$H$84:$H$99,MATCH(Emissions!$D60,EF!$D$84:$D$99,0))*INDEX(EF!$H$100:$H$115,MATCH(Emissions!$D60,EF!$D$100:$D$115,0))*INDEX(EF!$H$116:$H$131,MATCH(Emissions!$D60,EF!$D$116:$D$131,0))*kgtoGg</f>
        <v>7.6638999314186496E-2</v>
      </c>
      <c r="BI60" s="22">
        <f>INDEX('Activity data'!BI$24:BI$39,MATCH(Emissions!$D60,'Activity data'!$D$24:$D$39,0))*INDEX(EF!$H$84:$H$99,MATCH(Emissions!$D60,EF!$D$84:$D$99,0))*INDEX(EF!$H$100:$H$115,MATCH(Emissions!$D60,EF!$D$100:$D$115,0))*INDEX(EF!$H$116:$H$131,MATCH(Emissions!$D60,EF!$D$116:$D$131,0))*kgtoGg</f>
        <v>7.7160033614470575E-2</v>
      </c>
      <c r="BJ60" s="22">
        <f>INDEX('Activity data'!BJ$24:BJ$39,MATCH(Emissions!$D60,'Activity data'!$D$24:$D$39,0))*INDEX(EF!$H$84:$H$99,MATCH(Emissions!$D60,EF!$D$84:$D$99,0))*INDEX(EF!$H$100:$H$115,MATCH(Emissions!$D60,EF!$D$100:$D$115,0))*INDEX(EF!$H$116:$H$131,MATCH(Emissions!$D60,EF!$D$116:$D$131,0))*kgtoGg</f>
        <v>7.7681067914754681E-2</v>
      </c>
      <c r="BK60" s="22">
        <f>INDEX('Activity data'!BK$24:BK$39,MATCH(Emissions!$D60,'Activity data'!$D$24:$D$39,0))*INDEX(EF!$H$84:$H$99,MATCH(Emissions!$D60,EF!$D$84:$D$99,0))*INDEX(EF!$H$100:$H$115,MATCH(Emissions!$D60,EF!$D$100:$D$115,0))*INDEX(EF!$H$116:$H$131,MATCH(Emissions!$D60,EF!$D$116:$D$131,0))*kgtoGg</f>
        <v>7.8202102215038774E-2</v>
      </c>
      <c r="BL60" s="22">
        <f>INDEX('Activity data'!BL$24:BL$39,MATCH(Emissions!$D60,'Activity data'!$D$24:$D$39,0))*INDEX(EF!$H$84:$H$99,MATCH(Emissions!$D60,EF!$D$84:$D$99,0))*INDEX(EF!$H$100:$H$115,MATCH(Emissions!$D60,EF!$D$100:$D$115,0))*INDEX(EF!$H$116:$H$131,MATCH(Emissions!$D60,EF!$D$116:$D$131,0))*kgtoGg</f>
        <v>7.8723136515322853E-2</v>
      </c>
      <c r="BM60" s="22">
        <f>INDEX('Activity data'!BM$24:BM$39,MATCH(Emissions!$D60,'Activity data'!$D$24:$D$39,0))*INDEX(EF!$H$84:$H$99,MATCH(Emissions!$D60,EF!$D$84:$D$99,0))*INDEX(EF!$H$100:$H$115,MATCH(Emissions!$D60,EF!$D$100:$D$115,0))*INDEX(EF!$H$116:$H$131,MATCH(Emissions!$D60,EF!$D$116:$D$131,0))*kgtoGg</f>
        <v>7.9244170815606946E-2</v>
      </c>
      <c r="BN60" s="22">
        <f>INDEX('Activity data'!BN$24:BN$39,MATCH(Emissions!$D60,'Activity data'!$D$24:$D$39,0))*INDEX(EF!$H$84:$H$99,MATCH(Emissions!$D60,EF!$D$84:$D$99,0))*INDEX(EF!$H$100:$H$115,MATCH(Emissions!$D60,EF!$D$100:$D$115,0))*INDEX(EF!$H$116:$H$131,MATCH(Emissions!$D60,EF!$D$116:$D$131,0))*kgtoGg</f>
        <v>7.9765205115891025E-2</v>
      </c>
      <c r="BO60" s="22">
        <f>INDEX('Activity data'!BO$24:BO$39,MATCH(Emissions!$D60,'Activity data'!$D$24:$D$39,0))*INDEX(EF!$H$84:$H$99,MATCH(Emissions!$D60,EF!$D$84:$D$99,0))*INDEX(EF!$H$100:$H$115,MATCH(Emissions!$D60,EF!$D$100:$D$115,0))*INDEX(EF!$H$116:$H$131,MATCH(Emissions!$D60,EF!$D$116:$D$131,0))*kgtoGg</f>
        <v>8.0286239416175145E-2</v>
      </c>
      <c r="BP60" s="22">
        <f>INDEX('Activity data'!BP$24:BP$39,MATCH(Emissions!$D60,'Activity data'!$D$24:$D$39,0))*INDEX(EF!$H$84:$H$99,MATCH(Emissions!$D60,EF!$D$84:$D$99,0))*INDEX(EF!$H$100:$H$115,MATCH(Emissions!$D60,EF!$D$100:$D$115,0))*INDEX(EF!$H$116:$H$131,MATCH(Emissions!$D60,EF!$D$116:$D$131,0))*kgtoGg</f>
        <v>8.0807273716459224E-2</v>
      </c>
    </row>
    <row r="61" spans="1:68" x14ac:dyDescent="0.25">
      <c r="A61" t="str">
        <f t="shared" ref="A61:A85" si="19">A60</f>
        <v>3C Aggregated and non-CO2 emissions on land</v>
      </c>
      <c r="B61" t="str">
        <f t="shared" ref="B61:B69" si="20">B60</f>
        <v>3C1 Biomass burning (CH4)</v>
      </c>
      <c r="C61" t="str">
        <f t="shared" si="18"/>
        <v>3C1b Biomass burning in Croplands</v>
      </c>
      <c r="D61" t="str">
        <f>EF!D91</f>
        <v>Perennial vineyards</v>
      </c>
      <c r="E61" t="s">
        <v>648</v>
      </c>
      <c r="F61" t="str">
        <f>F60</f>
        <v>CH4</v>
      </c>
      <c r="G61" t="str">
        <f>G60</f>
        <v>Gg CH4</v>
      </c>
      <c r="H61" s="22">
        <f>INDEX('Activity data'!H$24:H$39,MATCH(Emissions!$D61,'Activity data'!$D$24:$D$39,0))*INDEX(EF!$H$84:$H$99,MATCH(Emissions!$D61,EF!$D$84:$D$99,0))*INDEX(EF!$H$100:$H$115,MATCH(Emissions!$D61,EF!$D$100:$D$115,0))*INDEX(EF!$H$116:$H$131,MATCH(Emissions!$D61,EF!$D$116:$D$131,0))*kgtoGg</f>
        <v>1.2298040935329995E-2</v>
      </c>
      <c r="I61" s="22">
        <f>INDEX('Activity data'!I$24:I$39,MATCH(Emissions!$D61,'Activity data'!$D$24:$D$39,0))*INDEX(EF!$H$84:$H$99,MATCH(Emissions!$D61,EF!$D$84:$D$99,0))*INDEX(EF!$H$100:$H$115,MATCH(Emissions!$D61,EF!$D$100:$D$115,0))*INDEX(EF!$H$116:$H$131,MATCH(Emissions!$D61,EF!$D$116:$D$131,0))*kgtoGg</f>
        <v>1.2298040935329995E-2</v>
      </c>
      <c r="J61" s="22">
        <f>INDEX('Activity data'!J$24:J$39,MATCH(Emissions!$D61,'Activity data'!$D$24:$D$39,0))*INDEX(EF!$H$84:$H$99,MATCH(Emissions!$D61,EF!$D$84:$D$99,0))*INDEX(EF!$H$100:$H$115,MATCH(Emissions!$D61,EF!$D$100:$D$115,0))*INDEX(EF!$H$116:$H$131,MATCH(Emissions!$D61,EF!$D$116:$D$131,0))*kgtoGg</f>
        <v>1.2298040935329995E-2</v>
      </c>
      <c r="K61" s="22">
        <f>INDEX('Activity data'!K$24:K$39,MATCH(Emissions!$D61,'Activity data'!$D$24:$D$39,0))*INDEX(EF!$H$84:$H$99,MATCH(Emissions!$D61,EF!$D$84:$D$99,0))*INDEX(EF!$H$100:$H$115,MATCH(Emissions!$D61,EF!$D$100:$D$115,0))*INDEX(EF!$H$116:$H$131,MATCH(Emissions!$D61,EF!$D$116:$D$131,0))*kgtoGg</f>
        <v>1.2298040935329995E-2</v>
      </c>
      <c r="L61" s="22">
        <f>INDEX('Activity data'!L$24:L$39,MATCH(Emissions!$D61,'Activity data'!$D$24:$D$39,0))*INDEX(EF!$H$84:$H$99,MATCH(Emissions!$D61,EF!$D$84:$D$99,0))*INDEX(EF!$H$100:$H$115,MATCH(Emissions!$D61,EF!$D$100:$D$115,0))*INDEX(EF!$H$116:$H$131,MATCH(Emissions!$D61,EF!$D$116:$D$131,0))*kgtoGg</f>
        <v>1.2298040935329995E-2</v>
      </c>
      <c r="M61" s="22">
        <f>INDEX('Activity data'!M$24:M$39,MATCH(Emissions!$D61,'Activity data'!$D$24:$D$39,0))*INDEX(EF!$H$84:$H$99,MATCH(Emissions!$D61,EF!$D$84:$D$99,0))*INDEX(EF!$H$100:$H$115,MATCH(Emissions!$D61,EF!$D$100:$D$115,0))*INDEX(EF!$H$116:$H$131,MATCH(Emissions!$D61,EF!$D$116:$D$131,0))*kgtoGg</f>
        <v>1.2298040935329995E-2</v>
      </c>
      <c r="N61" s="22">
        <f>INDEX('Activity data'!N$24:N$39,MATCH(Emissions!$D61,'Activity data'!$D$24:$D$39,0))*INDEX(EF!$H$84:$H$99,MATCH(Emissions!$D61,EF!$D$84:$D$99,0))*INDEX(EF!$H$100:$H$115,MATCH(Emissions!$D61,EF!$D$100:$D$115,0))*INDEX(EF!$H$116:$H$131,MATCH(Emissions!$D61,EF!$D$116:$D$131,0))*kgtoGg</f>
        <v>1.2298040935329995E-2</v>
      </c>
      <c r="O61" s="22">
        <f>INDEX('Activity data'!O$24:O$39,MATCH(Emissions!$D61,'Activity data'!$D$24:$D$39,0))*INDEX(EF!$H$84:$H$99,MATCH(Emissions!$D61,EF!$D$84:$D$99,0))*INDEX(EF!$H$100:$H$115,MATCH(Emissions!$D61,EF!$D$100:$D$115,0))*INDEX(EF!$H$116:$H$131,MATCH(Emissions!$D61,EF!$D$116:$D$131,0))*kgtoGg</f>
        <v>1.2298040935329995E-2</v>
      </c>
      <c r="P61" s="22">
        <f>INDEX('Activity data'!P$24:P$39,MATCH(Emissions!$D61,'Activity data'!$D$24:$D$39,0))*INDEX(EF!$H$84:$H$99,MATCH(Emissions!$D61,EF!$D$84:$D$99,0))*INDEX(EF!$H$100:$H$115,MATCH(Emissions!$D61,EF!$D$100:$D$115,0))*INDEX(EF!$H$116:$H$131,MATCH(Emissions!$D61,EF!$D$116:$D$131,0))*kgtoGg</f>
        <v>1.2298040935329995E-2</v>
      </c>
      <c r="Q61" s="22">
        <f>INDEX('Activity data'!Q$24:Q$39,MATCH(Emissions!$D61,'Activity data'!$D$24:$D$39,0))*INDEX(EF!$H$84:$H$99,MATCH(Emissions!$D61,EF!$D$84:$D$99,0))*INDEX(EF!$H$100:$H$115,MATCH(Emissions!$D61,EF!$D$100:$D$115,0))*INDEX(EF!$H$116:$H$131,MATCH(Emissions!$D61,EF!$D$116:$D$131,0))*kgtoGg</f>
        <v>1.2298040935329995E-2</v>
      </c>
      <c r="R61" s="22">
        <f>INDEX('Activity data'!R$24:R$39,MATCH(Emissions!$D61,'Activity data'!$D$24:$D$39,0))*INDEX(EF!$H$84:$H$99,MATCH(Emissions!$D61,EF!$D$84:$D$99,0))*INDEX(EF!$H$100:$H$115,MATCH(Emissions!$D61,EF!$D$100:$D$115,0))*INDEX(EF!$H$116:$H$131,MATCH(Emissions!$D61,EF!$D$116:$D$131,0))*kgtoGg</f>
        <v>1.9188432665053896E-2</v>
      </c>
      <c r="S61" s="22">
        <f>INDEX('Activity data'!S$24:S$39,MATCH(Emissions!$D61,'Activity data'!$D$24:$D$39,0))*INDEX(EF!$H$84:$H$99,MATCH(Emissions!$D61,EF!$D$84:$D$99,0))*INDEX(EF!$H$100:$H$115,MATCH(Emissions!$D61,EF!$D$100:$D$115,0))*INDEX(EF!$H$116:$H$131,MATCH(Emissions!$D61,EF!$D$116:$D$131,0))*kgtoGg</f>
        <v>1.2646921529240067E-2</v>
      </c>
      <c r="T61" s="22">
        <f>INDEX('Activity data'!T$24:T$39,MATCH(Emissions!$D61,'Activity data'!$D$24:$D$39,0))*INDEX(EF!$H$84:$H$99,MATCH(Emissions!$D61,EF!$D$84:$D$99,0))*INDEX(EF!$H$100:$H$115,MATCH(Emissions!$D61,EF!$D$100:$D$115,0))*INDEX(EF!$H$116:$H$131,MATCH(Emissions!$D61,EF!$D$116:$D$131,0))*kgtoGg</f>
        <v>1.0030317074914535E-2</v>
      </c>
      <c r="U61" s="22">
        <f>INDEX('Activity data'!U$24:U$39,MATCH(Emissions!$D61,'Activity data'!$D$24:$D$39,0))*INDEX(EF!$H$84:$H$99,MATCH(Emissions!$D61,EF!$D$84:$D$99,0))*INDEX(EF!$H$100:$H$115,MATCH(Emissions!$D61,EF!$D$100:$D$115,0))*INDEX(EF!$H$116:$H$131,MATCH(Emissions!$D61,EF!$D$116:$D$131,0))*kgtoGg</f>
        <v>1.5699626725953191E-2</v>
      </c>
      <c r="V61" s="22">
        <f>INDEX('Activity data'!V$24:V$39,MATCH(Emissions!$D61,'Activity data'!$D$24:$D$39,0))*INDEX(EF!$H$84:$H$99,MATCH(Emissions!$D61,EF!$D$84:$D$99,0))*INDEX(EF!$H$100:$H$115,MATCH(Emissions!$D61,EF!$D$100:$D$115,0))*INDEX(EF!$H$116:$H$131,MATCH(Emissions!$D61,EF!$D$116:$D$131,0))*kgtoGg</f>
        <v>3.9249066814882978E-3</v>
      </c>
      <c r="W61" s="22">
        <f>INDEX('Activity data'!W$24:W$39,MATCH(Emissions!$D61,'Activity data'!$D$24:$D$39,0))*INDEX(EF!$H$84:$H$99,MATCH(Emissions!$D61,EF!$D$84:$D$99,0))*INDEX(EF!$H$100:$H$115,MATCH(Emissions!$D61,EF!$D$100:$D$115,0))*INDEX(EF!$H$116:$H$131,MATCH(Emissions!$D61,EF!$D$116:$D$131,0))*kgtoGg</f>
        <v>1.0902518559689715E-2</v>
      </c>
      <c r="X61" s="22">
        <f>INDEX('Activity data'!X$24:X$39,MATCH(Emissions!$D61,'Activity data'!$D$24:$D$39,0))*INDEX(EF!$H$84:$H$99,MATCH(Emissions!$D61,EF!$D$84:$D$99,0))*INDEX(EF!$H$100:$H$115,MATCH(Emissions!$D61,EF!$D$100:$D$115,0))*INDEX(EF!$H$116:$H$131,MATCH(Emissions!$D61,EF!$D$116:$D$131,0))*kgtoGg</f>
        <v>2.1805037119379429E-2</v>
      </c>
      <c r="Y61" s="22">
        <f>INDEX('Activity data'!Y$24:Y$39,MATCH(Emissions!$D61,'Activity data'!$D$24:$D$39,0))*INDEX(EF!$H$84:$H$99,MATCH(Emissions!$D61,EF!$D$84:$D$99,0))*INDEX(EF!$H$100:$H$115,MATCH(Emissions!$D61,EF!$D$100:$D$115,0))*INDEX(EF!$H$116:$H$131,MATCH(Emissions!$D61,EF!$D$116:$D$131,0))*kgtoGg</f>
        <v>1.0466417817302124E-2</v>
      </c>
      <c r="Z61" s="22">
        <f>INDEX('Activity data'!Z$24:Z$39,MATCH(Emissions!$D61,'Activity data'!$D$24:$D$39,0))*INDEX(EF!$H$84:$H$99,MATCH(Emissions!$D61,EF!$D$84:$D$99,0))*INDEX(EF!$H$100:$H$115,MATCH(Emissions!$D61,EF!$D$100:$D$115,0))*INDEX(EF!$H$116:$H$131,MATCH(Emissions!$D61,EF!$D$116:$D$131,0))*kgtoGg</f>
        <v>7.8498133629765956E-3</v>
      </c>
      <c r="AA61" s="22">
        <f>INDEX('Activity data'!AA$24:AA$39,MATCH(Emissions!$D61,'Activity data'!$D$24:$D$39,0))*INDEX(EF!$H$84:$H$99,MATCH(Emissions!$D61,EF!$D$84:$D$99,0))*INDEX(EF!$H$100:$H$115,MATCH(Emissions!$D61,EF!$D$100:$D$115,0))*INDEX(EF!$H$116:$H$131,MATCH(Emissions!$D61,EF!$D$116:$D$131,0))*kgtoGg</f>
        <v>1.1774720044464891E-2</v>
      </c>
      <c r="AB61" s="22">
        <f>INDEX('Activity data'!AB$24:AB$39,MATCH(Emissions!$D61,'Activity data'!$D$24:$D$39,0))*INDEX(EF!$H$84:$H$99,MATCH(Emissions!$D61,EF!$D$84:$D$99,0))*INDEX(EF!$H$100:$H$115,MATCH(Emissions!$D61,EF!$D$100:$D$115,0))*INDEX(EF!$H$116:$H$131,MATCH(Emissions!$D61,EF!$D$116:$D$131,0))*kgtoGg</f>
        <v>1.9544489999999998E-2</v>
      </c>
      <c r="AC61" s="22">
        <f>INDEX('Activity data'!AC$24:AC$39,MATCH(Emissions!$D61,'Activity data'!$D$24:$D$39,0))*INDEX(EF!$H$84:$H$99,MATCH(Emissions!$D61,EF!$D$84:$D$99,0))*INDEX(EF!$H$100:$H$115,MATCH(Emissions!$D61,EF!$D$100:$D$115,0))*INDEX(EF!$H$116:$H$131,MATCH(Emissions!$D61,EF!$D$116:$D$131,0))*kgtoGg</f>
        <v>5.1569217000000007E-2</v>
      </c>
      <c r="AD61" s="22">
        <f>INDEX('Activity data'!AD$24:AD$39,MATCH(Emissions!$D61,'Activity data'!$D$24:$D$39,0))*INDEX(EF!$H$84:$H$99,MATCH(Emissions!$D61,EF!$D$84:$D$99,0))*INDEX(EF!$H$100:$H$115,MATCH(Emissions!$D61,EF!$D$100:$D$115,0))*INDEX(EF!$H$116:$H$131,MATCH(Emissions!$D61,EF!$D$116:$D$131,0))*kgtoGg</f>
        <v>1.6859607769005278E-2</v>
      </c>
      <c r="AE61" s="22">
        <f>INDEX('Activity data'!AE$24:AE$39,MATCH(Emissions!$D61,'Activity data'!$D$24:$D$39,0))*INDEX(EF!$H$84:$H$99,MATCH(Emissions!$D61,EF!$D$84:$D$99,0))*INDEX(EF!$H$100:$H$115,MATCH(Emissions!$D61,EF!$D$100:$D$115,0))*INDEX(EF!$H$116:$H$131,MATCH(Emissions!$D61,EF!$D$116:$D$131,0))*kgtoGg</f>
        <v>1.6970620595071061E-2</v>
      </c>
      <c r="AF61" s="22">
        <f>INDEX('Activity data'!AF$24:AF$39,MATCH(Emissions!$D61,'Activity data'!$D$24:$D$39,0))*INDEX(EF!$H$84:$H$99,MATCH(Emissions!$D61,EF!$D$84:$D$99,0))*INDEX(EF!$H$100:$H$115,MATCH(Emissions!$D61,EF!$D$100:$D$115,0))*INDEX(EF!$H$116:$H$131,MATCH(Emissions!$D61,EF!$D$116:$D$131,0))*kgtoGg</f>
        <v>1.7081633421136833E-2</v>
      </c>
      <c r="AG61" s="22">
        <f>INDEX('Activity data'!AG$24:AG$39,MATCH(Emissions!$D61,'Activity data'!$D$24:$D$39,0))*INDEX(EF!$H$84:$H$99,MATCH(Emissions!$D61,EF!$D$84:$D$99,0))*INDEX(EF!$H$100:$H$115,MATCH(Emissions!$D61,EF!$D$100:$D$115,0))*INDEX(EF!$H$116:$H$131,MATCH(Emissions!$D61,EF!$D$116:$D$131,0))*kgtoGg</f>
        <v>1.7192646247202611E-2</v>
      </c>
      <c r="AH61" s="22">
        <f>INDEX('Activity data'!AH$24:AH$39,MATCH(Emissions!$D61,'Activity data'!$D$24:$D$39,0))*INDEX(EF!$H$84:$H$99,MATCH(Emissions!$D61,EF!$D$84:$D$99,0))*INDEX(EF!$H$100:$H$115,MATCH(Emissions!$D61,EF!$D$100:$D$115,0))*INDEX(EF!$H$116:$H$131,MATCH(Emissions!$D61,EF!$D$116:$D$131,0))*kgtoGg</f>
        <v>1.7303659073268383E-2</v>
      </c>
      <c r="AI61" s="22">
        <f>INDEX('Activity data'!AI$24:AI$39,MATCH(Emissions!$D61,'Activity data'!$D$24:$D$39,0))*INDEX(EF!$H$84:$H$99,MATCH(Emissions!$D61,EF!$D$84:$D$99,0))*INDEX(EF!$H$100:$H$115,MATCH(Emissions!$D61,EF!$D$100:$D$115,0))*INDEX(EF!$H$116:$H$131,MATCH(Emissions!$D61,EF!$D$116:$D$131,0))*kgtoGg</f>
        <v>1.7414671899334159E-2</v>
      </c>
      <c r="AJ61" s="22">
        <f>INDEX('Activity data'!AJ$24:AJ$39,MATCH(Emissions!$D61,'Activity data'!$D$24:$D$39,0))*INDEX(EF!$H$84:$H$99,MATCH(Emissions!$D61,EF!$D$84:$D$99,0))*INDEX(EF!$H$100:$H$115,MATCH(Emissions!$D61,EF!$D$100:$D$115,0))*INDEX(EF!$H$116:$H$131,MATCH(Emissions!$D61,EF!$D$116:$D$131,0))*kgtoGg</f>
        <v>1.7525684725399934E-2</v>
      </c>
      <c r="AK61" s="22">
        <f>INDEX('Activity data'!AK$24:AK$39,MATCH(Emissions!$D61,'Activity data'!$D$24:$D$39,0))*INDEX(EF!$H$84:$H$99,MATCH(Emissions!$D61,EF!$D$84:$D$99,0))*INDEX(EF!$H$100:$H$115,MATCH(Emissions!$D61,EF!$D$100:$D$115,0))*INDEX(EF!$H$116:$H$131,MATCH(Emissions!$D61,EF!$D$116:$D$131,0))*kgtoGg</f>
        <v>1.7636697551465713E-2</v>
      </c>
      <c r="AL61" s="22">
        <f>INDEX('Activity data'!AL$24:AL$39,MATCH(Emissions!$D61,'Activity data'!$D$24:$D$39,0))*INDEX(EF!$H$84:$H$99,MATCH(Emissions!$D61,EF!$D$84:$D$99,0))*INDEX(EF!$H$100:$H$115,MATCH(Emissions!$D61,EF!$D$100:$D$115,0))*INDEX(EF!$H$116:$H$131,MATCH(Emissions!$D61,EF!$D$116:$D$131,0))*kgtoGg</f>
        <v>1.7747710377531489E-2</v>
      </c>
      <c r="AM61" s="22">
        <f>INDEX('Activity data'!AM$24:AM$39,MATCH(Emissions!$D61,'Activity data'!$D$24:$D$39,0))*INDEX(EF!$H$84:$H$99,MATCH(Emissions!$D61,EF!$D$84:$D$99,0))*INDEX(EF!$H$100:$H$115,MATCH(Emissions!$D61,EF!$D$100:$D$115,0))*INDEX(EF!$H$116:$H$131,MATCH(Emissions!$D61,EF!$D$116:$D$131,0))*kgtoGg</f>
        <v>1.7858723203597264E-2</v>
      </c>
      <c r="AN61" s="22">
        <f>INDEX('Activity data'!AN$24:AN$39,MATCH(Emissions!$D61,'Activity data'!$D$24:$D$39,0))*INDEX(EF!$H$84:$H$99,MATCH(Emissions!$D61,EF!$D$84:$D$99,0))*INDEX(EF!$H$100:$H$115,MATCH(Emissions!$D61,EF!$D$100:$D$115,0))*INDEX(EF!$H$116:$H$131,MATCH(Emissions!$D61,EF!$D$116:$D$131,0))*kgtoGg</f>
        <v>1.7969736029663043E-2</v>
      </c>
      <c r="AO61" s="22">
        <f>INDEX('Activity data'!AO$24:AO$39,MATCH(Emissions!$D61,'Activity data'!$D$24:$D$39,0))*INDEX(EF!$H$84:$H$99,MATCH(Emissions!$D61,EF!$D$84:$D$99,0))*INDEX(EF!$H$100:$H$115,MATCH(Emissions!$D61,EF!$D$100:$D$115,0))*INDEX(EF!$H$116:$H$131,MATCH(Emissions!$D61,EF!$D$116:$D$131,0))*kgtoGg</f>
        <v>1.8080748855728818E-2</v>
      </c>
      <c r="AP61" s="22">
        <f>INDEX('Activity data'!AP$24:AP$39,MATCH(Emissions!$D61,'Activity data'!$D$24:$D$39,0))*INDEX(EF!$H$84:$H$99,MATCH(Emissions!$D61,EF!$D$84:$D$99,0))*INDEX(EF!$H$100:$H$115,MATCH(Emissions!$D61,EF!$D$100:$D$115,0))*INDEX(EF!$H$116:$H$131,MATCH(Emissions!$D61,EF!$D$116:$D$131,0))*kgtoGg</f>
        <v>1.8191761681794601E-2</v>
      </c>
      <c r="AQ61" s="22">
        <f>INDEX('Activity data'!AQ$24:AQ$39,MATCH(Emissions!$D61,'Activity data'!$D$24:$D$39,0))*INDEX(EF!$H$84:$H$99,MATCH(Emissions!$D61,EF!$D$84:$D$99,0))*INDEX(EF!$H$100:$H$115,MATCH(Emissions!$D61,EF!$D$100:$D$115,0))*INDEX(EF!$H$116:$H$131,MATCH(Emissions!$D61,EF!$D$116:$D$131,0))*kgtoGg</f>
        <v>1.8302774507860373E-2</v>
      </c>
      <c r="AR61" s="22">
        <f>INDEX('Activity data'!AR$24:AR$39,MATCH(Emissions!$D61,'Activity data'!$D$24:$D$39,0))*INDEX(EF!$H$84:$H$99,MATCH(Emissions!$D61,EF!$D$84:$D$99,0))*INDEX(EF!$H$100:$H$115,MATCH(Emissions!$D61,EF!$D$100:$D$115,0))*INDEX(EF!$H$116:$H$131,MATCH(Emissions!$D61,EF!$D$116:$D$131,0))*kgtoGg</f>
        <v>1.8413787333926148E-2</v>
      </c>
      <c r="AS61" s="22">
        <f>INDEX('Activity data'!AS$24:AS$39,MATCH(Emissions!$D61,'Activity data'!$D$24:$D$39,0))*INDEX(EF!$H$84:$H$99,MATCH(Emissions!$D61,EF!$D$84:$D$99,0))*INDEX(EF!$H$100:$H$115,MATCH(Emissions!$D61,EF!$D$100:$D$115,0))*INDEX(EF!$H$116:$H$131,MATCH(Emissions!$D61,EF!$D$116:$D$131,0))*kgtoGg</f>
        <v>1.852480015999192E-2</v>
      </c>
      <c r="AT61" s="22">
        <f>INDEX('Activity data'!AT$24:AT$39,MATCH(Emissions!$D61,'Activity data'!$D$24:$D$39,0))*INDEX(EF!$H$84:$H$99,MATCH(Emissions!$D61,EF!$D$84:$D$99,0))*INDEX(EF!$H$100:$H$115,MATCH(Emissions!$D61,EF!$D$100:$D$115,0))*INDEX(EF!$H$116:$H$131,MATCH(Emissions!$D61,EF!$D$116:$D$131,0))*kgtoGg</f>
        <v>1.8635812986057699E-2</v>
      </c>
      <c r="AU61" s="22">
        <f>INDEX('Activity data'!AU$24:AU$39,MATCH(Emissions!$D61,'Activity data'!$D$24:$D$39,0))*INDEX(EF!$H$84:$H$99,MATCH(Emissions!$D61,EF!$D$84:$D$99,0))*INDEX(EF!$H$100:$H$115,MATCH(Emissions!$D61,EF!$D$100:$D$115,0))*INDEX(EF!$H$116:$H$131,MATCH(Emissions!$D61,EF!$D$116:$D$131,0))*kgtoGg</f>
        <v>1.8746825812123474E-2</v>
      </c>
      <c r="AV61" s="22">
        <f>INDEX('Activity data'!AV$24:AV$39,MATCH(Emissions!$D61,'Activity data'!$D$24:$D$39,0))*INDEX(EF!$H$84:$H$99,MATCH(Emissions!$D61,EF!$D$84:$D$99,0))*INDEX(EF!$H$100:$H$115,MATCH(Emissions!$D61,EF!$D$100:$D$115,0))*INDEX(EF!$H$116:$H$131,MATCH(Emissions!$D61,EF!$D$116:$D$131,0))*kgtoGg</f>
        <v>1.8857838638189253E-2</v>
      </c>
      <c r="AW61" s="22">
        <f>INDEX('Activity data'!AW$24:AW$39,MATCH(Emissions!$D61,'Activity data'!$D$24:$D$39,0))*INDEX(EF!$H$84:$H$99,MATCH(Emissions!$D61,EF!$D$84:$D$99,0))*INDEX(EF!$H$100:$H$115,MATCH(Emissions!$D61,EF!$D$100:$D$115,0))*INDEX(EF!$H$116:$H$131,MATCH(Emissions!$D61,EF!$D$116:$D$131,0))*kgtoGg</f>
        <v>1.8968851464255032E-2</v>
      </c>
      <c r="AX61" s="22">
        <f>INDEX('Activity data'!AX$24:AX$39,MATCH(Emissions!$D61,'Activity data'!$D$24:$D$39,0))*INDEX(EF!$H$84:$H$99,MATCH(Emissions!$D61,EF!$D$84:$D$99,0))*INDEX(EF!$H$100:$H$115,MATCH(Emissions!$D61,EF!$D$100:$D$115,0))*INDEX(EF!$H$116:$H$131,MATCH(Emissions!$D61,EF!$D$116:$D$131,0))*kgtoGg</f>
        <v>1.9079864290320804E-2</v>
      </c>
      <c r="AY61" s="22">
        <f>INDEX('Activity data'!AY$24:AY$39,MATCH(Emissions!$D61,'Activity data'!$D$24:$D$39,0))*INDEX(EF!$H$84:$H$99,MATCH(Emissions!$D61,EF!$D$84:$D$99,0))*INDEX(EF!$H$100:$H$115,MATCH(Emissions!$D61,EF!$D$100:$D$115,0))*INDEX(EF!$H$116:$H$131,MATCH(Emissions!$D61,EF!$D$116:$D$131,0))*kgtoGg</f>
        <v>1.9190877116386583E-2</v>
      </c>
      <c r="AZ61" s="22">
        <f>INDEX('Activity data'!AZ$24:AZ$39,MATCH(Emissions!$D61,'Activity data'!$D$24:$D$39,0))*INDEX(EF!$H$84:$H$99,MATCH(Emissions!$D61,EF!$D$84:$D$99,0))*INDEX(EF!$H$100:$H$115,MATCH(Emissions!$D61,EF!$D$100:$D$115,0))*INDEX(EF!$H$116:$H$131,MATCH(Emissions!$D61,EF!$D$116:$D$131,0))*kgtoGg</f>
        <v>1.9301889942452358E-2</v>
      </c>
      <c r="BA61" s="22">
        <f>INDEX('Activity data'!BA$24:BA$39,MATCH(Emissions!$D61,'Activity data'!$D$24:$D$39,0))*INDEX(EF!$H$84:$H$99,MATCH(Emissions!$D61,EF!$D$84:$D$99,0))*INDEX(EF!$H$100:$H$115,MATCH(Emissions!$D61,EF!$D$100:$D$115,0))*INDEX(EF!$H$116:$H$131,MATCH(Emissions!$D61,EF!$D$116:$D$131,0))*kgtoGg</f>
        <v>1.9412902768518137E-2</v>
      </c>
      <c r="BB61" s="22">
        <f>INDEX('Activity data'!BB$24:BB$39,MATCH(Emissions!$D61,'Activity data'!$D$24:$D$39,0))*INDEX(EF!$H$84:$H$99,MATCH(Emissions!$D61,EF!$D$84:$D$99,0))*INDEX(EF!$H$100:$H$115,MATCH(Emissions!$D61,EF!$D$100:$D$115,0))*INDEX(EF!$H$116:$H$131,MATCH(Emissions!$D61,EF!$D$116:$D$131,0))*kgtoGg</f>
        <v>1.9523915594583916E-2</v>
      </c>
      <c r="BC61" s="22">
        <f>INDEX('Activity data'!BC$24:BC$39,MATCH(Emissions!$D61,'Activity data'!$D$24:$D$39,0))*INDEX(EF!$H$84:$H$99,MATCH(Emissions!$D61,EF!$D$84:$D$99,0))*INDEX(EF!$H$100:$H$115,MATCH(Emissions!$D61,EF!$D$100:$D$115,0))*INDEX(EF!$H$116:$H$131,MATCH(Emissions!$D61,EF!$D$116:$D$131,0))*kgtoGg</f>
        <v>1.9634928420649695E-2</v>
      </c>
      <c r="BD61" s="22">
        <f>INDEX('Activity data'!BD$24:BD$39,MATCH(Emissions!$D61,'Activity data'!$D$24:$D$39,0))*INDEX(EF!$H$84:$H$99,MATCH(Emissions!$D61,EF!$D$84:$D$99,0))*INDEX(EF!$H$100:$H$115,MATCH(Emissions!$D61,EF!$D$100:$D$115,0))*INDEX(EF!$H$116:$H$131,MATCH(Emissions!$D61,EF!$D$116:$D$131,0))*kgtoGg</f>
        <v>1.9745941246715467E-2</v>
      </c>
      <c r="BE61" s="22">
        <f>INDEX('Activity data'!BE$24:BE$39,MATCH(Emissions!$D61,'Activity data'!$D$24:$D$39,0))*INDEX(EF!$H$84:$H$99,MATCH(Emissions!$D61,EF!$D$84:$D$99,0))*INDEX(EF!$H$100:$H$115,MATCH(Emissions!$D61,EF!$D$100:$D$115,0))*INDEX(EF!$H$116:$H$131,MATCH(Emissions!$D61,EF!$D$116:$D$131,0))*kgtoGg</f>
        <v>1.9856954072781246E-2</v>
      </c>
      <c r="BF61" s="22">
        <f>INDEX('Activity data'!BF$24:BF$39,MATCH(Emissions!$D61,'Activity data'!$D$24:$D$39,0))*INDEX(EF!$H$84:$H$99,MATCH(Emissions!$D61,EF!$D$84:$D$99,0))*INDEX(EF!$H$100:$H$115,MATCH(Emissions!$D61,EF!$D$100:$D$115,0))*INDEX(EF!$H$116:$H$131,MATCH(Emissions!$D61,EF!$D$116:$D$131,0))*kgtoGg</f>
        <v>1.9967966898847021E-2</v>
      </c>
      <c r="BG61" s="22">
        <f>INDEX('Activity data'!BG$24:BG$39,MATCH(Emissions!$D61,'Activity data'!$D$24:$D$39,0))*INDEX(EF!$H$84:$H$99,MATCH(Emissions!$D61,EF!$D$84:$D$99,0))*INDEX(EF!$H$100:$H$115,MATCH(Emissions!$D61,EF!$D$100:$D$115,0))*INDEX(EF!$H$116:$H$131,MATCH(Emissions!$D61,EF!$D$116:$D$131,0))*kgtoGg</f>
        <v>2.0078979724912797E-2</v>
      </c>
      <c r="BH61" s="22">
        <f>INDEX('Activity data'!BH$24:BH$39,MATCH(Emissions!$D61,'Activity data'!$D$24:$D$39,0))*INDEX(EF!$H$84:$H$99,MATCH(Emissions!$D61,EF!$D$84:$D$99,0))*INDEX(EF!$H$100:$H$115,MATCH(Emissions!$D61,EF!$D$100:$D$115,0))*INDEX(EF!$H$116:$H$131,MATCH(Emissions!$D61,EF!$D$116:$D$131,0))*kgtoGg</f>
        <v>2.0189992550978576E-2</v>
      </c>
      <c r="BI61" s="22">
        <f>INDEX('Activity data'!BI$24:BI$39,MATCH(Emissions!$D61,'Activity data'!$D$24:$D$39,0))*INDEX(EF!$H$84:$H$99,MATCH(Emissions!$D61,EF!$D$84:$D$99,0))*INDEX(EF!$H$100:$H$115,MATCH(Emissions!$D61,EF!$D$100:$D$115,0))*INDEX(EF!$H$116:$H$131,MATCH(Emissions!$D61,EF!$D$116:$D$131,0))*kgtoGg</f>
        <v>2.0301005377044351E-2</v>
      </c>
      <c r="BJ61" s="22">
        <f>INDEX('Activity data'!BJ$24:BJ$39,MATCH(Emissions!$D61,'Activity data'!$D$24:$D$39,0))*INDEX(EF!$H$84:$H$99,MATCH(Emissions!$D61,EF!$D$84:$D$99,0))*INDEX(EF!$H$100:$H$115,MATCH(Emissions!$D61,EF!$D$100:$D$115,0))*INDEX(EF!$H$116:$H$131,MATCH(Emissions!$D61,EF!$D$116:$D$131,0))*kgtoGg</f>
        <v>2.0412018203110126E-2</v>
      </c>
      <c r="BK61" s="22">
        <f>INDEX('Activity data'!BK$24:BK$39,MATCH(Emissions!$D61,'Activity data'!$D$24:$D$39,0))*INDEX(EF!$H$84:$H$99,MATCH(Emissions!$D61,EF!$D$84:$D$99,0))*INDEX(EF!$H$100:$H$115,MATCH(Emissions!$D61,EF!$D$100:$D$115,0))*INDEX(EF!$H$116:$H$131,MATCH(Emissions!$D61,EF!$D$116:$D$131,0))*kgtoGg</f>
        <v>2.0523031029175905E-2</v>
      </c>
      <c r="BL61" s="22">
        <f>INDEX('Activity data'!BL$24:BL$39,MATCH(Emissions!$D61,'Activity data'!$D$24:$D$39,0))*INDEX(EF!$H$84:$H$99,MATCH(Emissions!$D61,EF!$D$84:$D$99,0))*INDEX(EF!$H$100:$H$115,MATCH(Emissions!$D61,EF!$D$100:$D$115,0))*INDEX(EF!$H$116:$H$131,MATCH(Emissions!$D61,EF!$D$116:$D$131,0))*kgtoGg</f>
        <v>2.0634043855241681E-2</v>
      </c>
      <c r="BM61" s="22">
        <f>INDEX('Activity data'!BM$24:BM$39,MATCH(Emissions!$D61,'Activity data'!$D$24:$D$39,0))*INDEX(EF!$H$84:$H$99,MATCH(Emissions!$D61,EF!$D$84:$D$99,0))*INDEX(EF!$H$100:$H$115,MATCH(Emissions!$D61,EF!$D$100:$D$115,0))*INDEX(EF!$H$116:$H$131,MATCH(Emissions!$D61,EF!$D$116:$D$131,0))*kgtoGg</f>
        <v>2.074505668130746E-2</v>
      </c>
      <c r="BN61" s="22">
        <f>INDEX('Activity data'!BN$24:BN$39,MATCH(Emissions!$D61,'Activity data'!$D$24:$D$39,0))*INDEX(EF!$H$84:$H$99,MATCH(Emissions!$D61,EF!$D$84:$D$99,0))*INDEX(EF!$H$100:$H$115,MATCH(Emissions!$D61,EF!$D$100:$D$115,0))*INDEX(EF!$H$116:$H$131,MATCH(Emissions!$D61,EF!$D$116:$D$131,0))*kgtoGg</f>
        <v>2.0856069507373235E-2</v>
      </c>
      <c r="BO61" s="22">
        <f>INDEX('Activity data'!BO$24:BO$39,MATCH(Emissions!$D61,'Activity data'!$D$24:$D$39,0))*INDEX(EF!$H$84:$H$99,MATCH(Emissions!$D61,EF!$D$84:$D$99,0))*INDEX(EF!$H$100:$H$115,MATCH(Emissions!$D61,EF!$D$100:$D$115,0))*INDEX(EF!$H$116:$H$131,MATCH(Emissions!$D61,EF!$D$116:$D$131,0))*kgtoGg</f>
        <v>2.0967082333439007E-2</v>
      </c>
      <c r="BP61" s="22">
        <f>INDEX('Activity data'!BP$24:BP$39,MATCH(Emissions!$D61,'Activity data'!$D$24:$D$39,0))*INDEX(EF!$H$84:$H$99,MATCH(Emissions!$D61,EF!$D$84:$D$99,0))*INDEX(EF!$H$100:$H$115,MATCH(Emissions!$D61,EF!$D$100:$D$115,0))*INDEX(EF!$H$116:$H$131,MATCH(Emissions!$D61,EF!$D$116:$D$131,0))*kgtoGg</f>
        <v>2.1078095159504782E-2</v>
      </c>
    </row>
    <row r="62" spans="1:68" x14ac:dyDescent="0.25">
      <c r="A62" t="str">
        <f t="shared" si="19"/>
        <v>3C Aggregated and non-CO2 emissions on land</v>
      </c>
      <c r="B62" t="str">
        <f t="shared" si="20"/>
        <v>3C1 Biomass burning (CH4)</v>
      </c>
      <c r="C62" t="str">
        <f t="shared" si="18"/>
        <v>3C1b Biomass burning in Croplands</v>
      </c>
      <c r="D62" t="str">
        <f>EF!D92</f>
        <v>Cropland subsistence</v>
      </c>
      <c r="E62" t="s">
        <v>649</v>
      </c>
      <c r="F62" t="str">
        <f t="shared" ref="F62:F65" si="21">F61</f>
        <v>CH4</v>
      </c>
      <c r="G62" t="str">
        <f t="shared" ref="G62:G65" si="22">G61</f>
        <v>Gg CH4</v>
      </c>
      <c r="H62" s="22">
        <f>INDEX('Activity data'!H$24:H$39,MATCH(Emissions!$D62,'Activity data'!$D$24:$D$39,0))*INDEX(EF!$H$84:$H$99,MATCH(Emissions!$D62,EF!$D$84:$D$99,0))*INDEX(EF!$H$100:$H$115,MATCH(Emissions!$D62,EF!$D$100:$D$115,0))*INDEX(EF!$H$116:$H$131,MATCH(Emissions!$D62,EF!$D$116:$D$131,0))*kgtoGg</f>
        <v>2.2958959683736984</v>
      </c>
      <c r="I62" s="22">
        <f>INDEX('Activity data'!I$24:I$39,MATCH(Emissions!$D62,'Activity data'!$D$24:$D$39,0))*INDEX(EF!$H$84:$H$99,MATCH(Emissions!$D62,EF!$D$84:$D$99,0))*INDEX(EF!$H$100:$H$115,MATCH(Emissions!$D62,EF!$D$100:$D$115,0))*INDEX(EF!$H$116:$H$131,MATCH(Emissions!$D62,EF!$D$116:$D$131,0))*kgtoGg</f>
        <v>2.2958959683736984</v>
      </c>
      <c r="J62" s="22">
        <f>INDEX('Activity data'!J$24:J$39,MATCH(Emissions!$D62,'Activity data'!$D$24:$D$39,0))*INDEX(EF!$H$84:$H$99,MATCH(Emissions!$D62,EF!$D$84:$D$99,0))*INDEX(EF!$H$100:$H$115,MATCH(Emissions!$D62,EF!$D$100:$D$115,0))*INDEX(EF!$H$116:$H$131,MATCH(Emissions!$D62,EF!$D$116:$D$131,0))*kgtoGg</f>
        <v>2.2958959683736984</v>
      </c>
      <c r="K62" s="22">
        <f>INDEX('Activity data'!K$24:K$39,MATCH(Emissions!$D62,'Activity data'!$D$24:$D$39,0))*INDEX(EF!$H$84:$H$99,MATCH(Emissions!$D62,EF!$D$84:$D$99,0))*INDEX(EF!$H$100:$H$115,MATCH(Emissions!$D62,EF!$D$100:$D$115,0))*INDEX(EF!$H$116:$H$131,MATCH(Emissions!$D62,EF!$D$116:$D$131,0))*kgtoGg</f>
        <v>2.2958959683736984</v>
      </c>
      <c r="L62" s="22">
        <f>INDEX('Activity data'!L$24:L$39,MATCH(Emissions!$D62,'Activity data'!$D$24:$D$39,0))*INDEX(EF!$H$84:$H$99,MATCH(Emissions!$D62,EF!$D$84:$D$99,0))*INDEX(EF!$H$100:$H$115,MATCH(Emissions!$D62,EF!$D$100:$D$115,0))*INDEX(EF!$H$116:$H$131,MATCH(Emissions!$D62,EF!$D$116:$D$131,0))*kgtoGg</f>
        <v>2.2958959683736984</v>
      </c>
      <c r="M62" s="22">
        <f>INDEX('Activity data'!M$24:M$39,MATCH(Emissions!$D62,'Activity data'!$D$24:$D$39,0))*INDEX(EF!$H$84:$H$99,MATCH(Emissions!$D62,EF!$D$84:$D$99,0))*INDEX(EF!$H$100:$H$115,MATCH(Emissions!$D62,EF!$D$100:$D$115,0))*INDEX(EF!$H$116:$H$131,MATCH(Emissions!$D62,EF!$D$116:$D$131,0))*kgtoGg</f>
        <v>2.2958959683736984</v>
      </c>
      <c r="N62" s="22">
        <f>INDEX('Activity data'!N$24:N$39,MATCH(Emissions!$D62,'Activity data'!$D$24:$D$39,0))*INDEX(EF!$H$84:$H$99,MATCH(Emissions!$D62,EF!$D$84:$D$99,0))*INDEX(EF!$H$100:$H$115,MATCH(Emissions!$D62,EF!$D$100:$D$115,0))*INDEX(EF!$H$116:$H$131,MATCH(Emissions!$D62,EF!$D$116:$D$131,0))*kgtoGg</f>
        <v>2.2958959683736984</v>
      </c>
      <c r="O62" s="22">
        <f>INDEX('Activity data'!O$24:O$39,MATCH(Emissions!$D62,'Activity data'!$D$24:$D$39,0))*INDEX(EF!$H$84:$H$99,MATCH(Emissions!$D62,EF!$D$84:$D$99,0))*INDEX(EF!$H$100:$H$115,MATCH(Emissions!$D62,EF!$D$100:$D$115,0))*INDEX(EF!$H$116:$H$131,MATCH(Emissions!$D62,EF!$D$116:$D$131,0))*kgtoGg</f>
        <v>2.2958959683736984</v>
      </c>
      <c r="P62" s="22">
        <f>INDEX('Activity data'!P$24:P$39,MATCH(Emissions!$D62,'Activity data'!$D$24:$D$39,0))*INDEX(EF!$H$84:$H$99,MATCH(Emissions!$D62,EF!$D$84:$D$99,0))*INDEX(EF!$H$100:$H$115,MATCH(Emissions!$D62,EF!$D$100:$D$115,0))*INDEX(EF!$H$116:$H$131,MATCH(Emissions!$D62,EF!$D$116:$D$131,0))*kgtoGg</f>
        <v>2.2958959683736984</v>
      </c>
      <c r="Q62" s="22">
        <f>INDEX('Activity data'!Q$24:Q$39,MATCH(Emissions!$D62,'Activity data'!$D$24:$D$39,0))*INDEX(EF!$H$84:$H$99,MATCH(Emissions!$D62,EF!$D$84:$D$99,0))*INDEX(EF!$H$100:$H$115,MATCH(Emissions!$D62,EF!$D$100:$D$115,0))*INDEX(EF!$H$116:$H$131,MATCH(Emissions!$D62,EF!$D$116:$D$131,0))*kgtoGg</f>
        <v>2.2958959683736984</v>
      </c>
      <c r="R62" s="22">
        <f>INDEX('Activity data'!R$24:R$39,MATCH(Emissions!$D62,'Activity data'!$D$24:$D$39,0))*INDEX(EF!$H$84:$H$99,MATCH(Emissions!$D62,EF!$D$84:$D$99,0))*INDEX(EF!$H$100:$H$115,MATCH(Emissions!$D62,EF!$D$100:$D$115,0))*INDEX(EF!$H$116:$H$131,MATCH(Emissions!$D62,EF!$D$116:$D$131,0))*kgtoGg</f>
        <v>2.0976445708843015</v>
      </c>
      <c r="S62" s="22">
        <f>INDEX('Activity data'!S$24:S$39,MATCH(Emissions!$D62,'Activity data'!$D$24:$D$39,0))*INDEX(EF!$H$84:$H$99,MATCH(Emissions!$D62,EF!$D$84:$D$99,0))*INDEX(EF!$H$100:$H$115,MATCH(Emissions!$D62,EF!$D$100:$D$115,0))*INDEX(EF!$H$116:$H$131,MATCH(Emissions!$D62,EF!$D$116:$D$131,0))*kgtoGg</f>
        <v>3.1399253451906373</v>
      </c>
      <c r="T62" s="22">
        <f>INDEX('Activity data'!T$24:T$39,MATCH(Emissions!$D62,'Activity data'!$D$24:$D$39,0))*INDEX(EF!$H$84:$H$99,MATCH(Emissions!$D62,EF!$D$84:$D$99,0))*INDEX(EF!$H$100:$H$115,MATCH(Emissions!$D62,EF!$D$100:$D$115,0))*INDEX(EF!$H$116:$H$131,MATCH(Emissions!$D62,EF!$D$116:$D$131,0))*kgtoGg</f>
        <v>2.47225510859524</v>
      </c>
      <c r="U62" s="22">
        <f>INDEX('Activity data'!U$24:U$39,MATCH(Emissions!$D62,'Activity data'!$D$24:$D$39,0))*INDEX(EF!$H$84:$H$99,MATCH(Emissions!$D62,EF!$D$84:$D$99,0))*INDEX(EF!$H$100:$H$115,MATCH(Emissions!$D62,EF!$D$100:$D$115,0))*INDEX(EF!$H$116:$H$131,MATCH(Emissions!$D62,EF!$D$116:$D$131,0))*kgtoGg</f>
        <v>2.0972084701419136</v>
      </c>
      <c r="V62" s="22">
        <f>INDEX('Activity data'!V$24:V$39,MATCH(Emissions!$D62,'Activity data'!$D$24:$D$39,0))*INDEX(EF!$H$84:$H$99,MATCH(Emissions!$D62,EF!$D$84:$D$99,0))*INDEX(EF!$H$100:$H$115,MATCH(Emissions!$D62,EF!$D$100:$D$115,0))*INDEX(EF!$H$116:$H$131,MATCH(Emissions!$D62,EF!$D$116:$D$131,0))*kgtoGg</f>
        <v>1.6724463470564022</v>
      </c>
      <c r="W62" s="22">
        <f>INDEX('Activity data'!W$24:W$39,MATCH(Emissions!$D62,'Activity data'!$D$24:$D$39,0))*INDEX(EF!$H$84:$H$99,MATCH(Emissions!$D62,EF!$D$84:$D$99,0))*INDEX(EF!$H$100:$H$115,MATCH(Emissions!$D62,EF!$D$100:$D$115,0))*INDEX(EF!$H$116:$H$131,MATCH(Emissions!$D62,EF!$D$116:$D$131,0))*kgtoGg</f>
        <v>3.6253054714680237</v>
      </c>
      <c r="X62" s="22">
        <f>INDEX('Activity data'!X$24:X$39,MATCH(Emissions!$D62,'Activity data'!$D$24:$D$39,0))*INDEX(EF!$H$84:$H$99,MATCH(Emissions!$D62,EF!$D$84:$D$99,0))*INDEX(EF!$H$100:$H$115,MATCH(Emissions!$D62,EF!$D$100:$D$115,0))*INDEX(EF!$H$116:$H$131,MATCH(Emissions!$D62,EF!$D$116:$D$131,0))*kgtoGg</f>
        <v>2.840760235912752</v>
      </c>
      <c r="Y62" s="22">
        <f>INDEX('Activity data'!Y$24:Y$39,MATCH(Emissions!$D62,'Activity data'!$D$24:$D$39,0))*INDEX(EF!$H$84:$H$99,MATCH(Emissions!$D62,EF!$D$84:$D$99,0))*INDEX(EF!$H$100:$H$115,MATCH(Emissions!$D62,EF!$D$100:$D$115,0))*INDEX(EF!$H$116:$H$131,MATCH(Emissions!$D62,EF!$D$116:$D$131,0))*kgtoGg</f>
        <v>4.3989481884636055</v>
      </c>
      <c r="Z62" s="22">
        <f>INDEX('Activity data'!Z$24:Z$39,MATCH(Emissions!$D62,'Activity data'!$D$24:$D$39,0))*INDEX(EF!$H$84:$H$99,MATCH(Emissions!$D62,EF!$D$84:$D$99,0))*INDEX(EF!$H$100:$H$115,MATCH(Emissions!$D62,EF!$D$100:$D$115,0))*INDEX(EF!$H$116:$H$131,MATCH(Emissions!$D62,EF!$D$116:$D$131,0))*kgtoGg</f>
        <v>2.6466954055502754</v>
      </c>
      <c r="AA62" s="22">
        <f>INDEX('Activity data'!AA$24:AA$39,MATCH(Emissions!$D62,'Activity data'!$D$24:$D$39,0))*INDEX(EF!$H$84:$H$99,MATCH(Emissions!$D62,EF!$D$84:$D$99,0))*INDEX(EF!$H$100:$H$115,MATCH(Emissions!$D62,EF!$D$100:$D$115,0))*INDEX(EF!$H$116:$H$131,MATCH(Emissions!$D62,EF!$D$116:$D$131,0))*kgtoGg</f>
        <v>3.1307672296004982</v>
      </c>
      <c r="AB62" s="22">
        <f>INDEX('Activity data'!AB$24:AB$39,MATCH(Emissions!$D62,'Activity data'!$D$24:$D$39,0))*INDEX(EF!$H$84:$H$99,MATCH(Emissions!$D62,EF!$D$84:$D$99,0))*INDEX(EF!$H$100:$H$115,MATCH(Emissions!$D62,EF!$D$100:$D$115,0))*INDEX(EF!$H$116:$H$131,MATCH(Emissions!$D62,EF!$D$116:$D$131,0))*kgtoGg</f>
        <v>2.1033375300000001</v>
      </c>
      <c r="AC62" s="22">
        <f>INDEX('Activity data'!AC$24:AC$39,MATCH(Emissions!$D62,'Activity data'!$D$24:$D$39,0))*INDEX(EF!$H$84:$H$99,MATCH(Emissions!$D62,EF!$D$84:$D$99,0))*INDEX(EF!$H$100:$H$115,MATCH(Emissions!$D62,EF!$D$100:$D$115,0))*INDEX(EF!$H$116:$H$131,MATCH(Emissions!$D62,EF!$D$116:$D$131,0))*kgtoGg</f>
        <v>1.4277904830000001</v>
      </c>
      <c r="AD62" s="22">
        <f>INDEX('Activity data'!AD$24:AD$39,MATCH(Emissions!$D62,'Activity data'!$D$24:$D$39,0))*INDEX(EF!$H$84:$H$99,MATCH(Emissions!$D62,EF!$D$84:$D$99,0))*INDEX(EF!$H$100:$H$115,MATCH(Emissions!$D62,EF!$D$100:$D$115,0))*INDEX(EF!$H$116:$H$131,MATCH(Emissions!$D62,EF!$D$116:$D$131,0))*kgtoGg</f>
        <v>2.1063465196390041</v>
      </c>
      <c r="AE62" s="22">
        <f>INDEX('Activity data'!AE$24:AE$39,MATCH(Emissions!$D62,'Activity data'!$D$24:$D$39,0))*INDEX(EF!$H$84:$H$99,MATCH(Emissions!$D62,EF!$D$84:$D$99,0))*INDEX(EF!$H$100:$H$115,MATCH(Emissions!$D62,EF!$D$100:$D$115,0))*INDEX(EF!$H$116:$H$131,MATCH(Emissions!$D62,EF!$D$116:$D$131,0))*kgtoGg</f>
        <v>2.1066609711212716</v>
      </c>
      <c r="AF62" s="22">
        <f>INDEX('Activity data'!AF$24:AF$39,MATCH(Emissions!$D62,'Activity data'!$D$24:$D$39,0))*INDEX(EF!$H$84:$H$99,MATCH(Emissions!$D62,EF!$D$84:$D$99,0))*INDEX(EF!$H$100:$H$115,MATCH(Emissions!$D62,EF!$D$100:$D$115,0))*INDEX(EF!$H$116:$H$131,MATCH(Emissions!$D62,EF!$D$116:$D$131,0))*kgtoGg</f>
        <v>2.1069754226035395</v>
      </c>
      <c r="AG62" s="22">
        <f>INDEX('Activity data'!AG$24:AG$39,MATCH(Emissions!$D62,'Activity data'!$D$24:$D$39,0))*INDEX(EF!$H$84:$H$99,MATCH(Emissions!$D62,EF!$D$84:$D$99,0))*INDEX(EF!$H$100:$H$115,MATCH(Emissions!$D62,EF!$D$100:$D$115,0))*INDEX(EF!$H$116:$H$131,MATCH(Emissions!$D62,EF!$D$116:$D$131,0))*kgtoGg</f>
        <v>2.1072898740858075</v>
      </c>
      <c r="AH62" s="22">
        <f>INDEX('Activity data'!AH$24:AH$39,MATCH(Emissions!$D62,'Activity data'!$D$24:$D$39,0))*INDEX(EF!$H$84:$H$99,MATCH(Emissions!$D62,EF!$D$84:$D$99,0))*INDEX(EF!$H$100:$H$115,MATCH(Emissions!$D62,EF!$D$100:$D$115,0))*INDEX(EF!$H$116:$H$131,MATCH(Emissions!$D62,EF!$D$116:$D$131,0))*kgtoGg</f>
        <v>2.1076043255680759</v>
      </c>
      <c r="AI62" s="22">
        <f>INDEX('Activity data'!AI$24:AI$39,MATCH(Emissions!$D62,'Activity data'!$D$24:$D$39,0))*INDEX(EF!$H$84:$H$99,MATCH(Emissions!$D62,EF!$D$84:$D$99,0))*INDEX(EF!$H$100:$H$115,MATCH(Emissions!$D62,EF!$D$100:$D$115,0))*INDEX(EF!$H$116:$H$131,MATCH(Emissions!$D62,EF!$D$116:$D$131,0))*kgtoGg</f>
        <v>2.1079187770503438</v>
      </c>
      <c r="AJ62" s="22">
        <f>INDEX('Activity data'!AJ$24:AJ$39,MATCH(Emissions!$D62,'Activity data'!$D$24:$D$39,0))*INDEX(EF!$H$84:$H$99,MATCH(Emissions!$D62,EF!$D$84:$D$99,0))*INDEX(EF!$H$100:$H$115,MATCH(Emissions!$D62,EF!$D$100:$D$115,0))*INDEX(EF!$H$116:$H$131,MATCH(Emissions!$D62,EF!$D$116:$D$131,0))*kgtoGg</f>
        <v>2.1082332285326113</v>
      </c>
      <c r="AK62" s="22">
        <f>INDEX('Activity data'!AK$24:AK$39,MATCH(Emissions!$D62,'Activity data'!$D$24:$D$39,0))*INDEX(EF!$H$84:$H$99,MATCH(Emissions!$D62,EF!$D$84:$D$99,0))*INDEX(EF!$H$100:$H$115,MATCH(Emissions!$D62,EF!$D$100:$D$115,0))*INDEX(EF!$H$116:$H$131,MATCH(Emissions!$D62,EF!$D$116:$D$131,0))*kgtoGg</f>
        <v>2.1085476800148797</v>
      </c>
      <c r="AL62" s="22">
        <f>INDEX('Activity data'!AL$24:AL$39,MATCH(Emissions!$D62,'Activity data'!$D$24:$D$39,0))*INDEX(EF!$H$84:$H$99,MATCH(Emissions!$D62,EF!$D$84:$D$99,0))*INDEX(EF!$H$100:$H$115,MATCH(Emissions!$D62,EF!$D$100:$D$115,0))*INDEX(EF!$H$116:$H$131,MATCH(Emissions!$D62,EF!$D$116:$D$131,0))*kgtoGg</f>
        <v>2.1088621314971481</v>
      </c>
      <c r="AM62" s="22">
        <f>INDEX('Activity data'!AM$24:AM$39,MATCH(Emissions!$D62,'Activity data'!$D$24:$D$39,0))*INDEX(EF!$H$84:$H$99,MATCH(Emissions!$D62,EF!$D$84:$D$99,0))*INDEX(EF!$H$100:$H$115,MATCH(Emissions!$D62,EF!$D$100:$D$115,0))*INDEX(EF!$H$116:$H$131,MATCH(Emissions!$D62,EF!$D$116:$D$131,0))*kgtoGg</f>
        <v>2.109176582979416</v>
      </c>
      <c r="AN62" s="22">
        <f>INDEX('Activity data'!AN$24:AN$39,MATCH(Emissions!$D62,'Activity data'!$D$24:$D$39,0))*INDEX(EF!$H$84:$H$99,MATCH(Emissions!$D62,EF!$D$84:$D$99,0))*INDEX(EF!$H$100:$H$115,MATCH(Emissions!$D62,EF!$D$100:$D$115,0))*INDEX(EF!$H$116:$H$131,MATCH(Emissions!$D62,EF!$D$116:$D$131,0))*kgtoGg</f>
        <v>2.1094910344616835</v>
      </c>
      <c r="AO62" s="22">
        <f>INDEX('Activity data'!AO$24:AO$39,MATCH(Emissions!$D62,'Activity data'!$D$24:$D$39,0))*INDEX(EF!$H$84:$H$99,MATCH(Emissions!$D62,EF!$D$84:$D$99,0))*INDEX(EF!$H$100:$H$115,MATCH(Emissions!$D62,EF!$D$100:$D$115,0))*INDEX(EF!$H$116:$H$131,MATCH(Emissions!$D62,EF!$D$116:$D$131,0))*kgtoGg</f>
        <v>2.1098054859439519</v>
      </c>
      <c r="AP62" s="22">
        <f>INDEX('Activity data'!AP$24:AP$39,MATCH(Emissions!$D62,'Activity data'!$D$24:$D$39,0))*INDEX(EF!$H$84:$H$99,MATCH(Emissions!$D62,EF!$D$84:$D$99,0))*INDEX(EF!$H$100:$H$115,MATCH(Emissions!$D62,EF!$D$100:$D$115,0))*INDEX(EF!$H$116:$H$131,MATCH(Emissions!$D62,EF!$D$116:$D$131,0))*kgtoGg</f>
        <v>2.1101199374262194</v>
      </c>
      <c r="AQ62" s="22">
        <f>INDEX('Activity data'!AQ$24:AQ$39,MATCH(Emissions!$D62,'Activity data'!$D$24:$D$39,0))*INDEX(EF!$H$84:$H$99,MATCH(Emissions!$D62,EF!$D$84:$D$99,0))*INDEX(EF!$H$100:$H$115,MATCH(Emissions!$D62,EF!$D$100:$D$115,0))*INDEX(EF!$H$116:$H$131,MATCH(Emissions!$D62,EF!$D$116:$D$131,0))*kgtoGg</f>
        <v>2.1104343889084878</v>
      </c>
      <c r="AR62" s="22">
        <f>INDEX('Activity data'!AR$24:AR$39,MATCH(Emissions!$D62,'Activity data'!$D$24:$D$39,0))*INDEX(EF!$H$84:$H$99,MATCH(Emissions!$D62,EF!$D$84:$D$99,0))*INDEX(EF!$H$100:$H$115,MATCH(Emissions!$D62,EF!$D$100:$D$115,0))*INDEX(EF!$H$116:$H$131,MATCH(Emissions!$D62,EF!$D$116:$D$131,0))*kgtoGg</f>
        <v>2.1107488403907562</v>
      </c>
      <c r="AS62" s="22">
        <f>INDEX('Activity data'!AS$24:AS$39,MATCH(Emissions!$D62,'Activity data'!$D$24:$D$39,0))*INDEX(EF!$H$84:$H$99,MATCH(Emissions!$D62,EF!$D$84:$D$99,0))*INDEX(EF!$H$100:$H$115,MATCH(Emissions!$D62,EF!$D$100:$D$115,0))*INDEX(EF!$H$116:$H$131,MATCH(Emissions!$D62,EF!$D$116:$D$131,0))*kgtoGg</f>
        <v>2.1110632918730237</v>
      </c>
      <c r="AT62" s="22">
        <f>INDEX('Activity data'!AT$24:AT$39,MATCH(Emissions!$D62,'Activity data'!$D$24:$D$39,0))*INDEX(EF!$H$84:$H$99,MATCH(Emissions!$D62,EF!$D$84:$D$99,0))*INDEX(EF!$H$100:$H$115,MATCH(Emissions!$D62,EF!$D$100:$D$115,0))*INDEX(EF!$H$116:$H$131,MATCH(Emissions!$D62,EF!$D$116:$D$131,0))*kgtoGg</f>
        <v>2.111377743355292</v>
      </c>
      <c r="AU62" s="22">
        <f>INDEX('Activity data'!AU$24:AU$39,MATCH(Emissions!$D62,'Activity data'!$D$24:$D$39,0))*INDEX(EF!$H$84:$H$99,MATCH(Emissions!$D62,EF!$D$84:$D$99,0))*INDEX(EF!$H$100:$H$115,MATCH(Emissions!$D62,EF!$D$100:$D$115,0))*INDEX(EF!$H$116:$H$131,MATCH(Emissions!$D62,EF!$D$116:$D$131,0))*kgtoGg</f>
        <v>2.1116921948375604</v>
      </c>
      <c r="AV62" s="22">
        <f>INDEX('Activity data'!AV$24:AV$39,MATCH(Emissions!$D62,'Activity data'!$D$24:$D$39,0))*INDEX(EF!$H$84:$H$99,MATCH(Emissions!$D62,EF!$D$84:$D$99,0))*INDEX(EF!$H$100:$H$115,MATCH(Emissions!$D62,EF!$D$100:$D$115,0))*INDEX(EF!$H$116:$H$131,MATCH(Emissions!$D62,EF!$D$116:$D$131,0))*kgtoGg</f>
        <v>2.1120066463198279</v>
      </c>
      <c r="AW62" s="22">
        <f>INDEX('Activity data'!AW$24:AW$39,MATCH(Emissions!$D62,'Activity data'!$D$24:$D$39,0))*INDEX(EF!$H$84:$H$99,MATCH(Emissions!$D62,EF!$D$84:$D$99,0))*INDEX(EF!$H$100:$H$115,MATCH(Emissions!$D62,EF!$D$100:$D$115,0))*INDEX(EF!$H$116:$H$131,MATCH(Emissions!$D62,EF!$D$116:$D$131,0))*kgtoGg</f>
        <v>2.1123210978020959</v>
      </c>
      <c r="AX62" s="22">
        <f>INDEX('Activity data'!AX$24:AX$39,MATCH(Emissions!$D62,'Activity data'!$D$24:$D$39,0))*INDEX(EF!$H$84:$H$99,MATCH(Emissions!$D62,EF!$D$84:$D$99,0))*INDEX(EF!$H$100:$H$115,MATCH(Emissions!$D62,EF!$D$100:$D$115,0))*INDEX(EF!$H$116:$H$131,MATCH(Emissions!$D62,EF!$D$116:$D$131,0))*kgtoGg</f>
        <v>2.1126355492843643</v>
      </c>
      <c r="AY62" s="22">
        <f>INDEX('Activity data'!AY$24:AY$39,MATCH(Emissions!$D62,'Activity data'!$D$24:$D$39,0))*INDEX(EF!$H$84:$H$99,MATCH(Emissions!$D62,EF!$D$84:$D$99,0))*INDEX(EF!$H$100:$H$115,MATCH(Emissions!$D62,EF!$D$100:$D$115,0))*INDEX(EF!$H$116:$H$131,MATCH(Emissions!$D62,EF!$D$116:$D$131,0))*kgtoGg</f>
        <v>2.1129500007666326</v>
      </c>
      <c r="AZ62" s="22">
        <f>INDEX('Activity data'!AZ$24:AZ$39,MATCH(Emissions!$D62,'Activity data'!$D$24:$D$39,0))*INDEX(EF!$H$84:$H$99,MATCH(Emissions!$D62,EF!$D$84:$D$99,0))*INDEX(EF!$H$100:$H$115,MATCH(Emissions!$D62,EF!$D$100:$D$115,0))*INDEX(EF!$H$116:$H$131,MATCH(Emissions!$D62,EF!$D$116:$D$131,0))*kgtoGg</f>
        <v>2.1132644522489006</v>
      </c>
      <c r="BA62" s="22">
        <f>INDEX('Activity data'!BA$24:BA$39,MATCH(Emissions!$D62,'Activity data'!$D$24:$D$39,0))*INDEX(EF!$H$84:$H$99,MATCH(Emissions!$D62,EF!$D$84:$D$99,0))*INDEX(EF!$H$100:$H$115,MATCH(Emissions!$D62,EF!$D$100:$D$115,0))*INDEX(EF!$H$116:$H$131,MATCH(Emissions!$D62,EF!$D$116:$D$131,0))*kgtoGg</f>
        <v>2.1135789037311681</v>
      </c>
      <c r="BB62" s="22">
        <f>INDEX('Activity data'!BB$24:BB$39,MATCH(Emissions!$D62,'Activity data'!$D$24:$D$39,0))*INDEX(EF!$H$84:$H$99,MATCH(Emissions!$D62,EF!$D$84:$D$99,0))*INDEX(EF!$H$100:$H$115,MATCH(Emissions!$D62,EF!$D$100:$D$115,0))*INDEX(EF!$H$116:$H$131,MATCH(Emissions!$D62,EF!$D$116:$D$131,0))*kgtoGg</f>
        <v>2.113893355213436</v>
      </c>
      <c r="BC62" s="22">
        <f>INDEX('Activity data'!BC$24:BC$39,MATCH(Emissions!$D62,'Activity data'!$D$24:$D$39,0))*INDEX(EF!$H$84:$H$99,MATCH(Emissions!$D62,EF!$D$84:$D$99,0))*INDEX(EF!$H$100:$H$115,MATCH(Emissions!$D62,EF!$D$100:$D$115,0))*INDEX(EF!$H$116:$H$131,MATCH(Emissions!$D62,EF!$D$116:$D$131,0))*kgtoGg</f>
        <v>2.1142078066957044</v>
      </c>
      <c r="BD62" s="22">
        <f>INDEX('Activity data'!BD$24:BD$39,MATCH(Emissions!$D62,'Activity data'!$D$24:$D$39,0))*INDEX(EF!$H$84:$H$99,MATCH(Emissions!$D62,EF!$D$84:$D$99,0))*INDEX(EF!$H$100:$H$115,MATCH(Emissions!$D62,EF!$D$100:$D$115,0))*INDEX(EF!$H$116:$H$131,MATCH(Emissions!$D62,EF!$D$116:$D$131,0))*kgtoGg</f>
        <v>2.1145222581779723</v>
      </c>
      <c r="BE62" s="22">
        <f>INDEX('Activity data'!BE$24:BE$39,MATCH(Emissions!$D62,'Activity data'!$D$24:$D$39,0))*INDEX(EF!$H$84:$H$99,MATCH(Emissions!$D62,EF!$D$84:$D$99,0))*INDEX(EF!$H$100:$H$115,MATCH(Emissions!$D62,EF!$D$100:$D$115,0))*INDEX(EF!$H$116:$H$131,MATCH(Emissions!$D62,EF!$D$116:$D$131,0))*kgtoGg</f>
        <v>2.1148367096602407</v>
      </c>
      <c r="BF62" s="22">
        <f>INDEX('Activity data'!BF$24:BF$39,MATCH(Emissions!$D62,'Activity data'!$D$24:$D$39,0))*INDEX(EF!$H$84:$H$99,MATCH(Emissions!$D62,EF!$D$84:$D$99,0))*INDEX(EF!$H$100:$H$115,MATCH(Emissions!$D62,EF!$D$100:$D$115,0))*INDEX(EF!$H$116:$H$131,MATCH(Emissions!$D62,EF!$D$116:$D$131,0))*kgtoGg</f>
        <v>2.1151511611425082</v>
      </c>
      <c r="BG62" s="22">
        <f>INDEX('Activity data'!BG$24:BG$39,MATCH(Emissions!$D62,'Activity data'!$D$24:$D$39,0))*INDEX(EF!$H$84:$H$99,MATCH(Emissions!$D62,EF!$D$84:$D$99,0))*INDEX(EF!$H$100:$H$115,MATCH(Emissions!$D62,EF!$D$100:$D$115,0))*INDEX(EF!$H$116:$H$131,MATCH(Emissions!$D62,EF!$D$116:$D$131,0))*kgtoGg</f>
        <v>2.1154656126247766</v>
      </c>
      <c r="BH62" s="22">
        <f>INDEX('Activity data'!BH$24:BH$39,MATCH(Emissions!$D62,'Activity data'!$D$24:$D$39,0))*INDEX(EF!$H$84:$H$99,MATCH(Emissions!$D62,EF!$D$84:$D$99,0))*INDEX(EF!$H$100:$H$115,MATCH(Emissions!$D62,EF!$D$100:$D$115,0))*INDEX(EF!$H$116:$H$131,MATCH(Emissions!$D62,EF!$D$116:$D$131,0))*kgtoGg</f>
        <v>2.1157800641070446</v>
      </c>
      <c r="BI62" s="22">
        <f>INDEX('Activity data'!BI$24:BI$39,MATCH(Emissions!$D62,'Activity data'!$D$24:$D$39,0))*INDEX(EF!$H$84:$H$99,MATCH(Emissions!$D62,EF!$D$84:$D$99,0))*INDEX(EF!$H$100:$H$115,MATCH(Emissions!$D62,EF!$D$100:$D$115,0))*INDEX(EF!$H$116:$H$131,MATCH(Emissions!$D62,EF!$D$116:$D$131,0))*kgtoGg</f>
        <v>2.1160945155893125</v>
      </c>
      <c r="BJ62" s="22">
        <f>INDEX('Activity data'!BJ$24:BJ$39,MATCH(Emissions!$D62,'Activity data'!$D$24:$D$39,0))*INDEX(EF!$H$84:$H$99,MATCH(Emissions!$D62,EF!$D$84:$D$99,0))*INDEX(EF!$H$100:$H$115,MATCH(Emissions!$D62,EF!$D$100:$D$115,0))*INDEX(EF!$H$116:$H$131,MATCH(Emissions!$D62,EF!$D$116:$D$131,0))*kgtoGg</f>
        <v>2.11640896707158</v>
      </c>
      <c r="BK62" s="22">
        <f>INDEX('Activity data'!BK$24:BK$39,MATCH(Emissions!$D62,'Activity data'!$D$24:$D$39,0))*INDEX(EF!$H$84:$H$99,MATCH(Emissions!$D62,EF!$D$84:$D$99,0))*INDEX(EF!$H$100:$H$115,MATCH(Emissions!$D62,EF!$D$100:$D$115,0))*INDEX(EF!$H$116:$H$131,MATCH(Emissions!$D62,EF!$D$116:$D$131,0))*kgtoGg</f>
        <v>2.1167234185538484</v>
      </c>
      <c r="BL62" s="22">
        <f>INDEX('Activity data'!BL$24:BL$39,MATCH(Emissions!$D62,'Activity data'!$D$24:$D$39,0))*INDEX(EF!$H$84:$H$99,MATCH(Emissions!$D62,EF!$D$84:$D$99,0))*INDEX(EF!$H$100:$H$115,MATCH(Emissions!$D62,EF!$D$100:$D$115,0))*INDEX(EF!$H$116:$H$131,MATCH(Emissions!$D62,EF!$D$116:$D$131,0))*kgtoGg</f>
        <v>2.1170378700361168</v>
      </c>
      <c r="BM62" s="22">
        <f>INDEX('Activity data'!BM$24:BM$39,MATCH(Emissions!$D62,'Activity data'!$D$24:$D$39,0))*INDEX(EF!$H$84:$H$99,MATCH(Emissions!$D62,EF!$D$84:$D$99,0))*INDEX(EF!$H$100:$H$115,MATCH(Emissions!$D62,EF!$D$100:$D$115,0))*INDEX(EF!$H$116:$H$131,MATCH(Emissions!$D62,EF!$D$116:$D$131,0))*kgtoGg</f>
        <v>2.1173523215183847</v>
      </c>
      <c r="BN62" s="22">
        <f>INDEX('Activity data'!BN$24:BN$39,MATCH(Emissions!$D62,'Activity data'!$D$24:$D$39,0))*INDEX(EF!$H$84:$H$99,MATCH(Emissions!$D62,EF!$D$84:$D$99,0))*INDEX(EF!$H$100:$H$115,MATCH(Emissions!$D62,EF!$D$100:$D$115,0))*INDEX(EF!$H$116:$H$131,MATCH(Emissions!$D62,EF!$D$116:$D$131,0))*kgtoGg</f>
        <v>2.1176667730006526</v>
      </c>
      <c r="BO62" s="22">
        <f>INDEX('Activity data'!BO$24:BO$39,MATCH(Emissions!$D62,'Activity data'!$D$24:$D$39,0))*INDEX(EF!$H$84:$H$99,MATCH(Emissions!$D62,EF!$D$84:$D$99,0))*INDEX(EF!$H$100:$H$115,MATCH(Emissions!$D62,EF!$D$100:$D$115,0))*INDEX(EF!$H$116:$H$131,MATCH(Emissions!$D62,EF!$D$116:$D$131,0))*kgtoGg</f>
        <v>2.117981224482921</v>
      </c>
      <c r="BP62" s="22">
        <f>INDEX('Activity data'!BP$24:BP$39,MATCH(Emissions!$D62,'Activity data'!$D$24:$D$39,0))*INDEX(EF!$H$84:$H$99,MATCH(Emissions!$D62,EF!$D$84:$D$99,0))*INDEX(EF!$H$100:$H$115,MATCH(Emissions!$D62,EF!$D$100:$D$115,0))*INDEX(EF!$H$116:$H$131,MATCH(Emissions!$D62,EF!$D$116:$D$131,0))*kgtoGg</f>
        <v>2.1182956759651885</v>
      </c>
    </row>
    <row r="63" spans="1:68" x14ac:dyDescent="0.25">
      <c r="A63" t="str">
        <f t="shared" si="19"/>
        <v>3C Aggregated and non-CO2 emissions on land</v>
      </c>
      <c r="B63" t="str">
        <f t="shared" si="20"/>
        <v>3C1 Biomass burning (CH4)</v>
      </c>
      <c r="C63" t="str">
        <f>'IPCC Categories'!C61</f>
        <v>3C1c Biomass burning in Grasslands</v>
      </c>
      <c r="D63" t="str">
        <f>EF!D93</f>
        <v>Grasslands</v>
      </c>
      <c r="E63" t="s">
        <v>650</v>
      </c>
      <c r="F63" t="str">
        <f t="shared" si="21"/>
        <v>CH4</v>
      </c>
      <c r="G63" t="str">
        <f t="shared" si="22"/>
        <v>Gg CH4</v>
      </c>
      <c r="H63" s="22">
        <f>INDEX('Activity data'!H$24:H$39,MATCH(Emissions!$D63,'Activity data'!$D$24:$D$39,0))*INDEX(EF!$H$84:$H$99,MATCH(Emissions!$D63,EF!$D$84:$D$99,0))*INDEX(EF!$H$100:$H$115,MATCH(Emissions!$D63,EF!$D$100:$D$115,0))*INDEX(EF!$H$116:$H$131,MATCH(Emissions!$D63,EF!$D$116:$D$131,0))*kgtoGg</f>
        <v>22.517316723914707</v>
      </c>
      <c r="I63" s="22">
        <f>INDEX('Activity data'!I$24:I$39,MATCH(Emissions!$D63,'Activity data'!$D$24:$D$39,0))*INDEX(EF!$H$84:$H$99,MATCH(Emissions!$D63,EF!$D$84:$D$99,0))*INDEX(EF!$H$100:$H$115,MATCH(Emissions!$D63,EF!$D$100:$D$115,0))*INDEX(EF!$H$116:$H$131,MATCH(Emissions!$D63,EF!$D$116:$D$131,0))*kgtoGg</f>
        <v>22.517316723914707</v>
      </c>
      <c r="J63" s="22">
        <f>INDEX('Activity data'!J$24:J$39,MATCH(Emissions!$D63,'Activity data'!$D$24:$D$39,0))*INDEX(EF!$H$84:$H$99,MATCH(Emissions!$D63,EF!$D$84:$D$99,0))*INDEX(EF!$H$100:$H$115,MATCH(Emissions!$D63,EF!$D$100:$D$115,0))*INDEX(EF!$H$116:$H$131,MATCH(Emissions!$D63,EF!$D$116:$D$131,0))*kgtoGg</f>
        <v>22.517316723914707</v>
      </c>
      <c r="K63" s="22">
        <f>INDEX('Activity data'!K$24:K$39,MATCH(Emissions!$D63,'Activity data'!$D$24:$D$39,0))*INDEX(EF!$H$84:$H$99,MATCH(Emissions!$D63,EF!$D$84:$D$99,0))*INDEX(EF!$H$100:$H$115,MATCH(Emissions!$D63,EF!$D$100:$D$115,0))*INDEX(EF!$H$116:$H$131,MATCH(Emissions!$D63,EF!$D$116:$D$131,0))*kgtoGg</f>
        <v>22.517316723914707</v>
      </c>
      <c r="L63" s="22">
        <f>INDEX('Activity data'!L$24:L$39,MATCH(Emissions!$D63,'Activity data'!$D$24:$D$39,0))*INDEX(EF!$H$84:$H$99,MATCH(Emissions!$D63,EF!$D$84:$D$99,0))*INDEX(EF!$H$100:$H$115,MATCH(Emissions!$D63,EF!$D$100:$D$115,0))*INDEX(EF!$H$116:$H$131,MATCH(Emissions!$D63,EF!$D$116:$D$131,0))*kgtoGg</f>
        <v>22.517316723914707</v>
      </c>
      <c r="M63" s="22">
        <f>INDEX('Activity data'!M$24:M$39,MATCH(Emissions!$D63,'Activity data'!$D$24:$D$39,0))*INDEX(EF!$H$84:$H$99,MATCH(Emissions!$D63,EF!$D$84:$D$99,0))*INDEX(EF!$H$100:$H$115,MATCH(Emissions!$D63,EF!$D$100:$D$115,0))*INDEX(EF!$H$116:$H$131,MATCH(Emissions!$D63,EF!$D$116:$D$131,0))*kgtoGg</f>
        <v>22.517316723914707</v>
      </c>
      <c r="N63" s="22">
        <f>INDEX('Activity data'!N$24:N$39,MATCH(Emissions!$D63,'Activity data'!$D$24:$D$39,0))*INDEX(EF!$H$84:$H$99,MATCH(Emissions!$D63,EF!$D$84:$D$99,0))*INDEX(EF!$H$100:$H$115,MATCH(Emissions!$D63,EF!$D$100:$D$115,0))*INDEX(EF!$H$116:$H$131,MATCH(Emissions!$D63,EF!$D$116:$D$131,0))*kgtoGg</f>
        <v>22.517316723914707</v>
      </c>
      <c r="O63" s="22">
        <f>INDEX('Activity data'!O$24:O$39,MATCH(Emissions!$D63,'Activity data'!$D$24:$D$39,0))*INDEX(EF!$H$84:$H$99,MATCH(Emissions!$D63,EF!$D$84:$D$99,0))*INDEX(EF!$H$100:$H$115,MATCH(Emissions!$D63,EF!$D$100:$D$115,0))*INDEX(EF!$H$116:$H$131,MATCH(Emissions!$D63,EF!$D$116:$D$131,0))*kgtoGg</f>
        <v>22.517316723914707</v>
      </c>
      <c r="P63" s="22">
        <f>INDEX('Activity data'!P$24:P$39,MATCH(Emissions!$D63,'Activity data'!$D$24:$D$39,0))*INDEX(EF!$H$84:$H$99,MATCH(Emissions!$D63,EF!$D$84:$D$99,0))*INDEX(EF!$H$100:$H$115,MATCH(Emissions!$D63,EF!$D$100:$D$115,0))*INDEX(EF!$H$116:$H$131,MATCH(Emissions!$D63,EF!$D$116:$D$131,0))*kgtoGg</f>
        <v>22.517316723914707</v>
      </c>
      <c r="Q63" s="22">
        <f>INDEX('Activity data'!Q$24:Q$39,MATCH(Emissions!$D63,'Activity data'!$D$24:$D$39,0))*INDEX(EF!$H$84:$H$99,MATCH(Emissions!$D63,EF!$D$84:$D$99,0))*INDEX(EF!$H$100:$H$115,MATCH(Emissions!$D63,EF!$D$100:$D$115,0))*INDEX(EF!$H$116:$H$131,MATCH(Emissions!$D63,EF!$D$116:$D$131,0))*kgtoGg</f>
        <v>22.517316723914707</v>
      </c>
      <c r="R63" s="22">
        <f>INDEX('Activity data'!R$24:R$39,MATCH(Emissions!$D63,'Activity data'!$D$24:$D$39,0))*INDEX(EF!$H$84:$H$99,MATCH(Emissions!$D63,EF!$D$84:$D$99,0))*INDEX(EF!$H$100:$H$115,MATCH(Emissions!$D63,EF!$D$100:$D$115,0))*INDEX(EF!$H$116:$H$131,MATCH(Emissions!$D63,EF!$D$116:$D$131,0))*kgtoGg</f>
        <v>22.367920192777621</v>
      </c>
      <c r="S63" s="22">
        <f>INDEX('Activity data'!S$24:S$39,MATCH(Emissions!$D63,'Activity data'!$D$24:$D$39,0))*INDEX(EF!$H$84:$H$99,MATCH(Emissions!$D63,EF!$D$84:$D$99,0))*INDEX(EF!$H$100:$H$115,MATCH(Emissions!$D63,EF!$D$100:$D$115,0))*INDEX(EF!$H$116:$H$131,MATCH(Emissions!$D63,EF!$D$116:$D$131,0))*kgtoGg</f>
        <v>25.580620137780603</v>
      </c>
      <c r="T63" s="22">
        <f>INDEX('Activity data'!T$24:T$39,MATCH(Emissions!$D63,'Activity data'!$D$24:$D$39,0))*INDEX(EF!$H$84:$H$99,MATCH(Emissions!$D63,EF!$D$84:$D$99,0))*INDEX(EF!$H$100:$H$115,MATCH(Emissions!$D63,EF!$D$100:$D$115,0))*INDEX(EF!$H$116:$H$131,MATCH(Emissions!$D63,EF!$D$116:$D$131,0))*kgtoGg</f>
        <v>26.023631115635403</v>
      </c>
      <c r="U63" s="22">
        <f>INDEX('Activity data'!U$24:U$39,MATCH(Emissions!$D63,'Activity data'!$D$24:$D$39,0))*INDEX(EF!$H$84:$H$99,MATCH(Emissions!$D63,EF!$D$84:$D$99,0))*INDEX(EF!$H$100:$H$115,MATCH(Emissions!$D63,EF!$D$100:$D$115,0))*INDEX(EF!$H$116:$H$131,MATCH(Emissions!$D63,EF!$D$116:$D$131,0))*kgtoGg</f>
        <v>20.888315748075943</v>
      </c>
      <c r="V63" s="22">
        <f>INDEX('Activity data'!V$24:V$39,MATCH(Emissions!$D63,'Activity data'!$D$24:$D$39,0))*INDEX(EF!$H$84:$H$99,MATCH(Emissions!$D63,EF!$D$84:$D$99,0))*INDEX(EF!$H$100:$H$115,MATCH(Emissions!$D63,EF!$D$100:$D$115,0))*INDEX(EF!$H$116:$H$131,MATCH(Emissions!$D63,EF!$D$116:$D$131,0))*kgtoGg</f>
        <v>17.726096425303961</v>
      </c>
      <c r="W63" s="22">
        <f>INDEX('Activity data'!W$24:W$39,MATCH(Emissions!$D63,'Activity data'!$D$24:$D$39,0))*INDEX(EF!$H$84:$H$99,MATCH(Emissions!$D63,EF!$D$84:$D$99,0))*INDEX(EF!$H$100:$H$115,MATCH(Emissions!$D63,EF!$D$100:$D$115,0))*INDEX(EF!$H$116:$H$131,MATCH(Emissions!$D63,EF!$D$116:$D$131,0))*kgtoGg</f>
        <v>27.538484960343208</v>
      </c>
      <c r="X63" s="22">
        <f>INDEX('Activity data'!X$24:X$39,MATCH(Emissions!$D63,'Activity data'!$D$24:$D$39,0))*INDEX(EF!$H$84:$H$99,MATCH(Emissions!$D63,EF!$D$84:$D$99,0))*INDEX(EF!$H$100:$H$115,MATCH(Emissions!$D63,EF!$D$100:$D$115,0))*INDEX(EF!$H$116:$H$131,MATCH(Emissions!$D63,EF!$D$116:$D$131,0))*kgtoGg</f>
        <v>24.258332459772951</v>
      </c>
      <c r="Y63" s="22">
        <f>INDEX('Activity data'!Y$24:Y$39,MATCH(Emissions!$D63,'Activity data'!$D$24:$D$39,0))*INDEX(EF!$H$84:$H$99,MATCH(Emissions!$D63,EF!$D$84:$D$99,0))*INDEX(EF!$H$100:$H$115,MATCH(Emissions!$D63,EF!$D$100:$D$115,0))*INDEX(EF!$H$116:$H$131,MATCH(Emissions!$D63,EF!$D$116:$D$131,0))*kgtoGg</f>
        <v>22.854448948417762</v>
      </c>
      <c r="Z63" s="22">
        <f>INDEX('Activity data'!Z$24:Z$39,MATCH(Emissions!$D63,'Activity data'!$D$24:$D$39,0))*INDEX(EF!$H$84:$H$99,MATCH(Emissions!$D63,EF!$D$84:$D$99,0))*INDEX(EF!$H$100:$H$115,MATCH(Emissions!$D63,EF!$D$100:$D$115,0))*INDEX(EF!$H$116:$H$131,MATCH(Emissions!$D63,EF!$D$116:$D$131,0))*kgtoGg</f>
        <v>21.238198681470106</v>
      </c>
      <c r="AA63" s="22">
        <f>INDEX('Activity data'!AA$24:AA$39,MATCH(Emissions!$D63,'Activity data'!$D$24:$D$39,0))*INDEX(EF!$H$84:$H$99,MATCH(Emissions!$D63,EF!$D$84:$D$99,0))*INDEX(EF!$H$100:$H$115,MATCH(Emissions!$D63,EF!$D$100:$D$115,0))*INDEX(EF!$H$116:$H$131,MATCH(Emissions!$D63,EF!$D$116:$D$131,0))*kgtoGg</f>
        <v>21.969079759374946</v>
      </c>
      <c r="AB63" s="22">
        <f>INDEX('Activity data'!AB$24:AB$39,MATCH(Emissions!$D63,'Activity data'!$D$24:$D$39,0))*INDEX(EF!$H$84:$H$99,MATCH(Emissions!$D63,EF!$D$84:$D$99,0))*INDEX(EF!$H$100:$H$115,MATCH(Emissions!$D63,EF!$D$100:$D$115,0))*INDEX(EF!$H$116:$H$131,MATCH(Emissions!$D63,EF!$D$116:$D$131,0))*kgtoGg</f>
        <v>18.942062311799994</v>
      </c>
      <c r="AC63" s="22">
        <f>INDEX('Activity data'!AC$24:AC$39,MATCH(Emissions!$D63,'Activity data'!$D$24:$D$39,0))*INDEX(EF!$H$84:$H$99,MATCH(Emissions!$D63,EF!$D$84:$D$99,0))*INDEX(EF!$H$100:$H$115,MATCH(Emissions!$D63,EF!$D$100:$D$115,0))*INDEX(EF!$H$116:$H$131,MATCH(Emissions!$D63,EF!$D$116:$D$131,0))*kgtoGg</f>
        <v>19.242646390799994</v>
      </c>
      <c r="AD63" s="22">
        <f>INDEX('Activity data'!AD$24:AD$39,MATCH(Emissions!$D63,'Activity data'!$D$24:$D$39,0))*INDEX(EF!$H$84:$H$99,MATCH(Emissions!$D63,EF!$D$84:$D$99,0))*INDEX(EF!$H$100:$H$115,MATCH(Emissions!$D63,EF!$D$100:$D$115,0))*INDEX(EF!$H$116:$H$131,MATCH(Emissions!$D63,EF!$D$116:$D$131,0))*kgtoGg</f>
        <v>19.140814819727147</v>
      </c>
      <c r="AE63" s="22">
        <f>INDEX('Activity data'!AE$24:AE$39,MATCH(Emissions!$D63,'Activity data'!$D$24:$D$39,0))*INDEX(EF!$H$84:$H$99,MATCH(Emissions!$D63,EF!$D$84:$D$99,0))*INDEX(EF!$H$100:$H$115,MATCH(Emissions!$D63,EF!$D$100:$D$115,0))*INDEX(EF!$H$116:$H$131,MATCH(Emissions!$D63,EF!$D$116:$D$131,0))*kgtoGg</f>
        <v>19.263613253106172</v>
      </c>
      <c r="AF63" s="22">
        <f>INDEX('Activity data'!AF$24:AF$39,MATCH(Emissions!$D63,'Activity data'!$D$24:$D$39,0))*INDEX(EF!$H$84:$H$99,MATCH(Emissions!$D63,EF!$D$84:$D$99,0))*INDEX(EF!$H$100:$H$115,MATCH(Emissions!$D63,EF!$D$100:$D$115,0))*INDEX(EF!$H$116:$H$131,MATCH(Emissions!$D63,EF!$D$116:$D$131,0))*kgtoGg</f>
        <v>19.386411686485193</v>
      </c>
      <c r="AG63" s="22">
        <f>INDEX('Activity data'!AG$24:AG$39,MATCH(Emissions!$D63,'Activity data'!$D$24:$D$39,0))*INDEX(EF!$H$84:$H$99,MATCH(Emissions!$D63,EF!$D$84:$D$99,0))*INDEX(EF!$H$100:$H$115,MATCH(Emissions!$D63,EF!$D$100:$D$115,0))*INDEX(EF!$H$116:$H$131,MATCH(Emissions!$D63,EF!$D$116:$D$131,0))*kgtoGg</f>
        <v>19.509210119864214</v>
      </c>
      <c r="AH63" s="22">
        <f>INDEX('Activity data'!AH$24:AH$39,MATCH(Emissions!$D63,'Activity data'!$D$24:$D$39,0))*INDEX(EF!$H$84:$H$99,MATCH(Emissions!$D63,EF!$D$84:$D$99,0))*INDEX(EF!$H$100:$H$115,MATCH(Emissions!$D63,EF!$D$100:$D$115,0))*INDEX(EF!$H$116:$H$131,MATCH(Emissions!$D63,EF!$D$116:$D$131,0))*kgtoGg</f>
        <v>19.632008553243242</v>
      </c>
      <c r="AI63" s="22">
        <f>INDEX('Activity data'!AI$24:AI$39,MATCH(Emissions!$D63,'Activity data'!$D$24:$D$39,0))*INDEX(EF!$H$84:$H$99,MATCH(Emissions!$D63,EF!$D$84:$D$99,0))*INDEX(EF!$H$100:$H$115,MATCH(Emissions!$D63,EF!$D$100:$D$115,0))*INDEX(EF!$H$116:$H$131,MATCH(Emissions!$D63,EF!$D$116:$D$131,0))*kgtoGg</f>
        <v>19.754806986622263</v>
      </c>
      <c r="AJ63" s="22">
        <f>INDEX('Activity data'!AJ$24:AJ$39,MATCH(Emissions!$D63,'Activity data'!$D$24:$D$39,0))*INDEX(EF!$H$84:$H$99,MATCH(Emissions!$D63,EF!$D$84:$D$99,0))*INDEX(EF!$H$100:$H$115,MATCH(Emissions!$D63,EF!$D$100:$D$115,0))*INDEX(EF!$H$116:$H$131,MATCH(Emissions!$D63,EF!$D$116:$D$131,0))*kgtoGg</f>
        <v>19.877605420001284</v>
      </c>
      <c r="AK63" s="22">
        <f>INDEX('Activity data'!AK$24:AK$39,MATCH(Emissions!$D63,'Activity data'!$D$24:$D$39,0))*INDEX(EF!$H$84:$H$99,MATCH(Emissions!$D63,EF!$D$84:$D$99,0))*INDEX(EF!$H$100:$H$115,MATCH(Emissions!$D63,EF!$D$100:$D$115,0))*INDEX(EF!$H$116:$H$131,MATCH(Emissions!$D63,EF!$D$116:$D$131,0))*kgtoGg</f>
        <v>20.083827984907678</v>
      </c>
      <c r="AL63" s="22">
        <f>INDEX('Activity data'!AL$24:AL$39,MATCH(Emissions!$D63,'Activity data'!$D$24:$D$39,0))*INDEX(EF!$H$84:$H$99,MATCH(Emissions!$D63,EF!$D$84:$D$99,0))*INDEX(EF!$H$100:$H$115,MATCH(Emissions!$D63,EF!$D$100:$D$115,0))*INDEX(EF!$H$116:$H$131,MATCH(Emissions!$D63,EF!$D$116:$D$131,0))*kgtoGg</f>
        <v>20.290050549814062</v>
      </c>
      <c r="AM63" s="22">
        <f>INDEX('Activity data'!AM$24:AM$39,MATCH(Emissions!$D63,'Activity data'!$D$24:$D$39,0))*INDEX(EF!$H$84:$H$99,MATCH(Emissions!$D63,EF!$D$84:$D$99,0))*INDEX(EF!$H$100:$H$115,MATCH(Emissions!$D63,EF!$D$100:$D$115,0))*INDEX(EF!$H$116:$H$131,MATCH(Emissions!$D63,EF!$D$116:$D$131,0))*kgtoGg</f>
        <v>20.496273114720456</v>
      </c>
      <c r="AN63" s="22">
        <f>INDEX('Activity data'!AN$24:AN$39,MATCH(Emissions!$D63,'Activity data'!$D$24:$D$39,0))*INDEX(EF!$H$84:$H$99,MATCH(Emissions!$D63,EF!$D$84:$D$99,0))*INDEX(EF!$H$100:$H$115,MATCH(Emissions!$D63,EF!$D$100:$D$115,0))*INDEX(EF!$H$116:$H$131,MATCH(Emissions!$D63,EF!$D$116:$D$131,0))*kgtoGg</f>
        <v>20.702495679626839</v>
      </c>
      <c r="AO63" s="22">
        <f>INDEX('Activity data'!AO$24:AO$39,MATCH(Emissions!$D63,'Activity data'!$D$24:$D$39,0))*INDEX(EF!$H$84:$H$99,MATCH(Emissions!$D63,EF!$D$84:$D$99,0))*INDEX(EF!$H$100:$H$115,MATCH(Emissions!$D63,EF!$D$100:$D$115,0))*INDEX(EF!$H$116:$H$131,MATCH(Emissions!$D63,EF!$D$116:$D$131,0))*kgtoGg</f>
        <v>20.908718244533233</v>
      </c>
      <c r="AP63" s="22">
        <f>INDEX('Activity data'!AP$24:AP$39,MATCH(Emissions!$D63,'Activity data'!$D$24:$D$39,0))*INDEX(EF!$H$84:$H$99,MATCH(Emissions!$D63,EF!$D$84:$D$99,0))*INDEX(EF!$H$100:$H$115,MATCH(Emissions!$D63,EF!$D$100:$D$115,0))*INDEX(EF!$H$116:$H$131,MATCH(Emissions!$D63,EF!$D$116:$D$131,0))*kgtoGg</f>
        <v>21.114940809439616</v>
      </c>
      <c r="AQ63" s="22">
        <f>INDEX('Activity data'!AQ$24:AQ$39,MATCH(Emissions!$D63,'Activity data'!$D$24:$D$39,0))*INDEX(EF!$H$84:$H$99,MATCH(Emissions!$D63,EF!$D$84:$D$99,0))*INDEX(EF!$H$100:$H$115,MATCH(Emissions!$D63,EF!$D$100:$D$115,0))*INDEX(EF!$H$116:$H$131,MATCH(Emissions!$D63,EF!$D$116:$D$131,0))*kgtoGg</f>
        <v>21.32116337434601</v>
      </c>
      <c r="AR63" s="22">
        <f>INDEX('Activity data'!AR$24:AR$39,MATCH(Emissions!$D63,'Activity data'!$D$24:$D$39,0))*INDEX(EF!$H$84:$H$99,MATCH(Emissions!$D63,EF!$D$84:$D$99,0))*INDEX(EF!$H$100:$H$115,MATCH(Emissions!$D63,EF!$D$100:$D$115,0))*INDEX(EF!$H$116:$H$131,MATCH(Emissions!$D63,EF!$D$116:$D$131,0))*kgtoGg</f>
        <v>21.527385939252397</v>
      </c>
      <c r="AS63" s="22">
        <f>INDEX('Activity data'!AS$24:AS$39,MATCH(Emissions!$D63,'Activity data'!$D$24:$D$39,0))*INDEX(EF!$H$84:$H$99,MATCH(Emissions!$D63,EF!$D$84:$D$99,0))*INDEX(EF!$H$100:$H$115,MATCH(Emissions!$D63,EF!$D$100:$D$115,0))*INDEX(EF!$H$116:$H$131,MATCH(Emissions!$D63,EF!$D$116:$D$131,0))*kgtoGg</f>
        <v>21.733608504158784</v>
      </c>
      <c r="AT63" s="22">
        <f>INDEX('Activity data'!AT$24:AT$39,MATCH(Emissions!$D63,'Activity data'!$D$24:$D$39,0))*INDEX(EF!$H$84:$H$99,MATCH(Emissions!$D63,EF!$D$84:$D$99,0))*INDEX(EF!$H$100:$H$115,MATCH(Emissions!$D63,EF!$D$100:$D$115,0))*INDEX(EF!$H$116:$H$131,MATCH(Emissions!$D63,EF!$D$116:$D$131,0))*kgtoGg</f>
        <v>21.939831069065175</v>
      </c>
      <c r="AU63" s="22">
        <f>INDEX('Activity data'!AU$24:AU$39,MATCH(Emissions!$D63,'Activity data'!$D$24:$D$39,0))*INDEX(EF!$H$84:$H$99,MATCH(Emissions!$D63,EF!$D$84:$D$99,0))*INDEX(EF!$H$100:$H$115,MATCH(Emissions!$D63,EF!$D$100:$D$115,0))*INDEX(EF!$H$116:$H$131,MATCH(Emissions!$D63,EF!$D$116:$D$131,0))*kgtoGg</f>
        <v>22.146053633971565</v>
      </c>
      <c r="AV63" s="22">
        <f>INDEX('Activity data'!AV$24:AV$39,MATCH(Emissions!$D63,'Activity data'!$D$24:$D$39,0))*INDEX(EF!$H$84:$H$99,MATCH(Emissions!$D63,EF!$D$84:$D$99,0))*INDEX(EF!$H$100:$H$115,MATCH(Emissions!$D63,EF!$D$100:$D$115,0))*INDEX(EF!$H$116:$H$131,MATCH(Emissions!$D63,EF!$D$116:$D$131,0))*kgtoGg</f>
        <v>22.352276198877952</v>
      </c>
      <c r="AW63" s="22">
        <f>INDEX('Activity data'!AW$24:AW$39,MATCH(Emissions!$D63,'Activity data'!$D$24:$D$39,0))*INDEX(EF!$H$84:$H$99,MATCH(Emissions!$D63,EF!$D$84:$D$99,0))*INDEX(EF!$H$100:$H$115,MATCH(Emissions!$D63,EF!$D$100:$D$115,0))*INDEX(EF!$H$116:$H$131,MATCH(Emissions!$D63,EF!$D$116:$D$131,0))*kgtoGg</f>
        <v>22.56201626272437</v>
      </c>
      <c r="AX63" s="22">
        <f>INDEX('Activity data'!AX$24:AX$39,MATCH(Emissions!$D63,'Activity data'!$D$24:$D$39,0))*INDEX(EF!$H$84:$H$99,MATCH(Emissions!$D63,EF!$D$84:$D$99,0))*INDEX(EF!$H$100:$H$115,MATCH(Emissions!$D63,EF!$D$100:$D$115,0))*INDEX(EF!$H$116:$H$131,MATCH(Emissions!$D63,EF!$D$116:$D$131,0))*kgtoGg</f>
        <v>22.771756326570781</v>
      </c>
      <c r="AY63" s="22">
        <f>INDEX('Activity data'!AY$24:AY$39,MATCH(Emissions!$D63,'Activity data'!$D$24:$D$39,0))*INDEX(EF!$H$84:$H$99,MATCH(Emissions!$D63,EF!$D$84:$D$99,0))*INDEX(EF!$H$100:$H$115,MATCH(Emissions!$D63,EF!$D$100:$D$115,0))*INDEX(EF!$H$116:$H$131,MATCH(Emissions!$D63,EF!$D$116:$D$131,0))*kgtoGg</f>
        <v>22.981496390417199</v>
      </c>
      <c r="AZ63" s="22">
        <f>INDEX('Activity data'!AZ$24:AZ$39,MATCH(Emissions!$D63,'Activity data'!$D$24:$D$39,0))*INDEX(EF!$H$84:$H$99,MATCH(Emissions!$D63,EF!$D$84:$D$99,0))*INDEX(EF!$H$100:$H$115,MATCH(Emissions!$D63,EF!$D$100:$D$115,0))*INDEX(EF!$H$116:$H$131,MATCH(Emissions!$D63,EF!$D$116:$D$131,0))*kgtoGg</f>
        <v>23.191236454263613</v>
      </c>
      <c r="BA63" s="22">
        <f>INDEX('Activity data'!BA$24:BA$39,MATCH(Emissions!$D63,'Activity data'!$D$24:$D$39,0))*INDEX(EF!$H$84:$H$99,MATCH(Emissions!$D63,EF!$D$84:$D$99,0))*INDEX(EF!$H$100:$H$115,MATCH(Emissions!$D63,EF!$D$100:$D$115,0))*INDEX(EF!$H$116:$H$131,MATCH(Emissions!$D63,EF!$D$116:$D$131,0))*kgtoGg</f>
        <v>23.400976518110024</v>
      </c>
      <c r="BB63" s="22">
        <f>INDEX('Activity data'!BB$24:BB$39,MATCH(Emissions!$D63,'Activity data'!$D$24:$D$39,0))*INDEX(EF!$H$84:$H$99,MATCH(Emissions!$D63,EF!$D$84:$D$99,0))*INDEX(EF!$H$100:$H$115,MATCH(Emissions!$D63,EF!$D$100:$D$115,0))*INDEX(EF!$H$116:$H$131,MATCH(Emissions!$D63,EF!$D$116:$D$131,0))*kgtoGg</f>
        <v>23.610716581956442</v>
      </c>
      <c r="BC63" s="22">
        <f>INDEX('Activity data'!BC$24:BC$39,MATCH(Emissions!$D63,'Activity data'!$D$24:$D$39,0))*INDEX(EF!$H$84:$H$99,MATCH(Emissions!$D63,EF!$D$84:$D$99,0))*INDEX(EF!$H$100:$H$115,MATCH(Emissions!$D63,EF!$D$100:$D$115,0))*INDEX(EF!$H$116:$H$131,MATCH(Emissions!$D63,EF!$D$116:$D$131,0))*kgtoGg</f>
        <v>23.820456645802853</v>
      </c>
      <c r="BD63" s="22">
        <f>INDEX('Activity data'!BD$24:BD$39,MATCH(Emissions!$D63,'Activity data'!$D$24:$D$39,0))*INDEX(EF!$H$84:$H$99,MATCH(Emissions!$D63,EF!$D$84:$D$99,0))*INDEX(EF!$H$100:$H$115,MATCH(Emissions!$D63,EF!$D$100:$D$115,0))*INDEX(EF!$H$116:$H$131,MATCH(Emissions!$D63,EF!$D$116:$D$131,0))*kgtoGg</f>
        <v>24.030196709649267</v>
      </c>
      <c r="BE63" s="22">
        <f>INDEX('Activity data'!BE$24:BE$39,MATCH(Emissions!$D63,'Activity data'!$D$24:$D$39,0))*INDEX(EF!$H$84:$H$99,MATCH(Emissions!$D63,EF!$D$84:$D$99,0))*INDEX(EF!$H$100:$H$115,MATCH(Emissions!$D63,EF!$D$100:$D$115,0))*INDEX(EF!$H$116:$H$131,MATCH(Emissions!$D63,EF!$D$116:$D$131,0))*kgtoGg</f>
        <v>24.239936773495682</v>
      </c>
      <c r="BF63" s="22">
        <f>INDEX('Activity data'!BF$24:BF$39,MATCH(Emissions!$D63,'Activity data'!$D$24:$D$39,0))*INDEX(EF!$H$84:$H$99,MATCH(Emissions!$D63,EF!$D$84:$D$99,0))*INDEX(EF!$H$100:$H$115,MATCH(Emissions!$D63,EF!$D$100:$D$115,0))*INDEX(EF!$H$116:$H$131,MATCH(Emissions!$D63,EF!$D$116:$D$131,0))*kgtoGg</f>
        <v>24.449676837342093</v>
      </c>
      <c r="BG63" s="22">
        <f>INDEX('Activity data'!BG$24:BG$39,MATCH(Emissions!$D63,'Activity data'!$D$24:$D$39,0))*INDEX(EF!$H$84:$H$99,MATCH(Emissions!$D63,EF!$D$84:$D$99,0))*INDEX(EF!$H$100:$H$115,MATCH(Emissions!$D63,EF!$D$100:$D$115,0))*INDEX(EF!$H$116:$H$131,MATCH(Emissions!$D63,EF!$D$116:$D$131,0))*kgtoGg</f>
        <v>24.659416901188511</v>
      </c>
      <c r="BH63" s="22">
        <f>INDEX('Activity data'!BH$24:BH$39,MATCH(Emissions!$D63,'Activity data'!$D$24:$D$39,0))*INDEX(EF!$H$84:$H$99,MATCH(Emissions!$D63,EF!$D$84:$D$99,0))*INDEX(EF!$H$100:$H$115,MATCH(Emissions!$D63,EF!$D$100:$D$115,0))*INDEX(EF!$H$116:$H$131,MATCH(Emissions!$D63,EF!$D$116:$D$131,0))*kgtoGg</f>
        <v>24.869156965034922</v>
      </c>
      <c r="BI63" s="22">
        <f>INDEX('Activity data'!BI$24:BI$39,MATCH(Emissions!$D63,'Activity data'!$D$24:$D$39,0))*INDEX(EF!$H$84:$H$99,MATCH(Emissions!$D63,EF!$D$84:$D$99,0))*INDEX(EF!$H$100:$H$115,MATCH(Emissions!$D63,EF!$D$100:$D$115,0))*INDEX(EF!$H$116:$H$131,MATCH(Emissions!$D63,EF!$D$116:$D$131,0))*kgtoGg</f>
        <v>25.078897028881336</v>
      </c>
      <c r="BJ63" s="22">
        <f>INDEX('Activity data'!BJ$24:BJ$39,MATCH(Emissions!$D63,'Activity data'!$D$24:$D$39,0))*INDEX(EF!$H$84:$H$99,MATCH(Emissions!$D63,EF!$D$84:$D$99,0))*INDEX(EF!$H$100:$H$115,MATCH(Emissions!$D63,EF!$D$100:$D$115,0))*INDEX(EF!$H$116:$H$131,MATCH(Emissions!$D63,EF!$D$116:$D$131,0))*kgtoGg</f>
        <v>25.28863709272775</v>
      </c>
      <c r="BK63" s="22">
        <f>INDEX('Activity data'!BK$24:BK$39,MATCH(Emissions!$D63,'Activity data'!$D$24:$D$39,0))*INDEX(EF!$H$84:$H$99,MATCH(Emissions!$D63,EF!$D$84:$D$99,0))*INDEX(EF!$H$100:$H$115,MATCH(Emissions!$D63,EF!$D$100:$D$115,0))*INDEX(EF!$H$116:$H$131,MATCH(Emissions!$D63,EF!$D$116:$D$131,0))*kgtoGg</f>
        <v>25.498377156574168</v>
      </c>
      <c r="BL63" s="22">
        <f>INDEX('Activity data'!BL$24:BL$39,MATCH(Emissions!$D63,'Activity data'!$D$24:$D$39,0))*INDEX(EF!$H$84:$H$99,MATCH(Emissions!$D63,EF!$D$84:$D$99,0))*INDEX(EF!$H$100:$H$115,MATCH(Emissions!$D63,EF!$D$100:$D$115,0))*INDEX(EF!$H$116:$H$131,MATCH(Emissions!$D63,EF!$D$116:$D$131,0))*kgtoGg</f>
        <v>25.708117220420583</v>
      </c>
      <c r="BM63" s="22">
        <f>INDEX('Activity data'!BM$24:BM$39,MATCH(Emissions!$D63,'Activity data'!$D$24:$D$39,0))*INDEX(EF!$H$84:$H$99,MATCH(Emissions!$D63,EF!$D$84:$D$99,0))*INDEX(EF!$H$100:$H$115,MATCH(Emissions!$D63,EF!$D$100:$D$115,0))*INDEX(EF!$H$116:$H$131,MATCH(Emissions!$D63,EF!$D$116:$D$131,0))*kgtoGg</f>
        <v>25.917857284266997</v>
      </c>
      <c r="BN63" s="22">
        <f>INDEX('Activity data'!BN$24:BN$39,MATCH(Emissions!$D63,'Activity data'!$D$24:$D$39,0))*INDEX(EF!$H$84:$H$99,MATCH(Emissions!$D63,EF!$D$84:$D$99,0))*INDEX(EF!$H$100:$H$115,MATCH(Emissions!$D63,EF!$D$100:$D$115,0))*INDEX(EF!$H$116:$H$131,MATCH(Emissions!$D63,EF!$D$116:$D$131,0))*kgtoGg</f>
        <v>26.127597348113408</v>
      </c>
      <c r="BO63" s="22">
        <f>INDEX('Activity data'!BO$24:BO$39,MATCH(Emissions!$D63,'Activity data'!$D$24:$D$39,0))*INDEX(EF!$H$84:$H$99,MATCH(Emissions!$D63,EF!$D$84:$D$99,0))*INDEX(EF!$H$100:$H$115,MATCH(Emissions!$D63,EF!$D$100:$D$115,0))*INDEX(EF!$H$116:$H$131,MATCH(Emissions!$D63,EF!$D$116:$D$131,0))*kgtoGg</f>
        <v>26.337337411959826</v>
      </c>
      <c r="BP63" s="22">
        <f>INDEX('Activity data'!BP$24:BP$39,MATCH(Emissions!$D63,'Activity data'!$D$24:$D$39,0))*INDEX(EF!$H$84:$H$99,MATCH(Emissions!$D63,EF!$D$84:$D$99,0))*INDEX(EF!$H$100:$H$115,MATCH(Emissions!$D63,EF!$D$100:$D$115,0))*INDEX(EF!$H$116:$H$131,MATCH(Emissions!$D63,EF!$D$116:$D$131,0))*kgtoGg</f>
        <v>26.54707747580624</v>
      </c>
    </row>
    <row r="64" spans="1:68" x14ac:dyDescent="0.25">
      <c r="A64" t="str">
        <f t="shared" si="19"/>
        <v>3C Aggregated and non-CO2 emissions on land</v>
      </c>
      <c r="B64" t="str">
        <f t="shared" si="20"/>
        <v>3C1 Biomass burning (CH4)</v>
      </c>
      <c r="C64" t="str">
        <f>C63</f>
        <v>3C1c Biomass burning in Grasslands</v>
      </c>
      <c r="D64" t="str">
        <f>EF!D94</f>
        <v>Low shrublands</v>
      </c>
      <c r="E64" t="s">
        <v>651</v>
      </c>
      <c r="F64" t="str">
        <f t="shared" si="21"/>
        <v>CH4</v>
      </c>
      <c r="G64" t="str">
        <f t="shared" si="22"/>
        <v>Gg CH4</v>
      </c>
      <c r="H64" s="22">
        <f>INDEX('Activity data'!H$24:H$39,MATCH(Emissions!$D64,'Activity data'!$D$24:$D$39,0))*INDEX(EF!$H$84:$H$99,MATCH(Emissions!$D64,EF!$D$84:$D$99,0))*INDEX(EF!$H$100:$H$115,MATCH(Emissions!$D64,EF!$D$100:$D$115,0))*INDEX(EF!$H$116:$H$131,MATCH(Emissions!$D64,EF!$D$116:$D$131,0))*kgtoGg</f>
        <v>1.8327068962105979</v>
      </c>
      <c r="I64" s="22">
        <f>INDEX('Activity data'!I$24:I$39,MATCH(Emissions!$D64,'Activity data'!$D$24:$D$39,0))*INDEX(EF!$H$84:$H$99,MATCH(Emissions!$D64,EF!$D$84:$D$99,0))*INDEX(EF!$H$100:$H$115,MATCH(Emissions!$D64,EF!$D$100:$D$115,0))*INDEX(EF!$H$116:$H$131,MATCH(Emissions!$D64,EF!$D$116:$D$131,0))*kgtoGg</f>
        <v>1.8327068962105979</v>
      </c>
      <c r="J64" s="22">
        <f>INDEX('Activity data'!J$24:J$39,MATCH(Emissions!$D64,'Activity data'!$D$24:$D$39,0))*INDEX(EF!$H$84:$H$99,MATCH(Emissions!$D64,EF!$D$84:$D$99,0))*INDEX(EF!$H$100:$H$115,MATCH(Emissions!$D64,EF!$D$100:$D$115,0))*INDEX(EF!$H$116:$H$131,MATCH(Emissions!$D64,EF!$D$116:$D$131,0))*kgtoGg</f>
        <v>1.8327068962105979</v>
      </c>
      <c r="K64" s="22">
        <f>INDEX('Activity data'!K$24:K$39,MATCH(Emissions!$D64,'Activity data'!$D$24:$D$39,0))*INDEX(EF!$H$84:$H$99,MATCH(Emissions!$D64,EF!$D$84:$D$99,0))*INDEX(EF!$H$100:$H$115,MATCH(Emissions!$D64,EF!$D$100:$D$115,0))*INDEX(EF!$H$116:$H$131,MATCH(Emissions!$D64,EF!$D$116:$D$131,0))*kgtoGg</f>
        <v>1.8327068962105979</v>
      </c>
      <c r="L64" s="22">
        <f>INDEX('Activity data'!L$24:L$39,MATCH(Emissions!$D64,'Activity data'!$D$24:$D$39,0))*INDEX(EF!$H$84:$H$99,MATCH(Emissions!$D64,EF!$D$84:$D$99,0))*INDEX(EF!$H$100:$H$115,MATCH(Emissions!$D64,EF!$D$100:$D$115,0))*INDEX(EF!$H$116:$H$131,MATCH(Emissions!$D64,EF!$D$116:$D$131,0))*kgtoGg</f>
        <v>1.8327068962105979</v>
      </c>
      <c r="M64" s="22">
        <f>INDEX('Activity data'!M$24:M$39,MATCH(Emissions!$D64,'Activity data'!$D$24:$D$39,0))*INDEX(EF!$H$84:$H$99,MATCH(Emissions!$D64,EF!$D$84:$D$99,0))*INDEX(EF!$H$100:$H$115,MATCH(Emissions!$D64,EF!$D$100:$D$115,0))*INDEX(EF!$H$116:$H$131,MATCH(Emissions!$D64,EF!$D$116:$D$131,0))*kgtoGg</f>
        <v>1.8327068962105979</v>
      </c>
      <c r="N64" s="22">
        <f>INDEX('Activity data'!N$24:N$39,MATCH(Emissions!$D64,'Activity data'!$D$24:$D$39,0))*INDEX(EF!$H$84:$H$99,MATCH(Emissions!$D64,EF!$D$84:$D$99,0))*INDEX(EF!$H$100:$H$115,MATCH(Emissions!$D64,EF!$D$100:$D$115,0))*INDEX(EF!$H$116:$H$131,MATCH(Emissions!$D64,EF!$D$116:$D$131,0))*kgtoGg</f>
        <v>1.8327068962105979</v>
      </c>
      <c r="O64" s="22">
        <f>INDEX('Activity data'!O$24:O$39,MATCH(Emissions!$D64,'Activity data'!$D$24:$D$39,0))*INDEX(EF!$H$84:$H$99,MATCH(Emissions!$D64,EF!$D$84:$D$99,0))*INDEX(EF!$H$100:$H$115,MATCH(Emissions!$D64,EF!$D$100:$D$115,0))*INDEX(EF!$H$116:$H$131,MATCH(Emissions!$D64,EF!$D$116:$D$131,0))*kgtoGg</f>
        <v>1.8327068962105979</v>
      </c>
      <c r="P64" s="22">
        <f>INDEX('Activity data'!P$24:P$39,MATCH(Emissions!$D64,'Activity data'!$D$24:$D$39,0))*INDEX(EF!$H$84:$H$99,MATCH(Emissions!$D64,EF!$D$84:$D$99,0))*INDEX(EF!$H$100:$H$115,MATCH(Emissions!$D64,EF!$D$100:$D$115,0))*INDEX(EF!$H$116:$H$131,MATCH(Emissions!$D64,EF!$D$116:$D$131,0))*kgtoGg</f>
        <v>1.8327068962105979</v>
      </c>
      <c r="Q64" s="22">
        <f>INDEX('Activity data'!Q$24:Q$39,MATCH(Emissions!$D64,'Activity data'!$D$24:$D$39,0))*INDEX(EF!$H$84:$H$99,MATCH(Emissions!$D64,EF!$D$84:$D$99,0))*INDEX(EF!$H$100:$H$115,MATCH(Emissions!$D64,EF!$D$100:$D$115,0))*INDEX(EF!$H$116:$H$131,MATCH(Emissions!$D64,EF!$D$116:$D$131,0))*kgtoGg</f>
        <v>1.8327068962105979</v>
      </c>
      <c r="R64" s="22">
        <f>INDEX('Activity data'!R$24:R$39,MATCH(Emissions!$D64,'Activity data'!$D$24:$D$39,0))*INDEX(EF!$H$84:$H$99,MATCH(Emissions!$D64,EF!$D$84:$D$99,0))*INDEX(EF!$H$100:$H$115,MATCH(Emissions!$D64,EF!$D$100:$D$115,0))*INDEX(EF!$H$116:$H$131,MATCH(Emissions!$D64,EF!$D$116:$D$131,0))*kgtoGg</f>
        <v>1.5407167876980463</v>
      </c>
      <c r="S64" s="22">
        <f>INDEX('Activity data'!S$24:S$39,MATCH(Emissions!$D64,'Activity data'!$D$24:$D$39,0))*INDEX(EF!$H$84:$H$99,MATCH(Emissions!$D64,EF!$D$84:$D$99,0))*INDEX(EF!$H$100:$H$115,MATCH(Emissions!$D64,EF!$D$100:$D$115,0))*INDEX(EF!$H$116:$H$131,MATCH(Emissions!$D64,EF!$D$116:$D$131,0))*kgtoGg</f>
        <v>1.2962863918633982</v>
      </c>
      <c r="T64" s="22">
        <f>INDEX('Activity data'!T$24:T$39,MATCH(Emissions!$D64,'Activity data'!$D$24:$D$39,0))*INDEX(EF!$H$84:$H$99,MATCH(Emissions!$D64,EF!$D$84:$D$99,0))*INDEX(EF!$H$100:$H$115,MATCH(Emissions!$D64,EF!$D$100:$D$115,0))*INDEX(EF!$H$116:$H$131,MATCH(Emissions!$D64,EF!$D$116:$D$131,0))*kgtoGg</f>
        <v>3.1553311369274972</v>
      </c>
      <c r="U64" s="22">
        <f>INDEX('Activity data'!U$24:U$39,MATCH(Emissions!$D64,'Activity data'!$D$24:$D$39,0))*INDEX(EF!$H$84:$H$99,MATCH(Emissions!$D64,EF!$D$84:$D$99,0))*INDEX(EF!$H$100:$H$115,MATCH(Emissions!$D64,EF!$D$100:$D$115,0))*INDEX(EF!$H$116:$H$131,MATCH(Emissions!$D64,EF!$D$116:$D$131,0))*kgtoGg</f>
        <v>1.9682331292499253</v>
      </c>
      <c r="V64" s="22">
        <f>INDEX('Activity data'!V$24:V$39,MATCH(Emissions!$D64,'Activity data'!$D$24:$D$39,0))*INDEX(EF!$H$84:$H$99,MATCH(Emissions!$D64,EF!$D$84:$D$99,0))*INDEX(EF!$H$100:$H$115,MATCH(Emissions!$D64,EF!$D$100:$D$115,0))*INDEX(EF!$H$116:$H$131,MATCH(Emissions!$D64,EF!$D$116:$D$131,0))*kgtoGg</f>
        <v>1.202967035314124</v>
      </c>
      <c r="W64" s="22">
        <f>INDEX('Activity data'!W$24:W$39,MATCH(Emissions!$D64,'Activity data'!$D$24:$D$39,0))*INDEX(EF!$H$84:$H$99,MATCH(Emissions!$D64,EF!$D$84:$D$99,0))*INDEX(EF!$H$100:$H$115,MATCH(Emissions!$D64,EF!$D$100:$D$115,0))*INDEX(EF!$H$116:$H$131,MATCH(Emissions!$D64,EF!$D$116:$D$131,0))*kgtoGg</f>
        <v>2.0414201373050664</v>
      </c>
      <c r="X64" s="22">
        <f>INDEX('Activity data'!X$24:X$39,MATCH(Emissions!$D64,'Activity data'!$D$24:$D$39,0))*INDEX(EF!$H$84:$H$99,MATCH(Emissions!$D64,EF!$D$84:$D$99,0))*INDEX(EF!$H$100:$H$115,MATCH(Emissions!$D64,EF!$D$100:$D$115,0))*INDEX(EF!$H$116:$H$131,MATCH(Emissions!$D64,EF!$D$116:$D$131,0))*kgtoGg</f>
        <v>1.5845342520676293</v>
      </c>
      <c r="Y64" s="22">
        <f>INDEX('Activity data'!Y$24:Y$39,MATCH(Emissions!$D64,'Activity data'!$D$24:$D$39,0))*INDEX(EF!$H$84:$H$99,MATCH(Emissions!$D64,EF!$D$84:$D$99,0))*INDEX(EF!$H$100:$H$115,MATCH(Emissions!$D64,EF!$D$100:$D$115,0))*INDEX(EF!$H$116:$H$131,MATCH(Emissions!$D64,EF!$D$116:$D$131,0))*kgtoGg</f>
        <v>1.3635521209496773</v>
      </c>
      <c r="Z64" s="22">
        <f>INDEX('Activity data'!Z$24:Z$39,MATCH(Emissions!$D64,'Activity data'!$D$24:$D$39,0))*INDEX(EF!$H$84:$H$99,MATCH(Emissions!$D64,EF!$D$84:$D$99,0))*INDEX(EF!$H$100:$H$115,MATCH(Emissions!$D64,EF!$D$100:$D$115,0))*INDEX(EF!$H$116:$H$131,MATCH(Emissions!$D64,EF!$D$116:$D$131,0))*kgtoGg</f>
        <v>1.6513262788363989</v>
      </c>
      <c r="AA64" s="22">
        <f>INDEX('Activity data'!AA$24:AA$39,MATCH(Emissions!$D64,'Activity data'!$D$24:$D$39,0))*INDEX(EF!$H$84:$H$99,MATCH(Emissions!$D64,EF!$D$84:$D$99,0))*INDEX(EF!$H$100:$H$115,MATCH(Emissions!$D64,EF!$D$100:$D$115,0))*INDEX(EF!$H$116:$H$131,MATCH(Emissions!$D64,EF!$D$116:$D$131,0))*kgtoGg</f>
        <v>2.2091107577032552</v>
      </c>
      <c r="AB64" s="22">
        <f>INDEX('Activity data'!AB$24:AB$39,MATCH(Emissions!$D64,'Activity data'!$D$24:$D$39,0))*INDEX(EF!$H$84:$H$99,MATCH(Emissions!$D64,EF!$D$84:$D$99,0))*INDEX(EF!$H$100:$H$115,MATCH(Emissions!$D64,EF!$D$100:$D$115,0))*INDEX(EF!$H$116:$H$131,MATCH(Emissions!$D64,EF!$D$116:$D$131,0))*kgtoGg</f>
        <v>5.2887257186400003</v>
      </c>
      <c r="AC64" s="22">
        <f>INDEX('Activity data'!AC$24:AC$39,MATCH(Emissions!$D64,'Activity data'!$D$24:$D$39,0))*INDEX(EF!$H$84:$H$99,MATCH(Emissions!$D64,EF!$D$84:$D$99,0))*INDEX(EF!$H$100:$H$115,MATCH(Emissions!$D64,EF!$D$100:$D$115,0))*INDEX(EF!$H$116:$H$131,MATCH(Emissions!$D64,EF!$D$116:$D$131,0))*kgtoGg</f>
        <v>5.3137024405920013</v>
      </c>
      <c r="AD64" s="22">
        <f>INDEX('Activity data'!AD$24:AD$39,MATCH(Emissions!$D64,'Activity data'!$D$24:$D$39,0))*INDEX(EF!$H$84:$H$99,MATCH(Emissions!$D64,EF!$D$84:$D$99,0))*INDEX(EF!$H$100:$H$115,MATCH(Emissions!$D64,EF!$D$100:$D$115,0))*INDEX(EF!$H$116:$H$131,MATCH(Emissions!$D64,EF!$D$116:$D$131,0))*kgtoGg</f>
        <v>2.803719836697308</v>
      </c>
      <c r="AE64" s="22">
        <f>INDEX('Activity data'!AE$24:AE$39,MATCH(Emissions!$D64,'Activity data'!$D$24:$D$39,0))*INDEX(EF!$H$84:$H$99,MATCH(Emissions!$D64,EF!$D$84:$D$99,0))*INDEX(EF!$H$100:$H$115,MATCH(Emissions!$D64,EF!$D$100:$D$115,0))*INDEX(EF!$H$116:$H$131,MATCH(Emissions!$D64,EF!$D$116:$D$131,0))*kgtoGg</f>
        <v>2.7952952347709599</v>
      </c>
      <c r="AF64" s="22">
        <f>INDEX('Activity data'!AF$24:AF$39,MATCH(Emissions!$D64,'Activity data'!$D$24:$D$39,0))*INDEX(EF!$H$84:$H$99,MATCH(Emissions!$D64,EF!$D$84:$D$99,0))*INDEX(EF!$H$100:$H$115,MATCH(Emissions!$D64,EF!$D$100:$D$115,0))*INDEX(EF!$H$116:$H$131,MATCH(Emissions!$D64,EF!$D$116:$D$131,0))*kgtoGg</f>
        <v>2.7868706328446127</v>
      </c>
      <c r="AG64" s="22">
        <f>INDEX('Activity data'!AG$24:AG$39,MATCH(Emissions!$D64,'Activity data'!$D$24:$D$39,0))*INDEX(EF!$H$84:$H$99,MATCH(Emissions!$D64,EF!$D$84:$D$99,0))*INDEX(EF!$H$100:$H$115,MATCH(Emissions!$D64,EF!$D$100:$D$115,0))*INDEX(EF!$H$116:$H$131,MATCH(Emissions!$D64,EF!$D$116:$D$131,0))*kgtoGg</f>
        <v>2.7784460309182646</v>
      </c>
      <c r="AH64" s="22">
        <f>INDEX('Activity data'!AH$24:AH$39,MATCH(Emissions!$D64,'Activity data'!$D$24:$D$39,0))*INDEX(EF!$H$84:$H$99,MATCH(Emissions!$D64,EF!$D$84:$D$99,0))*INDEX(EF!$H$100:$H$115,MATCH(Emissions!$D64,EF!$D$100:$D$115,0))*INDEX(EF!$H$116:$H$131,MATCH(Emissions!$D64,EF!$D$116:$D$131,0))*kgtoGg</f>
        <v>2.7700214289919165</v>
      </c>
      <c r="AI64" s="22">
        <f>INDEX('Activity data'!AI$24:AI$39,MATCH(Emissions!$D64,'Activity data'!$D$24:$D$39,0))*INDEX(EF!$H$84:$H$99,MATCH(Emissions!$D64,EF!$D$84:$D$99,0))*INDEX(EF!$H$100:$H$115,MATCH(Emissions!$D64,EF!$D$100:$D$115,0))*INDEX(EF!$H$116:$H$131,MATCH(Emissions!$D64,EF!$D$116:$D$131,0))*kgtoGg</f>
        <v>2.7615968270655689</v>
      </c>
      <c r="AJ64" s="22">
        <f>INDEX('Activity data'!AJ$24:AJ$39,MATCH(Emissions!$D64,'Activity data'!$D$24:$D$39,0))*INDEX(EF!$H$84:$H$99,MATCH(Emissions!$D64,EF!$D$84:$D$99,0))*INDEX(EF!$H$100:$H$115,MATCH(Emissions!$D64,EF!$D$100:$D$115,0))*INDEX(EF!$H$116:$H$131,MATCH(Emissions!$D64,EF!$D$116:$D$131,0))*kgtoGg</f>
        <v>2.7531722251392212</v>
      </c>
      <c r="AK64" s="22">
        <f>INDEX('Activity data'!AK$24:AK$39,MATCH(Emissions!$D64,'Activity data'!$D$24:$D$39,0))*INDEX(EF!$H$84:$H$99,MATCH(Emissions!$D64,EF!$D$84:$D$99,0))*INDEX(EF!$H$100:$H$115,MATCH(Emissions!$D64,EF!$D$100:$D$115,0))*INDEX(EF!$H$116:$H$131,MATCH(Emissions!$D64,EF!$D$116:$D$131,0))*kgtoGg</f>
        <v>2.7447476232128731</v>
      </c>
      <c r="AL64" s="22">
        <f>INDEX('Activity data'!AL$24:AL$39,MATCH(Emissions!$D64,'Activity data'!$D$24:$D$39,0))*INDEX(EF!$H$84:$H$99,MATCH(Emissions!$D64,EF!$D$84:$D$99,0))*INDEX(EF!$H$100:$H$115,MATCH(Emissions!$D64,EF!$D$100:$D$115,0))*INDEX(EF!$H$116:$H$131,MATCH(Emissions!$D64,EF!$D$116:$D$131,0))*kgtoGg</f>
        <v>2.7363230212865255</v>
      </c>
      <c r="AM64" s="22">
        <f>INDEX('Activity data'!AM$24:AM$39,MATCH(Emissions!$D64,'Activity data'!$D$24:$D$39,0))*INDEX(EF!$H$84:$H$99,MATCH(Emissions!$D64,EF!$D$84:$D$99,0))*INDEX(EF!$H$100:$H$115,MATCH(Emissions!$D64,EF!$D$100:$D$115,0))*INDEX(EF!$H$116:$H$131,MATCH(Emissions!$D64,EF!$D$116:$D$131,0))*kgtoGg</f>
        <v>2.7278984193601779</v>
      </c>
      <c r="AN64" s="22">
        <f>INDEX('Activity data'!AN$24:AN$39,MATCH(Emissions!$D64,'Activity data'!$D$24:$D$39,0))*INDEX(EF!$H$84:$H$99,MATCH(Emissions!$D64,EF!$D$84:$D$99,0))*INDEX(EF!$H$100:$H$115,MATCH(Emissions!$D64,EF!$D$100:$D$115,0))*INDEX(EF!$H$116:$H$131,MATCH(Emissions!$D64,EF!$D$116:$D$131,0))*kgtoGg</f>
        <v>2.7194738174338302</v>
      </c>
      <c r="AO64" s="22">
        <f>INDEX('Activity data'!AO$24:AO$39,MATCH(Emissions!$D64,'Activity data'!$D$24:$D$39,0))*INDEX(EF!$H$84:$H$99,MATCH(Emissions!$D64,EF!$D$84:$D$99,0))*INDEX(EF!$H$100:$H$115,MATCH(Emissions!$D64,EF!$D$100:$D$115,0))*INDEX(EF!$H$116:$H$131,MATCH(Emissions!$D64,EF!$D$116:$D$131,0))*kgtoGg</f>
        <v>2.7110492155074826</v>
      </c>
      <c r="AP64" s="22">
        <f>INDEX('Activity data'!AP$24:AP$39,MATCH(Emissions!$D64,'Activity data'!$D$24:$D$39,0))*INDEX(EF!$H$84:$H$99,MATCH(Emissions!$D64,EF!$D$84:$D$99,0))*INDEX(EF!$H$100:$H$115,MATCH(Emissions!$D64,EF!$D$100:$D$115,0))*INDEX(EF!$H$116:$H$131,MATCH(Emissions!$D64,EF!$D$116:$D$131,0))*kgtoGg</f>
        <v>2.7026246135811345</v>
      </c>
      <c r="AQ64" s="22">
        <f>INDEX('Activity data'!AQ$24:AQ$39,MATCH(Emissions!$D64,'Activity data'!$D$24:$D$39,0))*INDEX(EF!$H$84:$H$99,MATCH(Emissions!$D64,EF!$D$84:$D$99,0))*INDEX(EF!$H$100:$H$115,MATCH(Emissions!$D64,EF!$D$100:$D$115,0))*INDEX(EF!$H$116:$H$131,MATCH(Emissions!$D64,EF!$D$116:$D$131,0))*kgtoGg</f>
        <v>2.6942000116547864</v>
      </c>
      <c r="AR64" s="22">
        <f>INDEX('Activity data'!AR$24:AR$39,MATCH(Emissions!$D64,'Activity data'!$D$24:$D$39,0))*INDEX(EF!$H$84:$H$99,MATCH(Emissions!$D64,EF!$D$84:$D$99,0))*INDEX(EF!$H$100:$H$115,MATCH(Emissions!$D64,EF!$D$100:$D$115,0))*INDEX(EF!$H$116:$H$131,MATCH(Emissions!$D64,EF!$D$116:$D$131,0))*kgtoGg</f>
        <v>2.6857754097284392</v>
      </c>
      <c r="AS64" s="22">
        <f>INDEX('Activity data'!AS$24:AS$39,MATCH(Emissions!$D64,'Activity data'!$D$24:$D$39,0))*INDEX(EF!$H$84:$H$99,MATCH(Emissions!$D64,EF!$D$84:$D$99,0))*INDEX(EF!$H$100:$H$115,MATCH(Emissions!$D64,EF!$D$100:$D$115,0))*INDEX(EF!$H$116:$H$131,MATCH(Emissions!$D64,EF!$D$116:$D$131,0))*kgtoGg</f>
        <v>2.6773508078020911</v>
      </c>
      <c r="AT64" s="22">
        <f>INDEX('Activity data'!AT$24:AT$39,MATCH(Emissions!$D64,'Activity data'!$D$24:$D$39,0))*INDEX(EF!$H$84:$H$99,MATCH(Emissions!$D64,EF!$D$84:$D$99,0))*INDEX(EF!$H$100:$H$115,MATCH(Emissions!$D64,EF!$D$100:$D$115,0))*INDEX(EF!$H$116:$H$131,MATCH(Emissions!$D64,EF!$D$116:$D$131,0))*kgtoGg</f>
        <v>2.668926205875743</v>
      </c>
      <c r="AU64" s="22">
        <f>INDEX('Activity data'!AU$24:AU$39,MATCH(Emissions!$D64,'Activity data'!$D$24:$D$39,0))*INDEX(EF!$H$84:$H$99,MATCH(Emissions!$D64,EF!$D$84:$D$99,0))*INDEX(EF!$H$100:$H$115,MATCH(Emissions!$D64,EF!$D$100:$D$115,0))*INDEX(EF!$H$116:$H$131,MATCH(Emissions!$D64,EF!$D$116:$D$131,0))*kgtoGg</f>
        <v>2.6605016039493949</v>
      </c>
      <c r="AV64" s="22">
        <f>INDEX('Activity data'!AV$24:AV$39,MATCH(Emissions!$D64,'Activity data'!$D$24:$D$39,0))*INDEX(EF!$H$84:$H$99,MATCH(Emissions!$D64,EF!$D$84:$D$99,0))*INDEX(EF!$H$100:$H$115,MATCH(Emissions!$D64,EF!$D$100:$D$115,0))*INDEX(EF!$H$116:$H$131,MATCH(Emissions!$D64,EF!$D$116:$D$131,0))*kgtoGg</f>
        <v>2.6520770020230477</v>
      </c>
      <c r="AW64" s="22">
        <f>INDEX('Activity data'!AW$24:AW$39,MATCH(Emissions!$D64,'Activity data'!$D$24:$D$39,0))*INDEX(EF!$H$84:$H$99,MATCH(Emissions!$D64,EF!$D$84:$D$99,0))*INDEX(EF!$H$100:$H$115,MATCH(Emissions!$D64,EF!$D$100:$D$115,0))*INDEX(EF!$H$116:$H$131,MATCH(Emissions!$D64,EF!$D$116:$D$131,0))*kgtoGg</f>
        <v>2.6436524000967001</v>
      </c>
      <c r="AX64" s="22">
        <f>INDEX('Activity data'!AX$24:AX$39,MATCH(Emissions!$D64,'Activity data'!$D$24:$D$39,0))*INDEX(EF!$H$84:$H$99,MATCH(Emissions!$D64,EF!$D$84:$D$99,0))*INDEX(EF!$H$100:$H$115,MATCH(Emissions!$D64,EF!$D$100:$D$115,0))*INDEX(EF!$H$116:$H$131,MATCH(Emissions!$D64,EF!$D$116:$D$131,0))*kgtoGg</f>
        <v>2.6352277981703516</v>
      </c>
      <c r="AY64" s="22">
        <f>INDEX('Activity data'!AY$24:AY$39,MATCH(Emissions!$D64,'Activity data'!$D$24:$D$39,0))*INDEX(EF!$H$84:$H$99,MATCH(Emissions!$D64,EF!$D$84:$D$99,0))*INDEX(EF!$H$100:$H$115,MATCH(Emissions!$D64,EF!$D$100:$D$115,0))*INDEX(EF!$H$116:$H$131,MATCH(Emissions!$D64,EF!$D$116:$D$131,0))*kgtoGg</f>
        <v>2.6268031962440044</v>
      </c>
      <c r="AZ64" s="22">
        <f>INDEX('Activity data'!AZ$24:AZ$39,MATCH(Emissions!$D64,'Activity data'!$D$24:$D$39,0))*INDEX(EF!$H$84:$H$99,MATCH(Emissions!$D64,EF!$D$84:$D$99,0))*INDEX(EF!$H$100:$H$115,MATCH(Emissions!$D64,EF!$D$100:$D$115,0))*INDEX(EF!$H$116:$H$131,MATCH(Emissions!$D64,EF!$D$116:$D$131,0))*kgtoGg</f>
        <v>2.6183785943176563</v>
      </c>
      <c r="BA64" s="22">
        <f>INDEX('Activity data'!BA$24:BA$39,MATCH(Emissions!$D64,'Activity data'!$D$24:$D$39,0))*INDEX(EF!$H$84:$H$99,MATCH(Emissions!$D64,EF!$D$84:$D$99,0))*INDEX(EF!$H$100:$H$115,MATCH(Emissions!$D64,EF!$D$100:$D$115,0))*INDEX(EF!$H$116:$H$131,MATCH(Emissions!$D64,EF!$D$116:$D$131,0))*kgtoGg</f>
        <v>2.6099539923913087</v>
      </c>
      <c r="BB64" s="22">
        <f>INDEX('Activity data'!BB$24:BB$39,MATCH(Emissions!$D64,'Activity data'!$D$24:$D$39,0))*INDEX(EF!$H$84:$H$99,MATCH(Emissions!$D64,EF!$D$84:$D$99,0))*INDEX(EF!$H$100:$H$115,MATCH(Emissions!$D64,EF!$D$100:$D$115,0))*INDEX(EF!$H$116:$H$131,MATCH(Emissions!$D64,EF!$D$116:$D$131,0))*kgtoGg</f>
        <v>2.601529390464961</v>
      </c>
      <c r="BC64" s="22">
        <f>INDEX('Activity data'!BC$24:BC$39,MATCH(Emissions!$D64,'Activity data'!$D$24:$D$39,0))*INDEX(EF!$H$84:$H$99,MATCH(Emissions!$D64,EF!$D$84:$D$99,0))*INDEX(EF!$H$100:$H$115,MATCH(Emissions!$D64,EF!$D$100:$D$115,0))*INDEX(EF!$H$116:$H$131,MATCH(Emissions!$D64,EF!$D$116:$D$131,0))*kgtoGg</f>
        <v>2.5931047885386134</v>
      </c>
      <c r="BD64" s="22">
        <f>INDEX('Activity data'!BD$24:BD$39,MATCH(Emissions!$D64,'Activity data'!$D$24:$D$39,0))*INDEX(EF!$H$84:$H$99,MATCH(Emissions!$D64,EF!$D$84:$D$99,0))*INDEX(EF!$H$100:$H$115,MATCH(Emissions!$D64,EF!$D$100:$D$115,0))*INDEX(EF!$H$116:$H$131,MATCH(Emissions!$D64,EF!$D$116:$D$131,0))*kgtoGg</f>
        <v>2.5846801866122653</v>
      </c>
      <c r="BE64" s="22">
        <f>INDEX('Activity data'!BE$24:BE$39,MATCH(Emissions!$D64,'Activity data'!$D$24:$D$39,0))*INDEX(EF!$H$84:$H$99,MATCH(Emissions!$D64,EF!$D$84:$D$99,0))*INDEX(EF!$H$100:$H$115,MATCH(Emissions!$D64,EF!$D$100:$D$115,0))*INDEX(EF!$H$116:$H$131,MATCH(Emissions!$D64,EF!$D$116:$D$131,0))*kgtoGg</f>
        <v>2.5762555846859176</v>
      </c>
      <c r="BF64" s="22">
        <f>INDEX('Activity data'!BF$24:BF$39,MATCH(Emissions!$D64,'Activity data'!$D$24:$D$39,0))*INDEX(EF!$H$84:$H$99,MATCH(Emissions!$D64,EF!$D$84:$D$99,0))*INDEX(EF!$H$100:$H$115,MATCH(Emissions!$D64,EF!$D$100:$D$115,0))*INDEX(EF!$H$116:$H$131,MATCH(Emissions!$D64,EF!$D$116:$D$131,0))*kgtoGg</f>
        <v>2.56783098275957</v>
      </c>
      <c r="BG64" s="22">
        <f>INDEX('Activity data'!BG$24:BG$39,MATCH(Emissions!$D64,'Activity data'!$D$24:$D$39,0))*INDEX(EF!$H$84:$H$99,MATCH(Emissions!$D64,EF!$D$84:$D$99,0))*INDEX(EF!$H$100:$H$115,MATCH(Emissions!$D64,EF!$D$100:$D$115,0))*INDEX(EF!$H$116:$H$131,MATCH(Emissions!$D64,EF!$D$116:$D$131,0))*kgtoGg</f>
        <v>2.5594063808332219</v>
      </c>
      <c r="BH64" s="22">
        <f>INDEX('Activity data'!BH$24:BH$39,MATCH(Emissions!$D64,'Activity data'!$D$24:$D$39,0))*INDEX(EF!$H$84:$H$99,MATCH(Emissions!$D64,EF!$D$84:$D$99,0))*INDEX(EF!$H$100:$H$115,MATCH(Emissions!$D64,EF!$D$100:$D$115,0))*INDEX(EF!$H$116:$H$131,MATCH(Emissions!$D64,EF!$D$116:$D$131,0))*kgtoGg</f>
        <v>2.5509817789068738</v>
      </c>
      <c r="BI64" s="22">
        <f>INDEX('Activity data'!BI$24:BI$39,MATCH(Emissions!$D64,'Activity data'!$D$24:$D$39,0))*INDEX(EF!$H$84:$H$99,MATCH(Emissions!$D64,EF!$D$84:$D$99,0))*INDEX(EF!$H$100:$H$115,MATCH(Emissions!$D64,EF!$D$100:$D$115,0))*INDEX(EF!$H$116:$H$131,MATCH(Emissions!$D64,EF!$D$116:$D$131,0))*kgtoGg</f>
        <v>2.5425571769805266</v>
      </c>
      <c r="BJ64" s="22">
        <f>INDEX('Activity data'!BJ$24:BJ$39,MATCH(Emissions!$D64,'Activity data'!$D$24:$D$39,0))*INDEX(EF!$H$84:$H$99,MATCH(Emissions!$D64,EF!$D$84:$D$99,0))*INDEX(EF!$H$100:$H$115,MATCH(Emissions!$D64,EF!$D$100:$D$115,0))*INDEX(EF!$H$116:$H$131,MATCH(Emissions!$D64,EF!$D$116:$D$131,0))*kgtoGg</f>
        <v>2.5341325750541785</v>
      </c>
      <c r="BK64" s="22">
        <f>INDEX('Activity data'!BK$24:BK$39,MATCH(Emissions!$D64,'Activity data'!$D$24:$D$39,0))*INDEX(EF!$H$84:$H$99,MATCH(Emissions!$D64,EF!$D$84:$D$99,0))*INDEX(EF!$H$100:$H$115,MATCH(Emissions!$D64,EF!$D$100:$D$115,0))*INDEX(EF!$H$116:$H$131,MATCH(Emissions!$D64,EF!$D$116:$D$131,0))*kgtoGg</f>
        <v>2.52570797312783</v>
      </c>
      <c r="BL64" s="22">
        <f>INDEX('Activity data'!BL$24:BL$39,MATCH(Emissions!$D64,'Activity data'!$D$24:$D$39,0))*INDEX(EF!$H$84:$H$99,MATCH(Emissions!$D64,EF!$D$84:$D$99,0))*INDEX(EF!$H$100:$H$115,MATCH(Emissions!$D64,EF!$D$100:$D$115,0))*INDEX(EF!$H$116:$H$131,MATCH(Emissions!$D64,EF!$D$116:$D$131,0))*kgtoGg</f>
        <v>2.5172833712014828</v>
      </c>
      <c r="BM64" s="22">
        <f>INDEX('Activity data'!BM$24:BM$39,MATCH(Emissions!$D64,'Activity data'!$D$24:$D$39,0))*INDEX(EF!$H$84:$H$99,MATCH(Emissions!$D64,EF!$D$84:$D$99,0))*INDEX(EF!$H$100:$H$115,MATCH(Emissions!$D64,EF!$D$100:$D$115,0))*INDEX(EF!$H$116:$H$131,MATCH(Emissions!$D64,EF!$D$116:$D$131,0))*kgtoGg</f>
        <v>2.5088587692751347</v>
      </c>
      <c r="BN64" s="22">
        <f>INDEX('Activity data'!BN$24:BN$39,MATCH(Emissions!$D64,'Activity data'!$D$24:$D$39,0))*INDEX(EF!$H$84:$H$99,MATCH(Emissions!$D64,EF!$D$84:$D$99,0))*INDEX(EF!$H$100:$H$115,MATCH(Emissions!$D64,EF!$D$100:$D$115,0))*INDEX(EF!$H$116:$H$131,MATCH(Emissions!$D64,EF!$D$116:$D$131,0))*kgtoGg</f>
        <v>2.5004341673487875</v>
      </c>
      <c r="BO64" s="22">
        <f>INDEX('Activity data'!BO$24:BO$39,MATCH(Emissions!$D64,'Activity data'!$D$24:$D$39,0))*INDEX(EF!$H$84:$H$99,MATCH(Emissions!$D64,EF!$D$84:$D$99,0))*INDEX(EF!$H$100:$H$115,MATCH(Emissions!$D64,EF!$D$100:$D$115,0))*INDEX(EF!$H$116:$H$131,MATCH(Emissions!$D64,EF!$D$116:$D$131,0))*kgtoGg</f>
        <v>2.4920095654224399</v>
      </c>
      <c r="BP64" s="22">
        <f>INDEX('Activity data'!BP$24:BP$39,MATCH(Emissions!$D64,'Activity data'!$D$24:$D$39,0))*INDEX(EF!$H$84:$H$99,MATCH(Emissions!$D64,EF!$D$84:$D$99,0))*INDEX(EF!$H$100:$H$115,MATCH(Emissions!$D64,EF!$D$100:$D$115,0))*INDEX(EF!$H$116:$H$131,MATCH(Emissions!$D64,EF!$D$116:$D$131,0))*kgtoGg</f>
        <v>2.4835849634960923</v>
      </c>
    </row>
    <row r="65" spans="1:68" x14ac:dyDescent="0.25">
      <c r="A65" t="str">
        <f t="shared" si="19"/>
        <v>3C Aggregated and non-CO2 emissions on land</v>
      </c>
      <c r="B65" t="str">
        <f t="shared" si="20"/>
        <v>3C1 Biomass burning (CH4)</v>
      </c>
      <c r="C65" t="str">
        <f>C64</f>
        <v>3C1c Biomass burning in Grasslands</v>
      </c>
      <c r="D65" t="str">
        <f>EF!D95</f>
        <v>Degraded land</v>
      </c>
      <c r="E65" t="s">
        <v>641</v>
      </c>
      <c r="F65" t="str">
        <f t="shared" si="21"/>
        <v>CH4</v>
      </c>
      <c r="G65" t="str">
        <f t="shared" si="22"/>
        <v>Gg CH4</v>
      </c>
      <c r="H65" s="22">
        <f>INDEX('Activity data'!H$24:H$39,MATCH(Emissions!$D65,'Activity data'!$D$24:$D$39,0))*INDEX(EF!$H$84:$H$99,MATCH(Emissions!$D65,EF!$D$84:$D$99,0))*INDEX(EF!$H$100:$H$115,MATCH(Emissions!$D65,EF!$D$100:$D$115,0))*INDEX(EF!$H$116:$H$131,MATCH(Emissions!$D65,EF!$D$116:$D$131,0))*kgtoGg</f>
        <v>0.28388450845043828</v>
      </c>
      <c r="I65" s="22">
        <f>INDEX('Activity data'!I$24:I$39,MATCH(Emissions!$D65,'Activity data'!$D$24:$D$39,0))*INDEX(EF!$H$84:$H$99,MATCH(Emissions!$D65,EF!$D$84:$D$99,0))*INDEX(EF!$H$100:$H$115,MATCH(Emissions!$D65,EF!$D$100:$D$115,0))*INDEX(EF!$H$116:$H$131,MATCH(Emissions!$D65,EF!$D$116:$D$131,0))*kgtoGg</f>
        <v>0.28388450845043828</v>
      </c>
      <c r="J65" s="22">
        <f>INDEX('Activity data'!J$24:J$39,MATCH(Emissions!$D65,'Activity data'!$D$24:$D$39,0))*INDEX(EF!$H$84:$H$99,MATCH(Emissions!$D65,EF!$D$84:$D$99,0))*INDEX(EF!$H$100:$H$115,MATCH(Emissions!$D65,EF!$D$100:$D$115,0))*INDEX(EF!$H$116:$H$131,MATCH(Emissions!$D65,EF!$D$116:$D$131,0))*kgtoGg</f>
        <v>0.28388450845043828</v>
      </c>
      <c r="K65" s="22">
        <f>INDEX('Activity data'!K$24:K$39,MATCH(Emissions!$D65,'Activity data'!$D$24:$D$39,0))*INDEX(EF!$H$84:$H$99,MATCH(Emissions!$D65,EF!$D$84:$D$99,0))*INDEX(EF!$H$100:$H$115,MATCH(Emissions!$D65,EF!$D$100:$D$115,0))*INDEX(EF!$H$116:$H$131,MATCH(Emissions!$D65,EF!$D$116:$D$131,0))*kgtoGg</f>
        <v>0.28388450845043828</v>
      </c>
      <c r="L65" s="22">
        <f>INDEX('Activity data'!L$24:L$39,MATCH(Emissions!$D65,'Activity data'!$D$24:$D$39,0))*INDEX(EF!$H$84:$H$99,MATCH(Emissions!$D65,EF!$D$84:$D$99,0))*INDEX(EF!$H$100:$H$115,MATCH(Emissions!$D65,EF!$D$100:$D$115,0))*INDEX(EF!$H$116:$H$131,MATCH(Emissions!$D65,EF!$D$116:$D$131,0))*kgtoGg</f>
        <v>0.28388450845043828</v>
      </c>
      <c r="M65" s="22">
        <f>INDEX('Activity data'!M$24:M$39,MATCH(Emissions!$D65,'Activity data'!$D$24:$D$39,0))*INDEX(EF!$H$84:$H$99,MATCH(Emissions!$D65,EF!$D$84:$D$99,0))*INDEX(EF!$H$100:$H$115,MATCH(Emissions!$D65,EF!$D$100:$D$115,0))*INDEX(EF!$H$116:$H$131,MATCH(Emissions!$D65,EF!$D$116:$D$131,0))*kgtoGg</f>
        <v>0.28388450845043828</v>
      </c>
      <c r="N65" s="22">
        <f>INDEX('Activity data'!N$24:N$39,MATCH(Emissions!$D65,'Activity data'!$D$24:$D$39,0))*INDEX(EF!$H$84:$H$99,MATCH(Emissions!$D65,EF!$D$84:$D$99,0))*INDEX(EF!$H$100:$H$115,MATCH(Emissions!$D65,EF!$D$100:$D$115,0))*INDEX(EF!$H$116:$H$131,MATCH(Emissions!$D65,EF!$D$116:$D$131,0))*kgtoGg</f>
        <v>0.28388450845043828</v>
      </c>
      <c r="O65" s="22">
        <f>INDEX('Activity data'!O$24:O$39,MATCH(Emissions!$D65,'Activity data'!$D$24:$D$39,0))*INDEX(EF!$H$84:$H$99,MATCH(Emissions!$D65,EF!$D$84:$D$99,0))*INDEX(EF!$H$100:$H$115,MATCH(Emissions!$D65,EF!$D$100:$D$115,0))*INDEX(EF!$H$116:$H$131,MATCH(Emissions!$D65,EF!$D$116:$D$131,0))*kgtoGg</f>
        <v>0.28388450845043828</v>
      </c>
      <c r="P65" s="22">
        <f>INDEX('Activity data'!P$24:P$39,MATCH(Emissions!$D65,'Activity data'!$D$24:$D$39,0))*INDEX(EF!$H$84:$H$99,MATCH(Emissions!$D65,EF!$D$84:$D$99,0))*INDEX(EF!$H$100:$H$115,MATCH(Emissions!$D65,EF!$D$100:$D$115,0))*INDEX(EF!$H$116:$H$131,MATCH(Emissions!$D65,EF!$D$116:$D$131,0))*kgtoGg</f>
        <v>0.28388450845043828</v>
      </c>
      <c r="Q65" s="22">
        <f>INDEX('Activity data'!Q$24:Q$39,MATCH(Emissions!$D65,'Activity data'!$D$24:$D$39,0))*INDEX(EF!$H$84:$H$99,MATCH(Emissions!$D65,EF!$D$84:$D$99,0))*INDEX(EF!$H$100:$H$115,MATCH(Emissions!$D65,EF!$D$100:$D$115,0))*INDEX(EF!$H$116:$H$131,MATCH(Emissions!$D65,EF!$D$116:$D$131,0))*kgtoGg</f>
        <v>0.28388450845043828</v>
      </c>
      <c r="R65" s="22">
        <f>INDEX('Activity data'!R$24:R$39,MATCH(Emissions!$D65,'Activity data'!$D$24:$D$39,0))*INDEX(EF!$H$84:$H$99,MATCH(Emissions!$D65,EF!$D$84:$D$99,0))*INDEX(EF!$H$100:$H$115,MATCH(Emissions!$D65,EF!$D$100:$D$115,0))*INDEX(EF!$H$116:$H$131,MATCH(Emissions!$D65,EF!$D$116:$D$131,0))*kgtoGg</f>
        <v>0.31237273176162411</v>
      </c>
      <c r="S65" s="22">
        <f>INDEX('Activity data'!S$24:S$39,MATCH(Emissions!$D65,'Activity data'!$D$24:$D$39,0))*INDEX(EF!$H$84:$H$99,MATCH(Emissions!$D65,EF!$D$84:$D$99,0))*INDEX(EF!$H$100:$H$115,MATCH(Emissions!$D65,EF!$D$100:$D$115,0))*INDEX(EF!$H$116:$H$131,MATCH(Emissions!$D65,EF!$D$116:$D$131,0))*kgtoGg</f>
        <v>0.28275941468330501</v>
      </c>
      <c r="T65" s="22">
        <f>INDEX('Activity data'!T$24:T$39,MATCH(Emissions!$D65,'Activity data'!$D$24:$D$39,0))*INDEX(EF!$H$84:$H$99,MATCH(Emissions!$D65,EF!$D$84:$D$99,0))*INDEX(EF!$H$100:$H$115,MATCH(Emissions!$D65,EF!$D$100:$D$115,0))*INDEX(EF!$H$116:$H$131,MATCH(Emissions!$D65,EF!$D$116:$D$131,0))*kgtoGg</f>
        <v>0.37849852581106064</v>
      </c>
      <c r="U65" s="22">
        <f>INDEX('Activity data'!U$24:U$39,MATCH(Emissions!$D65,'Activity data'!$D$24:$D$39,0))*INDEX(EF!$H$84:$H$99,MATCH(Emissions!$D65,EF!$D$84:$D$99,0))*INDEX(EF!$H$100:$H$115,MATCH(Emissions!$D65,EF!$D$100:$D$115,0))*INDEX(EF!$H$116:$H$131,MATCH(Emissions!$D65,EF!$D$116:$D$131,0))*kgtoGg</f>
        <v>0.11134182657762272</v>
      </c>
      <c r="V65" s="22">
        <f>INDEX('Activity data'!V$24:V$39,MATCH(Emissions!$D65,'Activity data'!$D$24:$D$39,0))*INDEX(EF!$H$84:$H$99,MATCH(Emissions!$D65,EF!$D$84:$D$99,0))*INDEX(EF!$H$100:$H$115,MATCH(Emissions!$D65,EF!$D$100:$D$115,0))*INDEX(EF!$H$116:$H$131,MATCH(Emissions!$D65,EF!$D$116:$D$131,0))*kgtoGg</f>
        <v>0.33445004341857892</v>
      </c>
      <c r="W65" s="22">
        <f>INDEX('Activity data'!W$24:W$39,MATCH(Emissions!$D65,'Activity data'!$D$24:$D$39,0))*INDEX(EF!$H$84:$H$99,MATCH(Emissions!$D65,EF!$D$84:$D$99,0))*INDEX(EF!$H$100:$H$115,MATCH(Emissions!$D65,EF!$D$100:$D$115,0))*INDEX(EF!$H$116:$H$131,MATCH(Emissions!$D65,EF!$D$116:$D$131,0))*kgtoGg</f>
        <v>0.40970395671079474</v>
      </c>
      <c r="X65" s="22">
        <f>INDEX('Activity data'!X$24:X$39,MATCH(Emissions!$D65,'Activity data'!$D$24:$D$39,0))*INDEX(EF!$H$84:$H$99,MATCH(Emissions!$D65,EF!$D$84:$D$99,0))*INDEX(EF!$H$100:$H$115,MATCH(Emissions!$D65,EF!$D$100:$D$115,0))*INDEX(EF!$H$116:$H$131,MATCH(Emissions!$D65,EF!$D$116:$D$131,0))*kgtoGg</f>
        <v>0.60701992964482765</v>
      </c>
      <c r="Y65" s="22">
        <f>INDEX('Activity data'!Y$24:Y$39,MATCH(Emissions!$D65,'Activity data'!$D$24:$D$39,0))*INDEX(EF!$H$84:$H$99,MATCH(Emissions!$D65,EF!$D$84:$D$99,0))*INDEX(EF!$H$100:$H$115,MATCH(Emissions!$D65,EF!$D$100:$D$115,0))*INDEX(EF!$H$116:$H$131,MATCH(Emissions!$D65,EF!$D$116:$D$131,0))*kgtoGg</f>
        <v>9.2342601642070338E-2</v>
      </c>
      <c r="Z65" s="22">
        <f>INDEX('Activity data'!Z$24:Z$39,MATCH(Emissions!$D65,'Activity data'!$D$24:$D$39,0))*INDEX(EF!$H$84:$H$99,MATCH(Emissions!$D65,EF!$D$84:$D$99,0))*INDEX(EF!$H$100:$H$115,MATCH(Emissions!$D65,EF!$D$100:$D$115,0))*INDEX(EF!$H$116:$H$131,MATCH(Emissions!$D65,EF!$D$116:$D$131,0))*kgtoGg</f>
        <v>0.43199355021060487</v>
      </c>
      <c r="AA65" s="22">
        <f>INDEX('Activity data'!AA$24:AA$39,MATCH(Emissions!$D65,'Activity data'!$D$24:$D$39,0))*INDEX(EF!$H$84:$H$99,MATCH(Emissions!$D65,EF!$D$84:$D$99,0))*INDEX(EF!$H$100:$H$115,MATCH(Emissions!$D65,EF!$D$100:$D$115,0))*INDEX(EF!$H$116:$H$131,MATCH(Emissions!$D65,EF!$D$116:$D$131,0))*kgtoGg</f>
        <v>0.2804243144118963</v>
      </c>
      <c r="AB65" s="22">
        <f>INDEX('Activity data'!AB$24:AB$39,MATCH(Emissions!$D65,'Activity data'!$D$24:$D$39,0))*INDEX(EF!$H$84:$H$99,MATCH(Emissions!$D65,EF!$D$84:$D$99,0))*INDEX(EF!$H$100:$H$115,MATCH(Emissions!$D65,EF!$D$100:$D$115,0))*INDEX(EF!$H$116:$H$131,MATCH(Emissions!$D65,EF!$D$116:$D$131,0))*kgtoGg</f>
        <v>0.37741233600000001</v>
      </c>
      <c r="AC65" s="22">
        <f>INDEX('Activity data'!AC$24:AC$39,MATCH(Emissions!$D65,'Activity data'!$D$24:$D$39,0))*INDEX(EF!$H$84:$H$99,MATCH(Emissions!$D65,EF!$D$84:$D$99,0))*INDEX(EF!$H$100:$H$115,MATCH(Emissions!$D65,EF!$D$100:$D$115,0))*INDEX(EF!$H$116:$H$131,MATCH(Emissions!$D65,EF!$D$116:$D$131,0))*kgtoGg</f>
        <v>0.44425760399999997</v>
      </c>
      <c r="AD65" s="22">
        <f>INDEX('Activity data'!AD$24:AD$39,MATCH(Emissions!$D65,'Activity data'!$D$24:$D$39,0))*INDEX(EF!$H$84:$H$99,MATCH(Emissions!$D65,EF!$D$84:$D$99,0))*INDEX(EF!$H$100:$H$115,MATCH(Emissions!$D65,EF!$D$100:$D$115,0))*INDEX(EF!$H$116:$H$131,MATCH(Emissions!$D65,EF!$D$116:$D$131,0))*kgtoGg</f>
        <v>0.26663358404846588</v>
      </c>
      <c r="AE65" s="22">
        <f>INDEX('Activity data'!AE$24:AE$39,MATCH(Emissions!$D65,'Activity data'!$D$24:$D$39,0))*INDEX(EF!$H$84:$H$99,MATCH(Emissions!$D65,EF!$D$84:$D$99,0))*INDEX(EF!$H$100:$H$115,MATCH(Emissions!$D65,EF!$D$100:$D$115,0))*INDEX(EF!$H$116:$H$131,MATCH(Emissions!$D65,EF!$D$116:$D$131,0))*kgtoGg</f>
        <v>0.26663358404846588</v>
      </c>
      <c r="AF65" s="22">
        <f>INDEX('Activity data'!AF$24:AF$39,MATCH(Emissions!$D65,'Activity data'!$D$24:$D$39,0))*INDEX(EF!$H$84:$H$99,MATCH(Emissions!$D65,EF!$D$84:$D$99,0))*INDEX(EF!$H$100:$H$115,MATCH(Emissions!$D65,EF!$D$100:$D$115,0))*INDEX(EF!$H$116:$H$131,MATCH(Emissions!$D65,EF!$D$116:$D$131,0))*kgtoGg</f>
        <v>0.26663358404846588</v>
      </c>
      <c r="AG65" s="22">
        <f>INDEX('Activity data'!AG$24:AG$39,MATCH(Emissions!$D65,'Activity data'!$D$24:$D$39,0))*INDEX(EF!$H$84:$H$99,MATCH(Emissions!$D65,EF!$D$84:$D$99,0))*INDEX(EF!$H$100:$H$115,MATCH(Emissions!$D65,EF!$D$100:$D$115,0))*INDEX(EF!$H$116:$H$131,MATCH(Emissions!$D65,EF!$D$116:$D$131,0))*kgtoGg</f>
        <v>0.26663358404846588</v>
      </c>
      <c r="AH65" s="22">
        <f>INDEX('Activity data'!AH$24:AH$39,MATCH(Emissions!$D65,'Activity data'!$D$24:$D$39,0))*INDEX(EF!$H$84:$H$99,MATCH(Emissions!$D65,EF!$D$84:$D$99,0))*INDEX(EF!$H$100:$H$115,MATCH(Emissions!$D65,EF!$D$100:$D$115,0))*INDEX(EF!$H$116:$H$131,MATCH(Emissions!$D65,EF!$D$116:$D$131,0))*kgtoGg</f>
        <v>0.26663358404846588</v>
      </c>
      <c r="AI65" s="22">
        <f>INDEX('Activity data'!AI$24:AI$39,MATCH(Emissions!$D65,'Activity data'!$D$24:$D$39,0))*INDEX(EF!$H$84:$H$99,MATCH(Emissions!$D65,EF!$D$84:$D$99,0))*INDEX(EF!$H$100:$H$115,MATCH(Emissions!$D65,EF!$D$100:$D$115,0))*INDEX(EF!$H$116:$H$131,MATCH(Emissions!$D65,EF!$D$116:$D$131,0))*kgtoGg</f>
        <v>0.26663358404846588</v>
      </c>
      <c r="AJ65" s="22">
        <f>INDEX('Activity data'!AJ$24:AJ$39,MATCH(Emissions!$D65,'Activity data'!$D$24:$D$39,0))*INDEX(EF!$H$84:$H$99,MATCH(Emissions!$D65,EF!$D$84:$D$99,0))*INDEX(EF!$H$100:$H$115,MATCH(Emissions!$D65,EF!$D$100:$D$115,0))*INDEX(EF!$H$116:$H$131,MATCH(Emissions!$D65,EF!$D$116:$D$131,0))*kgtoGg</f>
        <v>0.26663358404846588</v>
      </c>
      <c r="AK65" s="22">
        <f>INDEX('Activity data'!AK$24:AK$39,MATCH(Emissions!$D65,'Activity data'!$D$24:$D$39,0))*INDEX(EF!$H$84:$H$99,MATCH(Emissions!$D65,EF!$D$84:$D$99,0))*INDEX(EF!$H$100:$H$115,MATCH(Emissions!$D65,EF!$D$100:$D$115,0))*INDEX(EF!$H$116:$H$131,MATCH(Emissions!$D65,EF!$D$116:$D$131,0))*kgtoGg</f>
        <v>0.26663358404846588</v>
      </c>
      <c r="AL65" s="22">
        <f>INDEX('Activity data'!AL$24:AL$39,MATCH(Emissions!$D65,'Activity data'!$D$24:$D$39,0))*INDEX(EF!$H$84:$H$99,MATCH(Emissions!$D65,EF!$D$84:$D$99,0))*INDEX(EF!$H$100:$H$115,MATCH(Emissions!$D65,EF!$D$100:$D$115,0))*INDEX(EF!$H$116:$H$131,MATCH(Emissions!$D65,EF!$D$116:$D$131,0))*kgtoGg</f>
        <v>0.26663358404846588</v>
      </c>
      <c r="AM65" s="22">
        <f>INDEX('Activity data'!AM$24:AM$39,MATCH(Emissions!$D65,'Activity data'!$D$24:$D$39,0))*INDEX(EF!$H$84:$H$99,MATCH(Emissions!$D65,EF!$D$84:$D$99,0))*INDEX(EF!$H$100:$H$115,MATCH(Emissions!$D65,EF!$D$100:$D$115,0))*INDEX(EF!$H$116:$H$131,MATCH(Emissions!$D65,EF!$D$116:$D$131,0))*kgtoGg</f>
        <v>0.26663358404846588</v>
      </c>
      <c r="AN65" s="22">
        <f>INDEX('Activity data'!AN$24:AN$39,MATCH(Emissions!$D65,'Activity data'!$D$24:$D$39,0))*INDEX(EF!$H$84:$H$99,MATCH(Emissions!$D65,EF!$D$84:$D$99,0))*INDEX(EF!$H$100:$H$115,MATCH(Emissions!$D65,EF!$D$100:$D$115,0))*INDEX(EF!$H$116:$H$131,MATCH(Emissions!$D65,EF!$D$116:$D$131,0))*kgtoGg</f>
        <v>0.26663358404846588</v>
      </c>
      <c r="AO65" s="22">
        <f>INDEX('Activity data'!AO$24:AO$39,MATCH(Emissions!$D65,'Activity data'!$D$24:$D$39,0))*INDEX(EF!$H$84:$H$99,MATCH(Emissions!$D65,EF!$D$84:$D$99,0))*INDEX(EF!$H$100:$H$115,MATCH(Emissions!$D65,EF!$D$100:$D$115,0))*INDEX(EF!$H$116:$H$131,MATCH(Emissions!$D65,EF!$D$116:$D$131,0))*kgtoGg</f>
        <v>0.26663358404846588</v>
      </c>
      <c r="AP65" s="22">
        <f>INDEX('Activity data'!AP$24:AP$39,MATCH(Emissions!$D65,'Activity data'!$D$24:$D$39,0))*INDEX(EF!$H$84:$H$99,MATCH(Emissions!$D65,EF!$D$84:$D$99,0))*INDEX(EF!$H$100:$H$115,MATCH(Emissions!$D65,EF!$D$100:$D$115,0))*INDEX(EF!$H$116:$H$131,MATCH(Emissions!$D65,EF!$D$116:$D$131,0))*kgtoGg</f>
        <v>0.26663358404846588</v>
      </c>
      <c r="AQ65" s="22">
        <f>INDEX('Activity data'!AQ$24:AQ$39,MATCH(Emissions!$D65,'Activity data'!$D$24:$D$39,0))*INDEX(EF!$H$84:$H$99,MATCH(Emissions!$D65,EF!$D$84:$D$99,0))*INDEX(EF!$H$100:$H$115,MATCH(Emissions!$D65,EF!$D$100:$D$115,0))*INDEX(EF!$H$116:$H$131,MATCH(Emissions!$D65,EF!$D$116:$D$131,0))*kgtoGg</f>
        <v>0.26663358404846588</v>
      </c>
      <c r="AR65" s="22">
        <f>INDEX('Activity data'!AR$24:AR$39,MATCH(Emissions!$D65,'Activity data'!$D$24:$D$39,0))*INDEX(EF!$H$84:$H$99,MATCH(Emissions!$D65,EF!$D$84:$D$99,0))*INDEX(EF!$H$100:$H$115,MATCH(Emissions!$D65,EF!$D$100:$D$115,0))*INDEX(EF!$H$116:$H$131,MATCH(Emissions!$D65,EF!$D$116:$D$131,0))*kgtoGg</f>
        <v>0.26663358404846588</v>
      </c>
      <c r="AS65" s="22">
        <f>INDEX('Activity data'!AS$24:AS$39,MATCH(Emissions!$D65,'Activity data'!$D$24:$D$39,0))*INDEX(EF!$H$84:$H$99,MATCH(Emissions!$D65,EF!$D$84:$D$99,0))*INDEX(EF!$H$100:$H$115,MATCH(Emissions!$D65,EF!$D$100:$D$115,0))*INDEX(EF!$H$116:$H$131,MATCH(Emissions!$D65,EF!$D$116:$D$131,0))*kgtoGg</f>
        <v>0.26663358404846588</v>
      </c>
      <c r="AT65" s="22">
        <f>INDEX('Activity data'!AT$24:AT$39,MATCH(Emissions!$D65,'Activity data'!$D$24:$D$39,0))*INDEX(EF!$H$84:$H$99,MATCH(Emissions!$D65,EF!$D$84:$D$99,0))*INDEX(EF!$H$100:$H$115,MATCH(Emissions!$D65,EF!$D$100:$D$115,0))*INDEX(EF!$H$116:$H$131,MATCH(Emissions!$D65,EF!$D$116:$D$131,0))*kgtoGg</f>
        <v>0.26663358404846588</v>
      </c>
      <c r="AU65" s="22">
        <f>INDEX('Activity data'!AU$24:AU$39,MATCH(Emissions!$D65,'Activity data'!$D$24:$D$39,0))*INDEX(EF!$H$84:$H$99,MATCH(Emissions!$D65,EF!$D$84:$D$99,0))*INDEX(EF!$H$100:$H$115,MATCH(Emissions!$D65,EF!$D$100:$D$115,0))*INDEX(EF!$H$116:$H$131,MATCH(Emissions!$D65,EF!$D$116:$D$131,0))*kgtoGg</f>
        <v>0.26663358404846588</v>
      </c>
      <c r="AV65" s="22">
        <f>INDEX('Activity data'!AV$24:AV$39,MATCH(Emissions!$D65,'Activity data'!$D$24:$D$39,0))*INDEX(EF!$H$84:$H$99,MATCH(Emissions!$D65,EF!$D$84:$D$99,0))*INDEX(EF!$H$100:$H$115,MATCH(Emissions!$D65,EF!$D$100:$D$115,0))*INDEX(EF!$H$116:$H$131,MATCH(Emissions!$D65,EF!$D$116:$D$131,0))*kgtoGg</f>
        <v>0.26663358404846588</v>
      </c>
      <c r="AW65" s="22">
        <f>INDEX('Activity data'!AW$24:AW$39,MATCH(Emissions!$D65,'Activity data'!$D$24:$D$39,0))*INDEX(EF!$H$84:$H$99,MATCH(Emissions!$D65,EF!$D$84:$D$99,0))*INDEX(EF!$H$100:$H$115,MATCH(Emissions!$D65,EF!$D$100:$D$115,0))*INDEX(EF!$H$116:$H$131,MATCH(Emissions!$D65,EF!$D$116:$D$131,0))*kgtoGg</f>
        <v>0.26663358404846588</v>
      </c>
      <c r="AX65" s="22">
        <f>INDEX('Activity data'!AX$24:AX$39,MATCH(Emissions!$D65,'Activity data'!$D$24:$D$39,0))*INDEX(EF!$H$84:$H$99,MATCH(Emissions!$D65,EF!$D$84:$D$99,0))*INDEX(EF!$H$100:$H$115,MATCH(Emissions!$D65,EF!$D$100:$D$115,0))*INDEX(EF!$H$116:$H$131,MATCH(Emissions!$D65,EF!$D$116:$D$131,0))*kgtoGg</f>
        <v>0.26663358404846588</v>
      </c>
      <c r="AY65" s="22">
        <f>INDEX('Activity data'!AY$24:AY$39,MATCH(Emissions!$D65,'Activity data'!$D$24:$D$39,0))*INDEX(EF!$H$84:$H$99,MATCH(Emissions!$D65,EF!$D$84:$D$99,0))*INDEX(EF!$H$100:$H$115,MATCH(Emissions!$D65,EF!$D$100:$D$115,0))*INDEX(EF!$H$116:$H$131,MATCH(Emissions!$D65,EF!$D$116:$D$131,0))*kgtoGg</f>
        <v>0.26663358404846588</v>
      </c>
      <c r="AZ65" s="22">
        <f>INDEX('Activity data'!AZ$24:AZ$39,MATCH(Emissions!$D65,'Activity data'!$D$24:$D$39,0))*INDEX(EF!$H$84:$H$99,MATCH(Emissions!$D65,EF!$D$84:$D$99,0))*INDEX(EF!$H$100:$H$115,MATCH(Emissions!$D65,EF!$D$100:$D$115,0))*INDEX(EF!$H$116:$H$131,MATCH(Emissions!$D65,EF!$D$116:$D$131,0))*kgtoGg</f>
        <v>0.26663358404846588</v>
      </c>
      <c r="BA65" s="22">
        <f>INDEX('Activity data'!BA$24:BA$39,MATCH(Emissions!$D65,'Activity data'!$D$24:$D$39,0))*INDEX(EF!$H$84:$H$99,MATCH(Emissions!$D65,EF!$D$84:$D$99,0))*INDEX(EF!$H$100:$H$115,MATCH(Emissions!$D65,EF!$D$100:$D$115,0))*INDEX(EF!$H$116:$H$131,MATCH(Emissions!$D65,EF!$D$116:$D$131,0))*kgtoGg</f>
        <v>0.26663358404846588</v>
      </c>
      <c r="BB65" s="22">
        <f>INDEX('Activity data'!BB$24:BB$39,MATCH(Emissions!$D65,'Activity data'!$D$24:$D$39,0))*INDEX(EF!$H$84:$H$99,MATCH(Emissions!$D65,EF!$D$84:$D$99,0))*INDEX(EF!$H$100:$H$115,MATCH(Emissions!$D65,EF!$D$100:$D$115,0))*INDEX(EF!$H$116:$H$131,MATCH(Emissions!$D65,EF!$D$116:$D$131,0))*kgtoGg</f>
        <v>0.26663358404846588</v>
      </c>
      <c r="BC65" s="22">
        <f>INDEX('Activity data'!BC$24:BC$39,MATCH(Emissions!$D65,'Activity data'!$D$24:$D$39,0))*INDEX(EF!$H$84:$H$99,MATCH(Emissions!$D65,EF!$D$84:$D$99,0))*INDEX(EF!$H$100:$H$115,MATCH(Emissions!$D65,EF!$D$100:$D$115,0))*INDEX(EF!$H$116:$H$131,MATCH(Emissions!$D65,EF!$D$116:$D$131,0))*kgtoGg</f>
        <v>0.26663358404846588</v>
      </c>
      <c r="BD65" s="22">
        <f>INDEX('Activity data'!BD$24:BD$39,MATCH(Emissions!$D65,'Activity data'!$D$24:$D$39,0))*INDEX(EF!$H$84:$H$99,MATCH(Emissions!$D65,EF!$D$84:$D$99,0))*INDEX(EF!$H$100:$H$115,MATCH(Emissions!$D65,EF!$D$100:$D$115,0))*INDEX(EF!$H$116:$H$131,MATCH(Emissions!$D65,EF!$D$116:$D$131,0))*kgtoGg</f>
        <v>0.26663358404846588</v>
      </c>
      <c r="BE65" s="22">
        <f>INDEX('Activity data'!BE$24:BE$39,MATCH(Emissions!$D65,'Activity data'!$D$24:$D$39,0))*INDEX(EF!$H$84:$H$99,MATCH(Emissions!$D65,EF!$D$84:$D$99,0))*INDEX(EF!$H$100:$H$115,MATCH(Emissions!$D65,EF!$D$100:$D$115,0))*INDEX(EF!$H$116:$H$131,MATCH(Emissions!$D65,EF!$D$116:$D$131,0))*kgtoGg</f>
        <v>0.26663358404846588</v>
      </c>
      <c r="BF65" s="22">
        <f>INDEX('Activity data'!BF$24:BF$39,MATCH(Emissions!$D65,'Activity data'!$D$24:$D$39,0))*INDEX(EF!$H$84:$H$99,MATCH(Emissions!$D65,EF!$D$84:$D$99,0))*INDEX(EF!$H$100:$H$115,MATCH(Emissions!$D65,EF!$D$100:$D$115,0))*INDEX(EF!$H$116:$H$131,MATCH(Emissions!$D65,EF!$D$116:$D$131,0))*kgtoGg</f>
        <v>0.26663358404846588</v>
      </c>
      <c r="BG65" s="22">
        <f>INDEX('Activity data'!BG$24:BG$39,MATCH(Emissions!$D65,'Activity data'!$D$24:$D$39,0))*INDEX(EF!$H$84:$H$99,MATCH(Emissions!$D65,EF!$D$84:$D$99,0))*INDEX(EF!$H$100:$H$115,MATCH(Emissions!$D65,EF!$D$100:$D$115,0))*INDEX(EF!$H$116:$H$131,MATCH(Emissions!$D65,EF!$D$116:$D$131,0))*kgtoGg</f>
        <v>0.26663358404846588</v>
      </c>
      <c r="BH65" s="22">
        <f>INDEX('Activity data'!BH$24:BH$39,MATCH(Emissions!$D65,'Activity data'!$D$24:$D$39,0))*INDEX(EF!$H$84:$H$99,MATCH(Emissions!$D65,EF!$D$84:$D$99,0))*INDEX(EF!$H$100:$H$115,MATCH(Emissions!$D65,EF!$D$100:$D$115,0))*INDEX(EF!$H$116:$H$131,MATCH(Emissions!$D65,EF!$D$116:$D$131,0))*kgtoGg</f>
        <v>0.26663358404846588</v>
      </c>
      <c r="BI65" s="22">
        <f>INDEX('Activity data'!BI$24:BI$39,MATCH(Emissions!$D65,'Activity data'!$D$24:$D$39,0))*INDEX(EF!$H$84:$H$99,MATCH(Emissions!$D65,EF!$D$84:$D$99,0))*INDEX(EF!$H$100:$H$115,MATCH(Emissions!$D65,EF!$D$100:$D$115,0))*INDEX(EF!$H$116:$H$131,MATCH(Emissions!$D65,EF!$D$116:$D$131,0))*kgtoGg</f>
        <v>0.26663358404846588</v>
      </c>
      <c r="BJ65" s="22">
        <f>INDEX('Activity data'!BJ$24:BJ$39,MATCH(Emissions!$D65,'Activity data'!$D$24:$D$39,0))*INDEX(EF!$H$84:$H$99,MATCH(Emissions!$D65,EF!$D$84:$D$99,0))*INDEX(EF!$H$100:$H$115,MATCH(Emissions!$D65,EF!$D$100:$D$115,0))*INDEX(EF!$H$116:$H$131,MATCH(Emissions!$D65,EF!$D$116:$D$131,0))*kgtoGg</f>
        <v>0.26663358404846588</v>
      </c>
      <c r="BK65" s="22">
        <f>INDEX('Activity data'!BK$24:BK$39,MATCH(Emissions!$D65,'Activity data'!$D$24:$D$39,0))*INDEX(EF!$H$84:$H$99,MATCH(Emissions!$D65,EF!$D$84:$D$99,0))*INDEX(EF!$H$100:$H$115,MATCH(Emissions!$D65,EF!$D$100:$D$115,0))*INDEX(EF!$H$116:$H$131,MATCH(Emissions!$D65,EF!$D$116:$D$131,0))*kgtoGg</f>
        <v>0.26663358404846588</v>
      </c>
      <c r="BL65" s="22">
        <f>INDEX('Activity data'!BL$24:BL$39,MATCH(Emissions!$D65,'Activity data'!$D$24:$D$39,0))*INDEX(EF!$H$84:$H$99,MATCH(Emissions!$D65,EF!$D$84:$D$99,0))*INDEX(EF!$H$100:$H$115,MATCH(Emissions!$D65,EF!$D$100:$D$115,0))*INDEX(EF!$H$116:$H$131,MATCH(Emissions!$D65,EF!$D$116:$D$131,0))*kgtoGg</f>
        <v>0.26663358404846588</v>
      </c>
      <c r="BM65" s="22">
        <f>INDEX('Activity data'!BM$24:BM$39,MATCH(Emissions!$D65,'Activity data'!$D$24:$D$39,0))*INDEX(EF!$H$84:$H$99,MATCH(Emissions!$D65,EF!$D$84:$D$99,0))*INDEX(EF!$H$100:$H$115,MATCH(Emissions!$D65,EF!$D$100:$D$115,0))*INDEX(EF!$H$116:$H$131,MATCH(Emissions!$D65,EF!$D$116:$D$131,0))*kgtoGg</f>
        <v>0.26663358404846588</v>
      </c>
      <c r="BN65" s="22">
        <f>INDEX('Activity data'!BN$24:BN$39,MATCH(Emissions!$D65,'Activity data'!$D$24:$D$39,0))*INDEX(EF!$H$84:$H$99,MATCH(Emissions!$D65,EF!$D$84:$D$99,0))*INDEX(EF!$H$100:$H$115,MATCH(Emissions!$D65,EF!$D$100:$D$115,0))*INDEX(EF!$H$116:$H$131,MATCH(Emissions!$D65,EF!$D$116:$D$131,0))*kgtoGg</f>
        <v>0.26663358404846588</v>
      </c>
      <c r="BO65" s="22">
        <f>INDEX('Activity data'!BO$24:BO$39,MATCH(Emissions!$D65,'Activity data'!$D$24:$D$39,0))*INDEX(EF!$H$84:$H$99,MATCH(Emissions!$D65,EF!$D$84:$D$99,0))*INDEX(EF!$H$100:$H$115,MATCH(Emissions!$D65,EF!$D$100:$D$115,0))*INDEX(EF!$H$116:$H$131,MATCH(Emissions!$D65,EF!$D$116:$D$131,0))*kgtoGg</f>
        <v>0.26663358404846588</v>
      </c>
      <c r="BP65" s="22">
        <f>INDEX('Activity data'!BP$24:BP$39,MATCH(Emissions!$D65,'Activity data'!$D$24:$D$39,0))*INDEX(EF!$H$84:$H$99,MATCH(Emissions!$D65,EF!$D$84:$D$99,0))*INDEX(EF!$H$100:$H$115,MATCH(Emissions!$D65,EF!$D$100:$D$115,0))*INDEX(EF!$H$116:$H$131,MATCH(Emissions!$D65,EF!$D$116:$D$131,0))*kgtoGg</f>
        <v>0.26663358404846588</v>
      </c>
    </row>
    <row r="66" spans="1:68" x14ac:dyDescent="0.25">
      <c r="A66" t="str">
        <f t="shared" si="19"/>
        <v>3C Aggregated and non-CO2 emissions on land</v>
      </c>
      <c r="B66" t="str">
        <f t="shared" si="20"/>
        <v>3C1 Biomass burning (CH4)</v>
      </c>
      <c r="C66" t="str">
        <f>'IPCC Categories'!C62</f>
        <v>3C1d Biomass burning in Wetlands</v>
      </c>
      <c r="D66" t="str">
        <f>EF!D96</f>
        <v>Wetlands</v>
      </c>
      <c r="E66" t="s">
        <v>652</v>
      </c>
      <c r="F66" t="str">
        <f t="shared" ref="F66:F69" si="23">F65</f>
        <v>CH4</v>
      </c>
      <c r="G66" t="str">
        <f t="shared" ref="G66:G69" si="24">G65</f>
        <v>Gg CH4</v>
      </c>
      <c r="H66" s="22">
        <f>INDEX('Activity data'!H$24:H$39,MATCH(Emissions!$D66,'Activity data'!$D$24:$D$39,0))*INDEX(EF!$H$84:$H$99,MATCH(Emissions!$D66,EF!$D$84:$D$99,0))*INDEX(EF!$H$100:$H$115,MATCH(Emissions!$D66,EF!$D$100:$D$115,0))*INDEX(EF!$H$116:$H$131,MATCH(Emissions!$D66,EF!$D$116:$D$131,0))*kgtoGg</f>
        <v>0.80577517347341965</v>
      </c>
      <c r="I66" s="22">
        <f>INDEX('Activity data'!I$24:I$39,MATCH(Emissions!$D66,'Activity data'!$D$24:$D$39,0))*INDEX(EF!$H$84:$H$99,MATCH(Emissions!$D66,EF!$D$84:$D$99,0))*INDEX(EF!$H$100:$H$115,MATCH(Emissions!$D66,EF!$D$100:$D$115,0))*INDEX(EF!$H$116:$H$131,MATCH(Emissions!$D66,EF!$D$116:$D$131,0))*kgtoGg</f>
        <v>0.80577517347341965</v>
      </c>
      <c r="J66" s="22">
        <f>INDEX('Activity data'!J$24:J$39,MATCH(Emissions!$D66,'Activity data'!$D$24:$D$39,0))*INDEX(EF!$H$84:$H$99,MATCH(Emissions!$D66,EF!$D$84:$D$99,0))*INDEX(EF!$H$100:$H$115,MATCH(Emissions!$D66,EF!$D$100:$D$115,0))*INDEX(EF!$H$116:$H$131,MATCH(Emissions!$D66,EF!$D$116:$D$131,0))*kgtoGg</f>
        <v>0.80577517347341965</v>
      </c>
      <c r="K66" s="22">
        <f>INDEX('Activity data'!K$24:K$39,MATCH(Emissions!$D66,'Activity data'!$D$24:$D$39,0))*INDEX(EF!$H$84:$H$99,MATCH(Emissions!$D66,EF!$D$84:$D$99,0))*INDEX(EF!$H$100:$H$115,MATCH(Emissions!$D66,EF!$D$100:$D$115,0))*INDEX(EF!$H$116:$H$131,MATCH(Emissions!$D66,EF!$D$116:$D$131,0))*kgtoGg</f>
        <v>0.80577517347341965</v>
      </c>
      <c r="L66" s="22">
        <f>INDEX('Activity data'!L$24:L$39,MATCH(Emissions!$D66,'Activity data'!$D$24:$D$39,0))*INDEX(EF!$H$84:$H$99,MATCH(Emissions!$D66,EF!$D$84:$D$99,0))*INDEX(EF!$H$100:$H$115,MATCH(Emissions!$D66,EF!$D$100:$D$115,0))*INDEX(EF!$H$116:$H$131,MATCH(Emissions!$D66,EF!$D$116:$D$131,0))*kgtoGg</f>
        <v>0.80577517347341965</v>
      </c>
      <c r="M66" s="22">
        <f>INDEX('Activity data'!M$24:M$39,MATCH(Emissions!$D66,'Activity data'!$D$24:$D$39,0))*INDEX(EF!$H$84:$H$99,MATCH(Emissions!$D66,EF!$D$84:$D$99,0))*INDEX(EF!$H$100:$H$115,MATCH(Emissions!$D66,EF!$D$100:$D$115,0))*INDEX(EF!$H$116:$H$131,MATCH(Emissions!$D66,EF!$D$116:$D$131,0))*kgtoGg</f>
        <v>0.80577517347341965</v>
      </c>
      <c r="N66" s="22">
        <f>INDEX('Activity data'!N$24:N$39,MATCH(Emissions!$D66,'Activity data'!$D$24:$D$39,0))*INDEX(EF!$H$84:$H$99,MATCH(Emissions!$D66,EF!$D$84:$D$99,0))*INDEX(EF!$H$100:$H$115,MATCH(Emissions!$D66,EF!$D$100:$D$115,0))*INDEX(EF!$H$116:$H$131,MATCH(Emissions!$D66,EF!$D$116:$D$131,0))*kgtoGg</f>
        <v>0.80577517347341965</v>
      </c>
      <c r="O66" s="22">
        <f>INDEX('Activity data'!O$24:O$39,MATCH(Emissions!$D66,'Activity data'!$D$24:$D$39,0))*INDEX(EF!$H$84:$H$99,MATCH(Emissions!$D66,EF!$D$84:$D$99,0))*INDEX(EF!$H$100:$H$115,MATCH(Emissions!$D66,EF!$D$100:$D$115,0))*INDEX(EF!$H$116:$H$131,MATCH(Emissions!$D66,EF!$D$116:$D$131,0))*kgtoGg</f>
        <v>0.80577517347341965</v>
      </c>
      <c r="P66" s="22">
        <f>INDEX('Activity data'!P$24:P$39,MATCH(Emissions!$D66,'Activity data'!$D$24:$D$39,0))*INDEX(EF!$H$84:$H$99,MATCH(Emissions!$D66,EF!$D$84:$D$99,0))*INDEX(EF!$H$100:$H$115,MATCH(Emissions!$D66,EF!$D$100:$D$115,0))*INDEX(EF!$H$116:$H$131,MATCH(Emissions!$D66,EF!$D$116:$D$131,0))*kgtoGg</f>
        <v>0.80577517347341965</v>
      </c>
      <c r="Q66" s="22">
        <f>INDEX('Activity data'!Q$24:Q$39,MATCH(Emissions!$D66,'Activity data'!$D$24:$D$39,0))*INDEX(EF!$H$84:$H$99,MATCH(Emissions!$D66,EF!$D$84:$D$99,0))*INDEX(EF!$H$100:$H$115,MATCH(Emissions!$D66,EF!$D$100:$D$115,0))*INDEX(EF!$H$116:$H$131,MATCH(Emissions!$D66,EF!$D$116:$D$131,0))*kgtoGg</f>
        <v>0.80577517347341965</v>
      </c>
      <c r="R66" s="22">
        <f>INDEX('Activity data'!R$24:R$39,MATCH(Emissions!$D66,'Activity data'!$D$24:$D$39,0))*INDEX(EF!$H$84:$H$99,MATCH(Emissions!$D66,EF!$D$84:$D$99,0))*INDEX(EF!$H$100:$H$115,MATCH(Emissions!$D66,EF!$D$100:$D$115,0))*INDEX(EF!$H$116:$H$131,MATCH(Emissions!$D66,EF!$D$116:$D$131,0))*kgtoGg</f>
        <v>0.71282120012392636</v>
      </c>
      <c r="S66" s="22">
        <f>INDEX('Activity data'!S$24:S$39,MATCH(Emissions!$D66,'Activity data'!$D$24:$D$39,0))*INDEX(EF!$H$84:$H$99,MATCH(Emissions!$D66,EF!$D$84:$D$99,0))*INDEX(EF!$H$100:$H$115,MATCH(Emissions!$D66,EF!$D$100:$D$115,0))*INDEX(EF!$H$116:$H$131,MATCH(Emissions!$D66,EF!$D$116:$D$131,0))*kgtoGg</f>
        <v>0.86099923348302065</v>
      </c>
      <c r="T66" s="22">
        <f>INDEX('Activity data'!T$24:T$39,MATCH(Emissions!$D66,'Activity data'!$D$24:$D$39,0))*INDEX(EF!$H$84:$H$99,MATCH(Emissions!$D66,EF!$D$84:$D$99,0))*INDEX(EF!$H$100:$H$115,MATCH(Emissions!$D66,EF!$D$100:$D$115,0))*INDEX(EF!$H$116:$H$131,MATCH(Emissions!$D66,EF!$D$116:$D$131,0))*kgtoGg</f>
        <v>0.97458063350276725</v>
      </c>
      <c r="U66" s="22">
        <f>INDEX('Activity data'!U$24:U$39,MATCH(Emissions!$D66,'Activity data'!$D$24:$D$39,0))*INDEX(EF!$H$84:$H$99,MATCH(Emissions!$D66,EF!$D$84:$D$99,0))*INDEX(EF!$H$100:$H$115,MATCH(Emissions!$D66,EF!$D$100:$D$115,0))*INDEX(EF!$H$116:$H$131,MATCH(Emissions!$D66,EF!$D$116:$D$131,0))*kgtoGg</f>
        <v>0.79724568902749249</v>
      </c>
      <c r="V66" s="22">
        <f>INDEX('Activity data'!V$24:V$39,MATCH(Emissions!$D66,'Activity data'!$D$24:$D$39,0))*INDEX(EF!$H$84:$H$99,MATCH(Emissions!$D66,EF!$D$84:$D$99,0))*INDEX(EF!$H$100:$H$115,MATCH(Emissions!$D66,EF!$D$100:$D$115,0))*INDEX(EF!$H$116:$H$131,MATCH(Emissions!$D66,EF!$D$116:$D$131,0))*kgtoGg</f>
        <v>0.68322911122989261</v>
      </c>
      <c r="W66" s="22">
        <f>INDEX('Activity data'!W$24:W$39,MATCH(Emissions!$D66,'Activity data'!$D$24:$D$39,0))*INDEX(EF!$H$84:$H$99,MATCH(Emissions!$D66,EF!$D$84:$D$99,0))*INDEX(EF!$H$100:$H$115,MATCH(Emissions!$D66,EF!$D$100:$D$115,0))*INDEX(EF!$H$116:$H$131,MATCH(Emissions!$D66,EF!$D$116:$D$131,0))*kgtoGg</f>
        <v>1.0109179779535291</v>
      </c>
      <c r="X66" s="22">
        <f>INDEX('Activity data'!X$24:X$39,MATCH(Emissions!$D66,'Activity data'!$D$24:$D$39,0))*INDEX(EF!$H$84:$H$99,MATCH(Emissions!$D66,EF!$D$84:$D$99,0))*INDEX(EF!$H$100:$H$115,MATCH(Emissions!$D66,EF!$D$100:$D$115,0))*INDEX(EF!$H$116:$H$131,MATCH(Emissions!$D66,EF!$D$116:$D$131,0))*kgtoGg</f>
        <v>0.89733657793378252</v>
      </c>
      <c r="Y66" s="22">
        <f>INDEX('Activity data'!Y$24:Y$39,MATCH(Emissions!$D66,'Activity data'!$D$24:$D$39,0))*INDEX(EF!$H$84:$H$99,MATCH(Emissions!$D66,EF!$D$84:$D$99,0))*INDEX(EF!$H$100:$H$115,MATCH(Emissions!$D66,EF!$D$100:$D$115,0))*INDEX(EF!$H$116:$H$131,MATCH(Emissions!$D66,EF!$D$116:$D$131,0))*kgtoGg</f>
        <v>0.79050043347076437</v>
      </c>
      <c r="Z66" s="22">
        <f>INDEX('Activity data'!Z$24:Z$39,MATCH(Emissions!$D66,'Activity data'!$D$24:$D$39,0))*INDEX(EF!$H$84:$H$99,MATCH(Emissions!$D66,EF!$D$84:$D$99,0))*INDEX(EF!$H$100:$H$115,MATCH(Emissions!$D66,EF!$D$100:$D$115,0))*INDEX(EF!$H$116:$H$131,MATCH(Emissions!$D66,EF!$D$116:$D$131,0))*kgtoGg</f>
        <v>0.72087198901421468</v>
      </c>
      <c r="AA66" s="22">
        <f>INDEX('Activity data'!AA$24:AA$39,MATCH(Emissions!$D66,'Activity data'!$D$24:$D$39,0))*INDEX(EF!$H$84:$H$99,MATCH(Emissions!$D66,EF!$D$84:$D$99,0))*INDEX(EF!$H$100:$H$115,MATCH(Emissions!$D66,EF!$D$100:$D$115,0))*INDEX(EF!$H$116:$H$131,MATCH(Emissions!$D66,EF!$D$116:$D$131,0))*kgtoGg</f>
        <v>0.80964825569631549</v>
      </c>
      <c r="AB66" s="22">
        <f>INDEX('Activity data'!AB$24:AB$39,MATCH(Emissions!$D66,'Activity data'!$D$24:$D$39,0))*INDEX(EF!$H$84:$H$99,MATCH(Emissions!$D66,EF!$D$84:$D$99,0))*INDEX(EF!$H$100:$H$115,MATCH(Emissions!$D66,EF!$D$100:$D$115,0))*INDEX(EF!$H$116:$H$131,MATCH(Emissions!$D66,EF!$D$116:$D$131,0))*kgtoGg</f>
        <v>1.0836294956999997</v>
      </c>
      <c r="AC66" s="22">
        <f>INDEX('Activity data'!AC$24:AC$39,MATCH(Emissions!$D66,'Activity data'!$D$24:$D$39,0))*INDEX(EF!$H$84:$H$99,MATCH(Emissions!$D66,EF!$D$84:$D$99,0))*INDEX(EF!$H$100:$H$115,MATCH(Emissions!$D66,EF!$D$100:$D$115,0))*INDEX(EF!$H$116:$H$131,MATCH(Emissions!$D66,EF!$D$116:$D$131,0))*kgtoGg</f>
        <v>1.1703623921999995</v>
      </c>
      <c r="AD66" s="22">
        <f>INDEX('Activity data'!AD$24:AD$39,MATCH(Emissions!$D66,'Activity data'!$D$24:$D$39,0))*INDEX(EF!$H$84:$H$99,MATCH(Emissions!$D66,EF!$D$84:$D$99,0))*INDEX(EF!$H$100:$H$115,MATCH(Emissions!$D66,EF!$D$100:$D$115,0))*INDEX(EF!$H$116:$H$131,MATCH(Emissions!$D66,EF!$D$116:$D$131,0))*kgtoGg</f>
        <v>0.86319492850198365</v>
      </c>
      <c r="AE66" s="22">
        <f>INDEX('Activity data'!AE$24:AE$39,MATCH(Emissions!$D66,'Activity data'!$D$24:$D$39,0))*INDEX(EF!$H$84:$H$99,MATCH(Emissions!$D66,EF!$D$84:$D$99,0))*INDEX(EF!$H$100:$H$115,MATCH(Emissions!$D66,EF!$D$100:$D$115,0))*INDEX(EF!$H$116:$H$131,MATCH(Emissions!$D66,EF!$D$116:$D$131,0))*kgtoGg</f>
        <v>0.86319492850198365</v>
      </c>
      <c r="AF66" s="22">
        <f>INDEX('Activity data'!AF$24:AF$39,MATCH(Emissions!$D66,'Activity data'!$D$24:$D$39,0))*INDEX(EF!$H$84:$H$99,MATCH(Emissions!$D66,EF!$D$84:$D$99,0))*INDEX(EF!$H$100:$H$115,MATCH(Emissions!$D66,EF!$D$100:$D$115,0))*INDEX(EF!$H$116:$H$131,MATCH(Emissions!$D66,EF!$D$116:$D$131,0))*kgtoGg</f>
        <v>0.86319492850198365</v>
      </c>
      <c r="AG66" s="22">
        <f>INDEX('Activity data'!AG$24:AG$39,MATCH(Emissions!$D66,'Activity data'!$D$24:$D$39,0))*INDEX(EF!$H$84:$H$99,MATCH(Emissions!$D66,EF!$D$84:$D$99,0))*INDEX(EF!$H$100:$H$115,MATCH(Emissions!$D66,EF!$D$100:$D$115,0))*INDEX(EF!$H$116:$H$131,MATCH(Emissions!$D66,EF!$D$116:$D$131,0))*kgtoGg</f>
        <v>0.86319492850198365</v>
      </c>
      <c r="AH66" s="22">
        <f>INDEX('Activity data'!AH$24:AH$39,MATCH(Emissions!$D66,'Activity data'!$D$24:$D$39,0))*INDEX(EF!$H$84:$H$99,MATCH(Emissions!$D66,EF!$D$84:$D$99,0))*INDEX(EF!$H$100:$H$115,MATCH(Emissions!$D66,EF!$D$100:$D$115,0))*INDEX(EF!$H$116:$H$131,MATCH(Emissions!$D66,EF!$D$116:$D$131,0))*kgtoGg</f>
        <v>0.86319492850198365</v>
      </c>
      <c r="AI66" s="22">
        <f>INDEX('Activity data'!AI$24:AI$39,MATCH(Emissions!$D66,'Activity data'!$D$24:$D$39,0))*INDEX(EF!$H$84:$H$99,MATCH(Emissions!$D66,EF!$D$84:$D$99,0))*INDEX(EF!$H$100:$H$115,MATCH(Emissions!$D66,EF!$D$100:$D$115,0))*INDEX(EF!$H$116:$H$131,MATCH(Emissions!$D66,EF!$D$116:$D$131,0))*kgtoGg</f>
        <v>0.86319492850198365</v>
      </c>
      <c r="AJ66" s="22">
        <f>INDEX('Activity data'!AJ$24:AJ$39,MATCH(Emissions!$D66,'Activity data'!$D$24:$D$39,0))*INDEX(EF!$H$84:$H$99,MATCH(Emissions!$D66,EF!$D$84:$D$99,0))*INDEX(EF!$H$100:$H$115,MATCH(Emissions!$D66,EF!$D$100:$D$115,0))*INDEX(EF!$H$116:$H$131,MATCH(Emissions!$D66,EF!$D$116:$D$131,0))*kgtoGg</f>
        <v>0.86319492850198365</v>
      </c>
      <c r="AK66" s="22">
        <f>INDEX('Activity data'!AK$24:AK$39,MATCH(Emissions!$D66,'Activity data'!$D$24:$D$39,0))*INDEX(EF!$H$84:$H$99,MATCH(Emissions!$D66,EF!$D$84:$D$99,0))*INDEX(EF!$H$100:$H$115,MATCH(Emissions!$D66,EF!$D$100:$D$115,0))*INDEX(EF!$H$116:$H$131,MATCH(Emissions!$D66,EF!$D$116:$D$131,0))*kgtoGg</f>
        <v>0.86319492850198365</v>
      </c>
      <c r="AL66" s="22">
        <f>INDEX('Activity data'!AL$24:AL$39,MATCH(Emissions!$D66,'Activity data'!$D$24:$D$39,0))*INDEX(EF!$H$84:$H$99,MATCH(Emissions!$D66,EF!$D$84:$D$99,0))*INDEX(EF!$H$100:$H$115,MATCH(Emissions!$D66,EF!$D$100:$D$115,0))*INDEX(EF!$H$116:$H$131,MATCH(Emissions!$D66,EF!$D$116:$D$131,0))*kgtoGg</f>
        <v>0.86319492850198365</v>
      </c>
      <c r="AM66" s="22">
        <f>INDEX('Activity data'!AM$24:AM$39,MATCH(Emissions!$D66,'Activity data'!$D$24:$D$39,0))*INDEX(EF!$H$84:$H$99,MATCH(Emissions!$D66,EF!$D$84:$D$99,0))*INDEX(EF!$H$100:$H$115,MATCH(Emissions!$D66,EF!$D$100:$D$115,0))*INDEX(EF!$H$116:$H$131,MATCH(Emissions!$D66,EF!$D$116:$D$131,0))*kgtoGg</f>
        <v>0.86319492850198365</v>
      </c>
      <c r="AN66" s="22">
        <f>INDEX('Activity data'!AN$24:AN$39,MATCH(Emissions!$D66,'Activity data'!$D$24:$D$39,0))*INDEX(EF!$H$84:$H$99,MATCH(Emissions!$D66,EF!$D$84:$D$99,0))*INDEX(EF!$H$100:$H$115,MATCH(Emissions!$D66,EF!$D$100:$D$115,0))*INDEX(EF!$H$116:$H$131,MATCH(Emissions!$D66,EF!$D$116:$D$131,0))*kgtoGg</f>
        <v>0.86319492850198365</v>
      </c>
      <c r="AO66" s="22">
        <f>INDEX('Activity data'!AO$24:AO$39,MATCH(Emissions!$D66,'Activity data'!$D$24:$D$39,0))*INDEX(EF!$H$84:$H$99,MATCH(Emissions!$D66,EF!$D$84:$D$99,0))*INDEX(EF!$H$100:$H$115,MATCH(Emissions!$D66,EF!$D$100:$D$115,0))*INDEX(EF!$H$116:$H$131,MATCH(Emissions!$D66,EF!$D$116:$D$131,0))*kgtoGg</f>
        <v>0.86319492850198365</v>
      </c>
      <c r="AP66" s="22">
        <f>INDEX('Activity data'!AP$24:AP$39,MATCH(Emissions!$D66,'Activity data'!$D$24:$D$39,0))*INDEX(EF!$H$84:$H$99,MATCH(Emissions!$D66,EF!$D$84:$D$99,0))*INDEX(EF!$H$100:$H$115,MATCH(Emissions!$D66,EF!$D$100:$D$115,0))*INDEX(EF!$H$116:$H$131,MATCH(Emissions!$D66,EF!$D$116:$D$131,0))*kgtoGg</f>
        <v>0.86319492850198365</v>
      </c>
      <c r="AQ66" s="22">
        <f>INDEX('Activity data'!AQ$24:AQ$39,MATCH(Emissions!$D66,'Activity data'!$D$24:$D$39,0))*INDEX(EF!$H$84:$H$99,MATCH(Emissions!$D66,EF!$D$84:$D$99,0))*INDEX(EF!$H$100:$H$115,MATCH(Emissions!$D66,EF!$D$100:$D$115,0))*INDEX(EF!$H$116:$H$131,MATCH(Emissions!$D66,EF!$D$116:$D$131,0))*kgtoGg</f>
        <v>0.86319492850198365</v>
      </c>
      <c r="AR66" s="22">
        <f>INDEX('Activity data'!AR$24:AR$39,MATCH(Emissions!$D66,'Activity data'!$D$24:$D$39,0))*INDEX(EF!$H$84:$H$99,MATCH(Emissions!$D66,EF!$D$84:$D$99,0))*INDEX(EF!$H$100:$H$115,MATCH(Emissions!$D66,EF!$D$100:$D$115,0))*INDEX(EF!$H$116:$H$131,MATCH(Emissions!$D66,EF!$D$116:$D$131,0))*kgtoGg</f>
        <v>0.86319492850198365</v>
      </c>
      <c r="AS66" s="22">
        <f>INDEX('Activity data'!AS$24:AS$39,MATCH(Emissions!$D66,'Activity data'!$D$24:$D$39,0))*INDEX(EF!$H$84:$H$99,MATCH(Emissions!$D66,EF!$D$84:$D$99,0))*INDEX(EF!$H$100:$H$115,MATCH(Emissions!$D66,EF!$D$100:$D$115,0))*INDEX(EF!$H$116:$H$131,MATCH(Emissions!$D66,EF!$D$116:$D$131,0))*kgtoGg</f>
        <v>0.86319492850198365</v>
      </c>
      <c r="AT66" s="22">
        <f>INDEX('Activity data'!AT$24:AT$39,MATCH(Emissions!$D66,'Activity data'!$D$24:$D$39,0))*INDEX(EF!$H$84:$H$99,MATCH(Emissions!$D66,EF!$D$84:$D$99,0))*INDEX(EF!$H$100:$H$115,MATCH(Emissions!$D66,EF!$D$100:$D$115,0))*INDEX(EF!$H$116:$H$131,MATCH(Emissions!$D66,EF!$D$116:$D$131,0))*kgtoGg</f>
        <v>0.86319492850198365</v>
      </c>
      <c r="AU66" s="22">
        <f>INDEX('Activity data'!AU$24:AU$39,MATCH(Emissions!$D66,'Activity data'!$D$24:$D$39,0))*INDEX(EF!$H$84:$H$99,MATCH(Emissions!$D66,EF!$D$84:$D$99,0))*INDEX(EF!$H$100:$H$115,MATCH(Emissions!$D66,EF!$D$100:$D$115,0))*INDEX(EF!$H$116:$H$131,MATCH(Emissions!$D66,EF!$D$116:$D$131,0))*kgtoGg</f>
        <v>0.86319492850198365</v>
      </c>
      <c r="AV66" s="22">
        <f>INDEX('Activity data'!AV$24:AV$39,MATCH(Emissions!$D66,'Activity data'!$D$24:$D$39,0))*INDEX(EF!$H$84:$H$99,MATCH(Emissions!$D66,EF!$D$84:$D$99,0))*INDEX(EF!$H$100:$H$115,MATCH(Emissions!$D66,EF!$D$100:$D$115,0))*INDEX(EF!$H$116:$H$131,MATCH(Emissions!$D66,EF!$D$116:$D$131,0))*kgtoGg</f>
        <v>0.86319492850198365</v>
      </c>
      <c r="AW66" s="22">
        <f>INDEX('Activity data'!AW$24:AW$39,MATCH(Emissions!$D66,'Activity data'!$D$24:$D$39,0))*INDEX(EF!$H$84:$H$99,MATCH(Emissions!$D66,EF!$D$84:$D$99,0))*INDEX(EF!$H$100:$H$115,MATCH(Emissions!$D66,EF!$D$100:$D$115,0))*INDEX(EF!$H$116:$H$131,MATCH(Emissions!$D66,EF!$D$116:$D$131,0))*kgtoGg</f>
        <v>0.86319492850198365</v>
      </c>
      <c r="AX66" s="22">
        <f>INDEX('Activity data'!AX$24:AX$39,MATCH(Emissions!$D66,'Activity data'!$D$24:$D$39,0))*INDEX(EF!$H$84:$H$99,MATCH(Emissions!$D66,EF!$D$84:$D$99,0))*INDEX(EF!$H$100:$H$115,MATCH(Emissions!$D66,EF!$D$100:$D$115,0))*INDEX(EF!$H$116:$H$131,MATCH(Emissions!$D66,EF!$D$116:$D$131,0))*kgtoGg</f>
        <v>0.86319492850198365</v>
      </c>
      <c r="AY66" s="22">
        <f>INDEX('Activity data'!AY$24:AY$39,MATCH(Emissions!$D66,'Activity data'!$D$24:$D$39,0))*INDEX(EF!$H$84:$H$99,MATCH(Emissions!$D66,EF!$D$84:$D$99,0))*INDEX(EF!$H$100:$H$115,MATCH(Emissions!$D66,EF!$D$100:$D$115,0))*INDEX(EF!$H$116:$H$131,MATCH(Emissions!$D66,EF!$D$116:$D$131,0))*kgtoGg</f>
        <v>0.86319492850198365</v>
      </c>
      <c r="AZ66" s="22">
        <f>INDEX('Activity data'!AZ$24:AZ$39,MATCH(Emissions!$D66,'Activity data'!$D$24:$D$39,0))*INDEX(EF!$H$84:$H$99,MATCH(Emissions!$D66,EF!$D$84:$D$99,0))*INDEX(EF!$H$100:$H$115,MATCH(Emissions!$D66,EF!$D$100:$D$115,0))*INDEX(EF!$H$116:$H$131,MATCH(Emissions!$D66,EF!$D$116:$D$131,0))*kgtoGg</f>
        <v>0.86319492850198365</v>
      </c>
      <c r="BA66" s="22">
        <f>INDEX('Activity data'!BA$24:BA$39,MATCH(Emissions!$D66,'Activity data'!$D$24:$D$39,0))*INDEX(EF!$H$84:$H$99,MATCH(Emissions!$D66,EF!$D$84:$D$99,0))*INDEX(EF!$H$100:$H$115,MATCH(Emissions!$D66,EF!$D$100:$D$115,0))*INDEX(EF!$H$116:$H$131,MATCH(Emissions!$D66,EF!$D$116:$D$131,0))*kgtoGg</f>
        <v>0.86319492850198365</v>
      </c>
      <c r="BB66" s="22">
        <f>INDEX('Activity data'!BB$24:BB$39,MATCH(Emissions!$D66,'Activity data'!$D$24:$D$39,0))*INDEX(EF!$H$84:$H$99,MATCH(Emissions!$D66,EF!$D$84:$D$99,0))*INDEX(EF!$H$100:$H$115,MATCH(Emissions!$D66,EF!$D$100:$D$115,0))*INDEX(EF!$H$116:$H$131,MATCH(Emissions!$D66,EF!$D$116:$D$131,0))*kgtoGg</f>
        <v>0.86319492850198365</v>
      </c>
      <c r="BC66" s="22">
        <f>INDEX('Activity data'!BC$24:BC$39,MATCH(Emissions!$D66,'Activity data'!$D$24:$D$39,0))*INDEX(EF!$H$84:$H$99,MATCH(Emissions!$D66,EF!$D$84:$D$99,0))*INDEX(EF!$H$100:$H$115,MATCH(Emissions!$D66,EF!$D$100:$D$115,0))*INDEX(EF!$H$116:$H$131,MATCH(Emissions!$D66,EF!$D$116:$D$131,0))*kgtoGg</f>
        <v>0.86319492850198365</v>
      </c>
      <c r="BD66" s="22">
        <f>INDEX('Activity data'!BD$24:BD$39,MATCH(Emissions!$D66,'Activity data'!$D$24:$D$39,0))*INDEX(EF!$H$84:$H$99,MATCH(Emissions!$D66,EF!$D$84:$D$99,0))*INDEX(EF!$H$100:$H$115,MATCH(Emissions!$D66,EF!$D$100:$D$115,0))*INDEX(EF!$H$116:$H$131,MATCH(Emissions!$D66,EF!$D$116:$D$131,0))*kgtoGg</f>
        <v>0.86319492850198365</v>
      </c>
      <c r="BE66" s="22">
        <f>INDEX('Activity data'!BE$24:BE$39,MATCH(Emissions!$D66,'Activity data'!$D$24:$D$39,0))*INDEX(EF!$H$84:$H$99,MATCH(Emissions!$D66,EF!$D$84:$D$99,0))*INDEX(EF!$H$100:$H$115,MATCH(Emissions!$D66,EF!$D$100:$D$115,0))*INDEX(EF!$H$116:$H$131,MATCH(Emissions!$D66,EF!$D$116:$D$131,0))*kgtoGg</f>
        <v>0.86319492850198365</v>
      </c>
      <c r="BF66" s="22">
        <f>INDEX('Activity data'!BF$24:BF$39,MATCH(Emissions!$D66,'Activity data'!$D$24:$D$39,0))*INDEX(EF!$H$84:$H$99,MATCH(Emissions!$D66,EF!$D$84:$D$99,0))*INDEX(EF!$H$100:$H$115,MATCH(Emissions!$D66,EF!$D$100:$D$115,0))*INDEX(EF!$H$116:$H$131,MATCH(Emissions!$D66,EF!$D$116:$D$131,0))*kgtoGg</f>
        <v>0.86319492850198365</v>
      </c>
      <c r="BG66" s="22">
        <f>INDEX('Activity data'!BG$24:BG$39,MATCH(Emissions!$D66,'Activity data'!$D$24:$D$39,0))*INDEX(EF!$H$84:$H$99,MATCH(Emissions!$D66,EF!$D$84:$D$99,0))*INDEX(EF!$H$100:$H$115,MATCH(Emissions!$D66,EF!$D$100:$D$115,0))*INDEX(EF!$H$116:$H$131,MATCH(Emissions!$D66,EF!$D$116:$D$131,0))*kgtoGg</f>
        <v>0.86319492850198365</v>
      </c>
      <c r="BH66" s="22">
        <f>INDEX('Activity data'!BH$24:BH$39,MATCH(Emissions!$D66,'Activity data'!$D$24:$D$39,0))*INDEX(EF!$H$84:$H$99,MATCH(Emissions!$D66,EF!$D$84:$D$99,0))*INDEX(EF!$H$100:$H$115,MATCH(Emissions!$D66,EF!$D$100:$D$115,0))*INDEX(EF!$H$116:$H$131,MATCH(Emissions!$D66,EF!$D$116:$D$131,0))*kgtoGg</f>
        <v>0.86319492850198365</v>
      </c>
      <c r="BI66" s="22">
        <f>INDEX('Activity data'!BI$24:BI$39,MATCH(Emissions!$D66,'Activity data'!$D$24:$D$39,0))*INDEX(EF!$H$84:$H$99,MATCH(Emissions!$D66,EF!$D$84:$D$99,0))*INDEX(EF!$H$100:$H$115,MATCH(Emissions!$D66,EF!$D$100:$D$115,0))*INDEX(EF!$H$116:$H$131,MATCH(Emissions!$D66,EF!$D$116:$D$131,0))*kgtoGg</f>
        <v>0.86319492850198365</v>
      </c>
      <c r="BJ66" s="22">
        <f>INDEX('Activity data'!BJ$24:BJ$39,MATCH(Emissions!$D66,'Activity data'!$D$24:$D$39,0))*INDEX(EF!$H$84:$H$99,MATCH(Emissions!$D66,EF!$D$84:$D$99,0))*INDEX(EF!$H$100:$H$115,MATCH(Emissions!$D66,EF!$D$100:$D$115,0))*INDEX(EF!$H$116:$H$131,MATCH(Emissions!$D66,EF!$D$116:$D$131,0))*kgtoGg</f>
        <v>0.86319492850198365</v>
      </c>
      <c r="BK66" s="22">
        <f>INDEX('Activity data'!BK$24:BK$39,MATCH(Emissions!$D66,'Activity data'!$D$24:$D$39,0))*INDEX(EF!$H$84:$H$99,MATCH(Emissions!$D66,EF!$D$84:$D$99,0))*INDEX(EF!$H$100:$H$115,MATCH(Emissions!$D66,EF!$D$100:$D$115,0))*INDEX(EF!$H$116:$H$131,MATCH(Emissions!$D66,EF!$D$116:$D$131,0))*kgtoGg</f>
        <v>0.86319492850198365</v>
      </c>
      <c r="BL66" s="22">
        <f>INDEX('Activity data'!BL$24:BL$39,MATCH(Emissions!$D66,'Activity data'!$D$24:$D$39,0))*INDEX(EF!$H$84:$H$99,MATCH(Emissions!$D66,EF!$D$84:$D$99,0))*INDEX(EF!$H$100:$H$115,MATCH(Emissions!$D66,EF!$D$100:$D$115,0))*INDEX(EF!$H$116:$H$131,MATCH(Emissions!$D66,EF!$D$116:$D$131,0))*kgtoGg</f>
        <v>0.86319492850198365</v>
      </c>
      <c r="BM66" s="22">
        <f>INDEX('Activity data'!BM$24:BM$39,MATCH(Emissions!$D66,'Activity data'!$D$24:$D$39,0))*INDEX(EF!$H$84:$H$99,MATCH(Emissions!$D66,EF!$D$84:$D$99,0))*INDEX(EF!$H$100:$H$115,MATCH(Emissions!$D66,EF!$D$100:$D$115,0))*INDEX(EF!$H$116:$H$131,MATCH(Emissions!$D66,EF!$D$116:$D$131,0))*kgtoGg</f>
        <v>0.86319492850198365</v>
      </c>
      <c r="BN66" s="22">
        <f>INDEX('Activity data'!BN$24:BN$39,MATCH(Emissions!$D66,'Activity data'!$D$24:$D$39,0))*INDEX(EF!$H$84:$H$99,MATCH(Emissions!$D66,EF!$D$84:$D$99,0))*INDEX(EF!$H$100:$H$115,MATCH(Emissions!$D66,EF!$D$100:$D$115,0))*INDEX(EF!$H$116:$H$131,MATCH(Emissions!$D66,EF!$D$116:$D$131,0))*kgtoGg</f>
        <v>0.86319492850198365</v>
      </c>
      <c r="BO66" s="22">
        <f>INDEX('Activity data'!BO$24:BO$39,MATCH(Emissions!$D66,'Activity data'!$D$24:$D$39,0))*INDEX(EF!$H$84:$H$99,MATCH(Emissions!$D66,EF!$D$84:$D$99,0))*INDEX(EF!$H$100:$H$115,MATCH(Emissions!$D66,EF!$D$100:$D$115,0))*INDEX(EF!$H$116:$H$131,MATCH(Emissions!$D66,EF!$D$116:$D$131,0))*kgtoGg</f>
        <v>0.86319492850198365</v>
      </c>
      <c r="BP66" s="22">
        <f>INDEX('Activity data'!BP$24:BP$39,MATCH(Emissions!$D66,'Activity data'!$D$24:$D$39,0))*INDEX(EF!$H$84:$H$99,MATCH(Emissions!$D66,EF!$D$84:$D$99,0))*INDEX(EF!$H$100:$H$115,MATCH(Emissions!$D66,EF!$D$100:$D$115,0))*INDEX(EF!$H$116:$H$131,MATCH(Emissions!$D66,EF!$D$116:$D$131,0))*kgtoGg</f>
        <v>0.86319492850198365</v>
      </c>
    </row>
    <row r="67" spans="1:68" x14ac:dyDescent="0.25">
      <c r="A67" t="str">
        <f t="shared" si="19"/>
        <v>3C Aggregated and non-CO2 emissions on land</v>
      </c>
      <c r="B67" t="str">
        <f t="shared" si="20"/>
        <v>3C1 Biomass burning (CH4)</v>
      </c>
      <c r="C67" t="str">
        <f>'IPCC Categories'!C63</f>
        <v>3C1e Biomass burning in Settlements</v>
      </c>
      <c r="D67" t="str">
        <f>EF!D97</f>
        <v>Settlements</v>
      </c>
      <c r="E67" t="s">
        <v>653</v>
      </c>
      <c r="F67" t="str">
        <f t="shared" si="23"/>
        <v>CH4</v>
      </c>
      <c r="G67" t="str">
        <f t="shared" si="24"/>
        <v>Gg CH4</v>
      </c>
      <c r="H67" s="22">
        <f>INDEX('Activity data'!H$24:H$39,MATCH(Emissions!$D67,'Activity data'!$D$24:$D$39,0))*INDEX(EF!$H$84:$H$99,MATCH(Emissions!$D67,EF!$D$84:$D$99,0))*INDEX(EF!$H$100:$H$115,MATCH(Emissions!$D67,EF!$D$100:$D$115,0))*INDEX(EF!$H$116:$H$131,MATCH(Emissions!$D67,EF!$D$116:$D$131,0))*kgtoGg</f>
        <v>0.48879168008497798</v>
      </c>
      <c r="I67" s="22">
        <f>INDEX('Activity data'!I$24:I$39,MATCH(Emissions!$D67,'Activity data'!$D$24:$D$39,0))*INDEX(EF!$H$84:$H$99,MATCH(Emissions!$D67,EF!$D$84:$D$99,0))*INDEX(EF!$H$100:$H$115,MATCH(Emissions!$D67,EF!$D$100:$D$115,0))*INDEX(EF!$H$116:$H$131,MATCH(Emissions!$D67,EF!$D$116:$D$131,0))*kgtoGg</f>
        <v>0.48879168008497798</v>
      </c>
      <c r="J67" s="22">
        <f>INDEX('Activity data'!J$24:J$39,MATCH(Emissions!$D67,'Activity data'!$D$24:$D$39,0))*INDEX(EF!$H$84:$H$99,MATCH(Emissions!$D67,EF!$D$84:$D$99,0))*INDEX(EF!$H$100:$H$115,MATCH(Emissions!$D67,EF!$D$100:$D$115,0))*INDEX(EF!$H$116:$H$131,MATCH(Emissions!$D67,EF!$D$116:$D$131,0))*kgtoGg</f>
        <v>0.48879168008497798</v>
      </c>
      <c r="K67" s="22">
        <f>INDEX('Activity data'!K$24:K$39,MATCH(Emissions!$D67,'Activity data'!$D$24:$D$39,0))*INDEX(EF!$H$84:$H$99,MATCH(Emissions!$D67,EF!$D$84:$D$99,0))*INDEX(EF!$H$100:$H$115,MATCH(Emissions!$D67,EF!$D$100:$D$115,0))*INDEX(EF!$H$116:$H$131,MATCH(Emissions!$D67,EF!$D$116:$D$131,0))*kgtoGg</f>
        <v>0.48879168008497798</v>
      </c>
      <c r="L67" s="22">
        <f>INDEX('Activity data'!L$24:L$39,MATCH(Emissions!$D67,'Activity data'!$D$24:$D$39,0))*INDEX(EF!$H$84:$H$99,MATCH(Emissions!$D67,EF!$D$84:$D$99,0))*INDEX(EF!$H$100:$H$115,MATCH(Emissions!$D67,EF!$D$100:$D$115,0))*INDEX(EF!$H$116:$H$131,MATCH(Emissions!$D67,EF!$D$116:$D$131,0))*kgtoGg</f>
        <v>0.48879168008497798</v>
      </c>
      <c r="M67" s="22">
        <f>INDEX('Activity data'!M$24:M$39,MATCH(Emissions!$D67,'Activity data'!$D$24:$D$39,0))*INDEX(EF!$H$84:$H$99,MATCH(Emissions!$D67,EF!$D$84:$D$99,0))*INDEX(EF!$H$100:$H$115,MATCH(Emissions!$D67,EF!$D$100:$D$115,0))*INDEX(EF!$H$116:$H$131,MATCH(Emissions!$D67,EF!$D$116:$D$131,0))*kgtoGg</f>
        <v>0.48879168008497798</v>
      </c>
      <c r="N67" s="22">
        <f>INDEX('Activity data'!N$24:N$39,MATCH(Emissions!$D67,'Activity data'!$D$24:$D$39,0))*INDEX(EF!$H$84:$H$99,MATCH(Emissions!$D67,EF!$D$84:$D$99,0))*INDEX(EF!$H$100:$H$115,MATCH(Emissions!$D67,EF!$D$100:$D$115,0))*INDEX(EF!$H$116:$H$131,MATCH(Emissions!$D67,EF!$D$116:$D$131,0))*kgtoGg</f>
        <v>0.48879168008497798</v>
      </c>
      <c r="O67" s="22">
        <f>INDEX('Activity data'!O$24:O$39,MATCH(Emissions!$D67,'Activity data'!$D$24:$D$39,0))*INDEX(EF!$H$84:$H$99,MATCH(Emissions!$D67,EF!$D$84:$D$99,0))*INDEX(EF!$H$100:$H$115,MATCH(Emissions!$D67,EF!$D$100:$D$115,0))*INDEX(EF!$H$116:$H$131,MATCH(Emissions!$D67,EF!$D$116:$D$131,0))*kgtoGg</f>
        <v>0.48879168008497798</v>
      </c>
      <c r="P67" s="22">
        <f>INDEX('Activity data'!P$24:P$39,MATCH(Emissions!$D67,'Activity data'!$D$24:$D$39,0))*INDEX(EF!$H$84:$H$99,MATCH(Emissions!$D67,EF!$D$84:$D$99,0))*INDEX(EF!$H$100:$H$115,MATCH(Emissions!$D67,EF!$D$100:$D$115,0))*INDEX(EF!$H$116:$H$131,MATCH(Emissions!$D67,EF!$D$116:$D$131,0))*kgtoGg</f>
        <v>0.48879168008497798</v>
      </c>
      <c r="Q67" s="22">
        <f>INDEX('Activity data'!Q$24:Q$39,MATCH(Emissions!$D67,'Activity data'!$D$24:$D$39,0))*INDEX(EF!$H$84:$H$99,MATCH(Emissions!$D67,EF!$D$84:$D$99,0))*INDEX(EF!$H$100:$H$115,MATCH(Emissions!$D67,EF!$D$100:$D$115,0))*INDEX(EF!$H$116:$H$131,MATCH(Emissions!$D67,EF!$D$116:$D$131,0))*kgtoGg</f>
        <v>0.48879168008497798</v>
      </c>
      <c r="R67" s="22">
        <f>INDEX('Activity data'!R$24:R$39,MATCH(Emissions!$D67,'Activity data'!$D$24:$D$39,0))*INDEX(EF!$H$84:$H$99,MATCH(Emissions!$D67,EF!$D$84:$D$99,0))*INDEX(EF!$H$100:$H$115,MATCH(Emissions!$D67,EF!$D$100:$D$115,0))*INDEX(EF!$H$116:$H$131,MATCH(Emissions!$D67,EF!$D$116:$D$131,0))*kgtoGg</f>
        <v>0.53244001120367745</v>
      </c>
      <c r="S67" s="22">
        <f>INDEX('Activity data'!S$24:S$39,MATCH(Emissions!$D67,'Activity data'!$D$24:$D$39,0))*INDEX(EF!$H$84:$H$99,MATCH(Emissions!$D67,EF!$D$84:$D$99,0))*INDEX(EF!$H$100:$H$115,MATCH(Emissions!$D67,EF!$D$100:$D$115,0))*INDEX(EF!$H$116:$H$131,MATCH(Emissions!$D67,EF!$D$116:$D$131,0))*kgtoGg</f>
        <v>0.58966588899140415</v>
      </c>
      <c r="T67" s="22">
        <f>INDEX('Activity data'!T$24:T$39,MATCH(Emissions!$D67,'Activity data'!$D$24:$D$39,0))*INDEX(EF!$H$84:$H$99,MATCH(Emissions!$D67,EF!$D$84:$D$99,0))*INDEX(EF!$H$100:$H$115,MATCH(Emissions!$D67,EF!$D$100:$D$115,0))*INDEX(EF!$H$116:$H$131,MATCH(Emissions!$D67,EF!$D$116:$D$131,0))*kgtoGg</f>
        <v>0.52134297786841477</v>
      </c>
      <c r="U67" s="22">
        <f>INDEX('Activity data'!U$24:U$39,MATCH(Emissions!$D67,'Activity data'!$D$24:$D$39,0))*INDEX(EF!$H$84:$H$99,MATCH(Emissions!$D67,EF!$D$84:$D$99,0))*INDEX(EF!$H$100:$H$115,MATCH(Emissions!$D67,EF!$D$100:$D$115,0))*INDEX(EF!$H$116:$H$131,MATCH(Emissions!$D67,EF!$D$116:$D$131,0))*kgtoGg</f>
        <v>0.44975623341152487</v>
      </c>
      <c r="V67" s="22">
        <f>INDEX('Activity data'!V$24:V$39,MATCH(Emissions!$D67,'Activity data'!$D$24:$D$39,0))*INDEX(EF!$H$84:$H$99,MATCH(Emissions!$D67,EF!$D$84:$D$99,0))*INDEX(EF!$H$100:$H$115,MATCH(Emissions!$D67,EF!$D$100:$D$115,0))*INDEX(EF!$H$116:$H$131,MATCH(Emissions!$D67,EF!$D$116:$D$131,0))*kgtoGg</f>
        <v>0.35075328894986846</v>
      </c>
      <c r="W67" s="22">
        <f>INDEX('Activity data'!W$24:W$39,MATCH(Emissions!$D67,'Activity data'!$D$24:$D$39,0))*INDEX(EF!$H$84:$H$99,MATCH(Emissions!$D67,EF!$D$84:$D$99,0))*INDEX(EF!$H$100:$H$115,MATCH(Emissions!$D67,EF!$D$100:$D$115,0))*INDEX(EF!$H$116:$H$131,MATCH(Emissions!$D67,EF!$D$116:$D$131,0))*kgtoGg</f>
        <v>0.79419944458251857</v>
      </c>
      <c r="X67" s="22">
        <f>INDEX('Activity data'!X$24:X$39,MATCH(Emissions!$D67,'Activity data'!$D$24:$D$39,0))*INDEX(EF!$H$84:$H$99,MATCH(Emissions!$D67,EF!$D$84:$D$99,0))*INDEX(EF!$H$100:$H$115,MATCH(Emissions!$D67,EF!$D$100:$D$115,0))*INDEX(EF!$H$116:$H$131,MATCH(Emissions!$D67,EF!$D$116:$D$131,0))*kgtoGg</f>
        <v>0.69563167789871561</v>
      </c>
      <c r="Y67" s="22">
        <f>INDEX('Activity data'!Y$24:Y$39,MATCH(Emissions!$D67,'Activity data'!$D$24:$D$39,0))*INDEX(EF!$H$84:$H$99,MATCH(Emissions!$D67,EF!$D$84:$D$99,0))*INDEX(EF!$H$100:$H$115,MATCH(Emissions!$D67,EF!$D$100:$D$115,0))*INDEX(EF!$H$116:$H$131,MATCH(Emissions!$D67,EF!$D$116:$D$131,0))*kgtoGg</f>
        <v>0.76939431124487268</v>
      </c>
      <c r="Z67" s="22">
        <f>INDEX('Activity data'!Z$24:Z$39,MATCH(Emissions!$D67,'Activity data'!$D$24:$D$39,0))*INDEX(EF!$H$84:$H$99,MATCH(Emissions!$D67,EF!$D$84:$D$99,0))*INDEX(EF!$H$100:$H$115,MATCH(Emissions!$D67,EF!$D$100:$D$115,0))*INDEX(EF!$H$116:$H$131,MATCH(Emissions!$D67,EF!$D$116:$D$131,0))*kgtoGg</f>
        <v>0.47499654452702411</v>
      </c>
      <c r="AA67" s="22">
        <f>INDEX('Activity data'!AA$24:AA$39,MATCH(Emissions!$D67,'Activity data'!$D$24:$D$39,0))*INDEX(EF!$H$84:$H$99,MATCH(Emissions!$D67,EF!$D$84:$D$99,0))*INDEX(EF!$H$100:$H$115,MATCH(Emissions!$D67,EF!$D$100:$D$115,0))*INDEX(EF!$H$116:$H$131,MATCH(Emissions!$D67,EF!$D$116:$D$131,0))*kgtoGg</f>
        <v>0.5716060112104866</v>
      </c>
      <c r="AB67" s="22">
        <f>INDEX('Activity data'!AB$24:AB$39,MATCH(Emissions!$D67,'Activity data'!$D$24:$D$39,0))*INDEX(EF!$H$84:$H$99,MATCH(Emissions!$D67,EF!$D$84:$D$99,0))*INDEX(EF!$H$100:$H$115,MATCH(Emissions!$D67,EF!$D$100:$D$115,0))*INDEX(EF!$H$116:$H$131,MATCH(Emissions!$D67,EF!$D$116:$D$131,0))*kgtoGg</f>
        <v>0.42745793939999993</v>
      </c>
      <c r="AC67" s="22">
        <f>INDEX('Activity data'!AC$24:AC$39,MATCH(Emissions!$D67,'Activity data'!$D$24:$D$39,0))*INDEX(EF!$H$84:$H$99,MATCH(Emissions!$D67,EF!$D$84:$D$99,0))*INDEX(EF!$H$100:$H$115,MATCH(Emissions!$D67,EF!$D$100:$D$115,0))*INDEX(EF!$H$116:$H$131,MATCH(Emissions!$D67,EF!$D$116:$D$131,0))*kgtoGg</f>
        <v>0.29794462199999994</v>
      </c>
      <c r="AD67" s="22">
        <f>INDEX('Activity data'!AD$24:AD$39,MATCH(Emissions!$D67,'Activity data'!$D$24:$D$39,0))*INDEX(EF!$H$84:$H$99,MATCH(Emissions!$D67,EF!$D$84:$D$99,0))*INDEX(EF!$H$100:$H$115,MATCH(Emissions!$D67,EF!$D$100:$D$115,0))*INDEX(EF!$H$116:$H$131,MATCH(Emissions!$D67,EF!$D$116:$D$131,0))*kgtoGg</f>
        <v>0.42972240374246135</v>
      </c>
      <c r="AE67" s="22">
        <f>INDEX('Activity data'!AE$24:AE$39,MATCH(Emissions!$D67,'Activity data'!$D$24:$D$39,0))*INDEX(EF!$H$84:$H$99,MATCH(Emissions!$D67,EF!$D$84:$D$99,0))*INDEX(EF!$H$100:$H$115,MATCH(Emissions!$D67,EF!$D$100:$D$115,0))*INDEX(EF!$H$116:$H$131,MATCH(Emissions!$D67,EF!$D$116:$D$131,0))*kgtoGg</f>
        <v>0.43063058922924524</v>
      </c>
      <c r="AF67" s="22">
        <f>INDEX('Activity data'!AF$24:AF$39,MATCH(Emissions!$D67,'Activity data'!$D$24:$D$39,0))*INDEX(EF!$H$84:$H$99,MATCH(Emissions!$D67,EF!$D$84:$D$99,0))*INDEX(EF!$H$100:$H$115,MATCH(Emissions!$D67,EF!$D$100:$D$115,0))*INDEX(EF!$H$116:$H$131,MATCH(Emissions!$D67,EF!$D$116:$D$131,0))*kgtoGg</f>
        <v>0.43153877471602919</v>
      </c>
      <c r="AG67" s="22">
        <f>INDEX('Activity data'!AG$24:AG$39,MATCH(Emissions!$D67,'Activity data'!$D$24:$D$39,0))*INDEX(EF!$H$84:$H$99,MATCH(Emissions!$D67,EF!$D$84:$D$99,0))*INDEX(EF!$H$100:$H$115,MATCH(Emissions!$D67,EF!$D$100:$D$115,0))*INDEX(EF!$H$116:$H$131,MATCH(Emissions!$D67,EF!$D$116:$D$131,0))*kgtoGg</f>
        <v>0.43244696020281326</v>
      </c>
      <c r="AH67" s="22">
        <f>INDEX('Activity data'!AH$24:AH$39,MATCH(Emissions!$D67,'Activity data'!$D$24:$D$39,0))*INDEX(EF!$H$84:$H$99,MATCH(Emissions!$D67,EF!$D$84:$D$99,0))*INDEX(EF!$H$100:$H$115,MATCH(Emissions!$D67,EF!$D$100:$D$115,0))*INDEX(EF!$H$116:$H$131,MATCH(Emissions!$D67,EF!$D$116:$D$131,0))*kgtoGg</f>
        <v>0.43335514568959721</v>
      </c>
      <c r="AI67" s="22">
        <f>INDEX('Activity data'!AI$24:AI$39,MATCH(Emissions!$D67,'Activity data'!$D$24:$D$39,0))*INDEX(EF!$H$84:$H$99,MATCH(Emissions!$D67,EF!$D$84:$D$99,0))*INDEX(EF!$H$100:$H$115,MATCH(Emissions!$D67,EF!$D$100:$D$115,0))*INDEX(EF!$H$116:$H$131,MATCH(Emissions!$D67,EF!$D$116:$D$131,0))*kgtoGg</f>
        <v>0.43426333117638116</v>
      </c>
      <c r="AJ67" s="22">
        <f>INDEX('Activity data'!AJ$24:AJ$39,MATCH(Emissions!$D67,'Activity data'!$D$24:$D$39,0))*INDEX(EF!$H$84:$H$99,MATCH(Emissions!$D67,EF!$D$84:$D$99,0))*INDEX(EF!$H$100:$H$115,MATCH(Emissions!$D67,EF!$D$100:$D$115,0))*INDEX(EF!$H$116:$H$131,MATCH(Emissions!$D67,EF!$D$116:$D$131,0))*kgtoGg</f>
        <v>0.43517151666316517</v>
      </c>
      <c r="AK67" s="22">
        <f>INDEX('Activity data'!AK$24:AK$39,MATCH(Emissions!$D67,'Activity data'!$D$24:$D$39,0))*INDEX(EF!$H$84:$H$99,MATCH(Emissions!$D67,EF!$D$84:$D$99,0))*INDEX(EF!$H$100:$H$115,MATCH(Emissions!$D67,EF!$D$100:$D$115,0))*INDEX(EF!$H$116:$H$131,MATCH(Emissions!$D67,EF!$D$116:$D$131,0))*kgtoGg</f>
        <v>0.43607970214994918</v>
      </c>
      <c r="AL67" s="22">
        <f>INDEX('Activity data'!AL$24:AL$39,MATCH(Emissions!$D67,'Activity data'!$D$24:$D$39,0))*INDEX(EF!$H$84:$H$99,MATCH(Emissions!$D67,EF!$D$84:$D$99,0))*INDEX(EF!$H$100:$H$115,MATCH(Emissions!$D67,EF!$D$100:$D$115,0))*INDEX(EF!$H$116:$H$131,MATCH(Emissions!$D67,EF!$D$116:$D$131,0))*kgtoGg</f>
        <v>0.43698788763673319</v>
      </c>
      <c r="AM67" s="22">
        <f>INDEX('Activity data'!AM$24:AM$39,MATCH(Emissions!$D67,'Activity data'!$D$24:$D$39,0))*INDEX(EF!$H$84:$H$99,MATCH(Emissions!$D67,EF!$D$84:$D$99,0))*INDEX(EF!$H$100:$H$115,MATCH(Emissions!$D67,EF!$D$100:$D$115,0))*INDEX(EF!$H$116:$H$131,MATCH(Emissions!$D67,EF!$D$116:$D$131,0))*kgtoGg</f>
        <v>0.43789607312351719</v>
      </c>
      <c r="AN67" s="22">
        <f>INDEX('Activity data'!AN$24:AN$39,MATCH(Emissions!$D67,'Activity data'!$D$24:$D$39,0))*INDEX(EF!$H$84:$H$99,MATCH(Emissions!$D67,EF!$D$84:$D$99,0))*INDEX(EF!$H$100:$H$115,MATCH(Emissions!$D67,EF!$D$100:$D$115,0))*INDEX(EF!$H$116:$H$131,MATCH(Emissions!$D67,EF!$D$116:$D$131,0))*kgtoGg</f>
        <v>0.4388042586103012</v>
      </c>
      <c r="AO67" s="22">
        <f>INDEX('Activity data'!AO$24:AO$39,MATCH(Emissions!$D67,'Activity data'!$D$24:$D$39,0))*INDEX(EF!$H$84:$H$99,MATCH(Emissions!$D67,EF!$D$84:$D$99,0))*INDEX(EF!$H$100:$H$115,MATCH(Emissions!$D67,EF!$D$100:$D$115,0))*INDEX(EF!$H$116:$H$131,MATCH(Emissions!$D67,EF!$D$116:$D$131,0))*kgtoGg</f>
        <v>0.43971244409708521</v>
      </c>
      <c r="AP67" s="22">
        <f>INDEX('Activity data'!AP$24:AP$39,MATCH(Emissions!$D67,'Activity data'!$D$24:$D$39,0))*INDEX(EF!$H$84:$H$99,MATCH(Emissions!$D67,EF!$D$84:$D$99,0))*INDEX(EF!$H$100:$H$115,MATCH(Emissions!$D67,EF!$D$100:$D$115,0))*INDEX(EF!$H$116:$H$131,MATCH(Emissions!$D67,EF!$D$116:$D$131,0))*kgtoGg</f>
        <v>0.44062062958386911</v>
      </c>
      <c r="AQ67" s="22">
        <f>INDEX('Activity data'!AQ$24:AQ$39,MATCH(Emissions!$D67,'Activity data'!$D$24:$D$39,0))*INDEX(EF!$H$84:$H$99,MATCH(Emissions!$D67,EF!$D$84:$D$99,0))*INDEX(EF!$H$100:$H$115,MATCH(Emissions!$D67,EF!$D$100:$D$115,0))*INDEX(EF!$H$116:$H$131,MATCH(Emissions!$D67,EF!$D$116:$D$131,0))*kgtoGg</f>
        <v>0.44152881507065311</v>
      </c>
      <c r="AR67" s="22">
        <f>INDEX('Activity data'!AR$24:AR$39,MATCH(Emissions!$D67,'Activity data'!$D$24:$D$39,0))*INDEX(EF!$H$84:$H$99,MATCH(Emissions!$D67,EF!$D$84:$D$99,0))*INDEX(EF!$H$100:$H$115,MATCH(Emissions!$D67,EF!$D$100:$D$115,0))*INDEX(EF!$H$116:$H$131,MATCH(Emissions!$D67,EF!$D$116:$D$131,0))*kgtoGg</f>
        <v>0.44243700055743712</v>
      </c>
      <c r="AS67" s="22">
        <f>INDEX('Activity data'!AS$24:AS$39,MATCH(Emissions!$D67,'Activity data'!$D$24:$D$39,0))*INDEX(EF!$H$84:$H$99,MATCH(Emissions!$D67,EF!$D$84:$D$99,0))*INDEX(EF!$H$100:$H$115,MATCH(Emissions!$D67,EF!$D$100:$D$115,0))*INDEX(EF!$H$116:$H$131,MATCH(Emissions!$D67,EF!$D$116:$D$131,0))*kgtoGg</f>
        <v>0.44334518604422107</v>
      </c>
      <c r="AT67" s="22">
        <f>INDEX('Activity data'!AT$24:AT$39,MATCH(Emissions!$D67,'Activity data'!$D$24:$D$39,0))*INDEX(EF!$H$84:$H$99,MATCH(Emissions!$D67,EF!$D$84:$D$99,0))*INDEX(EF!$H$100:$H$115,MATCH(Emissions!$D67,EF!$D$100:$D$115,0))*INDEX(EF!$H$116:$H$131,MATCH(Emissions!$D67,EF!$D$116:$D$131,0))*kgtoGg</f>
        <v>0.44425337153100508</v>
      </c>
      <c r="AU67" s="22">
        <f>INDEX('Activity data'!AU$24:AU$39,MATCH(Emissions!$D67,'Activity data'!$D$24:$D$39,0))*INDEX(EF!$H$84:$H$99,MATCH(Emissions!$D67,EF!$D$84:$D$99,0))*INDEX(EF!$H$100:$H$115,MATCH(Emissions!$D67,EF!$D$100:$D$115,0))*INDEX(EF!$H$116:$H$131,MATCH(Emissions!$D67,EF!$D$116:$D$131,0))*kgtoGg</f>
        <v>0.44516155701778909</v>
      </c>
      <c r="AV67" s="22">
        <f>INDEX('Activity data'!AV$24:AV$39,MATCH(Emissions!$D67,'Activity data'!$D$24:$D$39,0))*INDEX(EF!$H$84:$H$99,MATCH(Emissions!$D67,EF!$D$84:$D$99,0))*INDEX(EF!$H$100:$H$115,MATCH(Emissions!$D67,EF!$D$100:$D$115,0))*INDEX(EF!$H$116:$H$131,MATCH(Emissions!$D67,EF!$D$116:$D$131,0))*kgtoGg</f>
        <v>0.44606974250457304</v>
      </c>
      <c r="AW67" s="22">
        <f>INDEX('Activity data'!AW$24:AW$39,MATCH(Emissions!$D67,'Activity data'!$D$24:$D$39,0))*INDEX(EF!$H$84:$H$99,MATCH(Emissions!$D67,EF!$D$84:$D$99,0))*INDEX(EF!$H$100:$H$115,MATCH(Emissions!$D67,EF!$D$100:$D$115,0))*INDEX(EF!$H$116:$H$131,MATCH(Emissions!$D67,EF!$D$116:$D$131,0))*kgtoGg</f>
        <v>0.44697792799135705</v>
      </c>
      <c r="AX67" s="22">
        <f>INDEX('Activity data'!AX$24:AX$39,MATCH(Emissions!$D67,'Activity data'!$D$24:$D$39,0))*INDEX(EF!$H$84:$H$99,MATCH(Emissions!$D67,EF!$D$84:$D$99,0))*INDEX(EF!$H$100:$H$115,MATCH(Emissions!$D67,EF!$D$100:$D$115,0))*INDEX(EF!$H$116:$H$131,MATCH(Emissions!$D67,EF!$D$116:$D$131,0))*kgtoGg</f>
        <v>0.44788611347814106</v>
      </c>
      <c r="AY67" s="22">
        <f>INDEX('Activity data'!AY$24:AY$39,MATCH(Emissions!$D67,'Activity data'!$D$24:$D$39,0))*INDEX(EF!$H$84:$H$99,MATCH(Emissions!$D67,EF!$D$84:$D$99,0))*INDEX(EF!$H$100:$H$115,MATCH(Emissions!$D67,EF!$D$100:$D$115,0))*INDEX(EF!$H$116:$H$131,MATCH(Emissions!$D67,EF!$D$116:$D$131,0))*kgtoGg</f>
        <v>0.44879429896492501</v>
      </c>
      <c r="AZ67" s="22">
        <f>INDEX('Activity data'!AZ$24:AZ$39,MATCH(Emissions!$D67,'Activity data'!$D$24:$D$39,0))*INDEX(EF!$H$84:$H$99,MATCH(Emissions!$D67,EF!$D$84:$D$99,0))*INDEX(EF!$H$100:$H$115,MATCH(Emissions!$D67,EF!$D$100:$D$115,0))*INDEX(EF!$H$116:$H$131,MATCH(Emissions!$D67,EF!$D$116:$D$131,0))*kgtoGg</f>
        <v>0.44970248445170896</v>
      </c>
      <c r="BA67" s="22">
        <f>INDEX('Activity data'!BA$24:BA$39,MATCH(Emissions!$D67,'Activity data'!$D$24:$D$39,0))*INDEX(EF!$H$84:$H$99,MATCH(Emissions!$D67,EF!$D$84:$D$99,0))*INDEX(EF!$H$100:$H$115,MATCH(Emissions!$D67,EF!$D$100:$D$115,0))*INDEX(EF!$H$116:$H$131,MATCH(Emissions!$D67,EF!$D$116:$D$131,0))*kgtoGg</f>
        <v>0.45061066993849297</v>
      </c>
      <c r="BB67" s="22">
        <f>INDEX('Activity data'!BB$24:BB$39,MATCH(Emissions!$D67,'Activity data'!$D$24:$D$39,0))*INDEX(EF!$H$84:$H$99,MATCH(Emissions!$D67,EF!$D$84:$D$99,0))*INDEX(EF!$H$100:$H$115,MATCH(Emissions!$D67,EF!$D$100:$D$115,0))*INDEX(EF!$H$116:$H$131,MATCH(Emissions!$D67,EF!$D$116:$D$131,0))*kgtoGg</f>
        <v>0.45151885542527692</v>
      </c>
      <c r="BC67" s="22">
        <f>INDEX('Activity data'!BC$24:BC$39,MATCH(Emissions!$D67,'Activity data'!$D$24:$D$39,0))*INDEX(EF!$H$84:$H$99,MATCH(Emissions!$D67,EF!$D$84:$D$99,0))*INDEX(EF!$H$100:$H$115,MATCH(Emissions!$D67,EF!$D$100:$D$115,0))*INDEX(EF!$H$116:$H$131,MATCH(Emissions!$D67,EF!$D$116:$D$131,0))*kgtoGg</f>
        <v>0.45242704091206093</v>
      </c>
      <c r="BD67" s="22">
        <f>INDEX('Activity data'!BD$24:BD$39,MATCH(Emissions!$D67,'Activity data'!$D$24:$D$39,0))*INDEX(EF!$H$84:$H$99,MATCH(Emissions!$D67,EF!$D$84:$D$99,0))*INDEX(EF!$H$100:$H$115,MATCH(Emissions!$D67,EF!$D$100:$D$115,0))*INDEX(EF!$H$116:$H$131,MATCH(Emissions!$D67,EF!$D$116:$D$131,0))*kgtoGg</f>
        <v>0.45333522639884494</v>
      </c>
      <c r="BE67" s="22">
        <f>INDEX('Activity data'!BE$24:BE$39,MATCH(Emissions!$D67,'Activity data'!$D$24:$D$39,0))*INDEX(EF!$H$84:$H$99,MATCH(Emissions!$D67,EF!$D$84:$D$99,0))*INDEX(EF!$H$100:$H$115,MATCH(Emissions!$D67,EF!$D$100:$D$115,0))*INDEX(EF!$H$116:$H$131,MATCH(Emissions!$D67,EF!$D$116:$D$131,0))*kgtoGg</f>
        <v>0.454243411885629</v>
      </c>
      <c r="BF67" s="22">
        <f>INDEX('Activity data'!BF$24:BF$39,MATCH(Emissions!$D67,'Activity data'!$D$24:$D$39,0))*INDEX(EF!$H$84:$H$99,MATCH(Emissions!$D67,EF!$D$84:$D$99,0))*INDEX(EF!$H$100:$H$115,MATCH(Emissions!$D67,EF!$D$100:$D$115,0))*INDEX(EF!$H$116:$H$131,MATCH(Emissions!$D67,EF!$D$116:$D$131,0))*kgtoGg</f>
        <v>0.45515159737241295</v>
      </c>
      <c r="BG67" s="22">
        <f>INDEX('Activity data'!BG$24:BG$39,MATCH(Emissions!$D67,'Activity data'!$D$24:$D$39,0))*INDEX(EF!$H$84:$H$99,MATCH(Emissions!$D67,EF!$D$84:$D$99,0))*INDEX(EF!$H$100:$H$115,MATCH(Emissions!$D67,EF!$D$100:$D$115,0))*INDEX(EF!$H$116:$H$131,MATCH(Emissions!$D67,EF!$D$116:$D$131,0))*kgtoGg</f>
        <v>0.4560597828591969</v>
      </c>
      <c r="BH67" s="22">
        <f>INDEX('Activity data'!BH$24:BH$39,MATCH(Emissions!$D67,'Activity data'!$D$24:$D$39,0))*INDEX(EF!$H$84:$H$99,MATCH(Emissions!$D67,EF!$D$84:$D$99,0))*INDEX(EF!$H$100:$H$115,MATCH(Emissions!$D67,EF!$D$100:$D$115,0))*INDEX(EF!$H$116:$H$131,MATCH(Emissions!$D67,EF!$D$116:$D$131,0))*kgtoGg</f>
        <v>0.45696796834598097</v>
      </c>
      <c r="BI67" s="22">
        <f>INDEX('Activity data'!BI$24:BI$39,MATCH(Emissions!$D67,'Activity data'!$D$24:$D$39,0))*INDEX(EF!$H$84:$H$99,MATCH(Emissions!$D67,EF!$D$84:$D$99,0))*INDEX(EF!$H$100:$H$115,MATCH(Emissions!$D67,EF!$D$100:$D$115,0))*INDEX(EF!$H$116:$H$131,MATCH(Emissions!$D67,EF!$D$116:$D$131,0))*kgtoGg</f>
        <v>0.45787615383276492</v>
      </c>
      <c r="BJ67" s="22">
        <f>INDEX('Activity data'!BJ$24:BJ$39,MATCH(Emissions!$D67,'Activity data'!$D$24:$D$39,0))*INDEX(EF!$H$84:$H$99,MATCH(Emissions!$D67,EF!$D$84:$D$99,0))*INDEX(EF!$H$100:$H$115,MATCH(Emissions!$D67,EF!$D$100:$D$115,0))*INDEX(EF!$H$116:$H$131,MATCH(Emissions!$D67,EF!$D$116:$D$131,0))*kgtoGg</f>
        <v>0.45878433931954882</v>
      </c>
      <c r="BK67" s="22">
        <f>INDEX('Activity data'!BK$24:BK$39,MATCH(Emissions!$D67,'Activity data'!$D$24:$D$39,0))*INDEX(EF!$H$84:$H$99,MATCH(Emissions!$D67,EF!$D$84:$D$99,0))*INDEX(EF!$H$100:$H$115,MATCH(Emissions!$D67,EF!$D$100:$D$115,0))*INDEX(EF!$H$116:$H$131,MATCH(Emissions!$D67,EF!$D$116:$D$131,0))*kgtoGg</f>
        <v>0.45969252480633288</v>
      </c>
      <c r="BL67" s="22">
        <f>INDEX('Activity data'!BL$24:BL$39,MATCH(Emissions!$D67,'Activity data'!$D$24:$D$39,0))*INDEX(EF!$H$84:$H$99,MATCH(Emissions!$D67,EF!$D$84:$D$99,0))*INDEX(EF!$H$100:$H$115,MATCH(Emissions!$D67,EF!$D$100:$D$115,0))*INDEX(EF!$H$116:$H$131,MATCH(Emissions!$D67,EF!$D$116:$D$131,0))*kgtoGg</f>
        <v>0.46060071029311683</v>
      </c>
      <c r="BM67" s="22">
        <f>INDEX('Activity data'!BM$24:BM$39,MATCH(Emissions!$D67,'Activity data'!$D$24:$D$39,0))*INDEX(EF!$H$84:$H$99,MATCH(Emissions!$D67,EF!$D$84:$D$99,0))*INDEX(EF!$H$100:$H$115,MATCH(Emissions!$D67,EF!$D$100:$D$115,0))*INDEX(EF!$H$116:$H$131,MATCH(Emissions!$D67,EF!$D$116:$D$131,0))*kgtoGg</f>
        <v>0.46150889577990084</v>
      </c>
      <c r="BN67" s="22">
        <f>INDEX('Activity data'!BN$24:BN$39,MATCH(Emissions!$D67,'Activity data'!$D$24:$D$39,0))*INDEX(EF!$H$84:$H$99,MATCH(Emissions!$D67,EF!$D$84:$D$99,0))*INDEX(EF!$H$100:$H$115,MATCH(Emissions!$D67,EF!$D$100:$D$115,0))*INDEX(EF!$H$116:$H$131,MATCH(Emissions!$D67,EF!$D$116:$D$131,0))*kgtoGg</f>
        <v>0.46241708126668479</v>
      </c>
      <c r="BO67" s="22">
        <f>INDEX('Activity data'!BO$24:BO$39,MATCH(Emissions!$D67,'Activity data'!$D$24:$D$39,0))*INDEX(EF!$H$84:$H$99,MATCH(Emissions!$D67,EF!$D$84:$D$99,0))*INDEX(EF!$H$100:$H$115,MATCH(Emissions!$D67,EF!$D$100:$D$115,0))*INDEX(EF!$H$116:$H$131,MATCH(Emissions!$D67,EF!$D$116:$D$131,0))*kgtoGg</f>
        <v>0.4633252667534688</v>
      </c>
      <c r="BP67" s="22">
        <f>INDEX('Activity data'!BP$24:BP$39,MATCH(Emissions!$D67,'Activity data'!$D$24:$D$39,0))*INDEX(EF!$H$84:$H$99,MATCH(Emissions!$D67,EF!$D$84:$D$99,0))*INDEX(EF!$H$100:$H$115,MATCH(Emissions!$D67,EF!$D$100:$D$115,0))*INDEX(EF!$H$116:$H$131,MATCH(Emissions!$D67,EF!$D$116:$D$131,0))*kgtoGg</f>
        <v>0.46423345224025281</v>
      </c>
    </row>
    <row r="68" spans="1:68" x14ac:dyDescent="0.25">
      <c r="A68" t="str">
        <f t="shared" si="19"/>
        <v>3C Aggregated and non-CO2 emissions on land</v>
      </c>
      <c r="B68" t="str">
        <f t="shared" si="20"/>
        <v>3C1 Biomass burning (CH4)</v>
      </c>
      <c r="C68" t="str">
        <f>C67</f>
        <v>3C1e Biomass burning in Settlements</v>
      </c>
      <c r="D68" t="str">
        <f>EF!D98</f>
        <v>Mines</v>
      </c>
      <c r="E68" t="s">
        <v>654</v>
      </c>
      <c r="F68" t="str">
        <f t="shared" si="23"/>
        <v>CH4</v>
      </c>
      <c r="G68" t="str">
        <f t="shared" si="24"/>
        <v>Gg CH4</v>
      </c>
      <c r="H68" s="22">
        <f>INDEX('Activity data'!H$24:H$39,MATCH(Emissions!$D68,'Activity data'!$D$24:$D$39,0))*INDEX(EF!$H$84:$H$99,MATCH(Emissions!$D68,EF!$D$84:$D$99,0))*INDEX(EF!$H$100:$H$115,MATCH(Emissions!$D68,EF!$D$100:$D$115,0))*INDEX(EF!$H$116:$H$131,MATCH(Emissions!$D68,EF!$D$116:$D$131,0))*kgtoGg</f>
        <v>0</v>
      </c>
      <c r="I68" s="22">
        <f>INDEX('Activity data'!I$24:I$39,MATCH(Emissions!$D68,'Activity data'!$D$24:$D$39,0))*INDEX(EF!$H$84:$H$99,MATCH(Emissions!$D68,EF!$D$84:$D$99,0))*INDEX(EF!$H$100:$H$115,MATCH(Emissions!$D68,EF!$D$100:$D$115,0))*INDEX(EF!$H$116:$H$131,MATCH(Emissions!$D68,EF!$D$116:$D$131,0))*kgtoGg</f>
        <v>0</v>
      </c>
      <c r="J68" s="22">
        <f>INDEX('Activity data'!J$24:J$39,MATCH(Emissions!$D68,'Activity data'!$D$24:$D$39,0))*INDEX(EF!$H$84:$H$99,MATCH(Emissions!$D68,EF!$D$84:$D$99,0))*INDEX(EF!$H$100:$H$115,MATCH(Emissions!$D68,EF!$D$100:$D$115,0))*INDEX(EF!$H$116:$H$131,MATCH(Emissions!$D68,EF!$D$116:$D$131,0))*kgtoGg</f>
        <v>0</v>
      </c>
      <c r="K68" s="22">
        <f>INDEX('Activity data'!K$24:K$39,MATCH(Emissions!$D68,'Activity data'!$D$24:$D$39,0))*INDEX(EF!$H$84:$H$99,MATCH(Emissions!$D68,EF!$D$84:$D$99,0))*INDEX(EF!$H$100:$H$115,MATCH(Emissions!$D68,EF!$D$100:$D$115,0))*INDEX(EF!$H$116:$H$131,MATCH(Emissions!$D68,EF!$D$116:$D$131,0))*kgtoGg</f>
        <v>0</v>
      </c>
      <c r="L68" s="22">
        <f>INDEX('Activity data'!L$24:L$39,MATCH(Emissions!$D68,'Activity data'!$D$24:$D$39,0))*INDEX(EF!$H$84:$H$99,MATCH(Emissions!$D68,EF!$D$84:$D$99,0))*INDEX(EF!$H$100:$H$115,MATCH(Emissions!$D68,EF!$D$100:$D$115,0))*INDEX(EF!$H$116:$H$131,MATCH(Emissions!$D68,EF!$D$116:$D$131,0))*kgtoGg</f>
        <v>0</v>
      </c>
      <c r="M68" s="22">
        <f>INDEX('Activity data'!M$24:M$39,MATCH(Emissions!$D68,'Activity data'!$D$24:$D$39,0))*INDEX(EF!$H$84:$H$99,MATCH(Emissions!$D68,EF!$D$84:$D$99,0))*INDEX(EF!$H$100:$H$115,MATCH(Emissions!$D68,EF!$D$100:$D$115,0))*INDEX(EF!$H$116:$H$131,MATCH(Emissions!$D68,EF!$D$116:$D$131,0))*kgtoGg</f>
        <v>0</v>
      </c>
      <c r="N68" s="22">
        <f>INDEX('Activity data'!N$24:N$39,MATCH(Emissions!$D68,'Activity data'!$D$24:$D$39,0))*INDEX(EF!$H$84:$H$99,MATCH(Emissions!$D68,EF!$D$84:$D$99,0))*INDEX(EF!$H$100:$H$115,MATCH(Emissions!$D68,EF!$D$100:$D$115,0))*INDEX(EF!$H$116:$H$131,MATCH(Emissions!$D68,EF!$D$116:$D$131,0))*kgtoGg</f>
        <v>0</v>
      </c>
      <c r="O68" s="22">
        <f>INDEX('Activity data'!O$24:O$39,MATCH(Emissions!$D68,'Activity data'!$D$24:$D$39,0))*INDEX(EF!$H$84:$H$99,MATCH(Emissions!$D68,EF!$D$84:$D$99,0))*INDEX(EF!$H$100:$H$115,MATCH(Emissions!$D68,EF!$D$100:$D$115,0))*INDEX(EF!$H$116:$H$131,MATCH(Emissions!$D68,EF!$D$116:$D$131,0))*kgtoGg</f>
        <v>0</v>
      </c>
      <c r="P68" s="22">
        <f>INDEX('Activity data'!P$24:P$39,MATCH(Emissions!$D68,'Activity data'!$D$24:$D$39,0))*INDEX(EF!$H$84:$H$99,MATCH(Emissions!$D68,EF!$D$84:$D$99,0))*INDEX(EF!$H$100:$H$115,MATCH(Emissions!$D68,EF!$D$100:$D$115,0))*INDEX(EF!$H$116:$H$131,MATCH(Emissions!$D68,EF!$D$116:$D$131,0))*kgtoGg</f>
        <v>0</v>
      </c>
      <c r="Q68" s="22">
        <f>INDEX('Activity data'!Q$24:Q$39,MATCH(Emissions!$D68,'Activity data'!$D$24:$D$39,0))*INDEX(EF!$H$84:$H$99,MATCH(Emissions!$D68,EF!$D$84:$D$99,0))*INDEX(EF!$H$100:$H$115,MATCH(Emissions!$D68,EF!$D$100:$D$115,0))*INDEX(EF!$H$116:$H$131,MATCH(Emissions!$D68,EF!$D$116:$D$131,0))*kgtoGg</f>
        <v>0</v>
      </c>
      <c r="R68" s="22">
        <f>INDEX('Activity data'!R$24:R$39,MATCH(Emissions!$D68,'Activity data'!$D$24:$D$39,0))*INDEX(EF!$H$84:$H$99,MATCH(Emissions!$D68,EF!$D$84:$D$99,0))*INDEX(EF!$H$100:$H$115,MATCH(Emissions!$D68,EF!$D$100:$D$115,0))*INDEX(EF!$H$116:$H$131,MATCH(Emissions!$D68,EF!$D$116:$D$131,0))*kgtoGg</f>
        <v>0</v>
      </c>
      <c r="S68" s="22">
        <f>INDEX('Activity data'!S$24:S$39,MATCH(Emissions!$D68,'Activity data'!$D$24:$D$39,0))*INDEX(EF!$H$84:$H$99,MATCH(Emissions!$D68,EF!$D$84:$D$99,0))*INDEX(EF!$H$100:$H$115,MATCH(Emissions!$D68,EF!$D$100:$D$115,0))*INDEX(EF!$H$116:$H$131,MATCH(Emissions!$D68,EF!$D$116:$D$131,0))*kgtoGg</f>
        <v>0</v>
      </c>
      <c r="T68" s="22">
        <f>INDEX('Activity data'!T$24:T$39,MATCH(Emissions!$D68,'Activity data'!$D$24:$D$39,0))*INDEX(EF!$H$84:$H$99,MATCH(Emissions!$D68,EF!$D$84:$D$99,0))*INDEX(EF!$H$100:$H$115,MATCH(Emissions!$D68,EF!$D$100:$D$115,0))*INDEX(EF!$H$116:$H$131,MATCH(Emissions!$D68,EF!$D$116:$D$131,0))*kgtoGg</f>
        <v>0</v>
      </c>
      <c r="U68" s="22">
        <f>INDEX('Activity data'!U$24:U$39,MATCH(Emissions!$D68,'Activity data'!$D$24:$D$39,0))*INDEX(EF!$H$84:$H$99,MATCH(Emissions!$D68,EF!$D$84:$D$99,0))*INDEX(EF!$H$100:$H$115,MATCH(Emissions!$D68,EF!$D$100:$D$115,0))*INDEX(EF!$H$116:$H$131,MATCH(Emissions!$D68,EF!$D$116:$D$131,0))*kgtoGg</f>
        <v>0</v>
      </c>
      <c r="V68" s="22">
        <f>INDEX('Activity data'!V$24:V$39,MATCH(Emissions!$D68,'Activity data'!$D$24:$D$39,0))*INDEX(EF!$H$84:$H$99,MATCH(Emissions!$D68,EF!$D$84:$D$99,0))*INDEX(EF!$H$100:$H$115,MATCH(Emissions!$D68,EF!$D$100:$D$115,0))*INDEX(EF!$H$116:$H$131,MATCH(Emissions!$D68,EF!$D$116:$D$131,0))*kgtoGg</f>
        <v>0</v>
      </c>
      <c r="W68" s="22">
        <f>INDEX('Activity data'!W$24:W$39,MATCH(Emissions!$D68,'Activity data'!$D$24:$D$39,0))*INDEX(EF!$H$84:$H$99,MATCH(Emissions!$D68,EF!$D$84:$D$99,0))*INDEX(EF!$H$100:$H$115,MATCH(Emissions!$D68,EF!$D$100:$D$115,0))*INDEX(EF!$H$116:$H$131,MATCH(Emissions!$D68,EF!$D$116:$D$131,0))*kgtoGg</f>
        <v>0</v>
      </c>
      <c r="X68" s="22">
        <f>INDEX('Activity data'!X$24:X$39,MATCH(Emissions!$D68,'Activity data'!$D$24:$D$39,0))*INDEX(EF!$H$84:$H$99,MATCH(Emissions!$D68,EF!$D$84:$D$99,0))*INDEX(EF!$H$100:$H$115,MATCH(Emissions!$D68,EF!$D$100:$D$115,0))*INDEX(EF!$H$116:$H$131,MATCH(Emissions!$D68,EF!$D$116:$D$131,0))*kgtoGg</f>
        <v>0</v>
      </c>
      <c r="Y68" s="22">
        <f>INDEX('Activity data'!Y$24:Y$39,MATCH(Emissions!$D68,'Activity data'!$D$24:$D$39,0))*INDEX(EF!$H$84:$H$99,MATCH(Emissions!$D68,EF!$D$84:$D$99,0))*INDEX(EF!$H$100:$H$115,MATCH(Emissions!$D68,EF!$D$100:$D$115,0))*INDEX(EF!$H$116:$H$131,MATCH(Emissions!$D68,EF!$D$116:$D$131,0))*kgtoGg</f>
        <v>0</v>
      </c>
      <c r="Z68" s="22">
        <f>INDEX('Activity data'!Z$24:Z$39,MATCH(Emissions!$D68,'Activity data'!$D$24:$D$39,0))*INDEX(EF!$H$84:$H$99,MATCH(Emissions!$D68,EF!$D$84:$D$99,0))*INDEX(EF!$H$100:$H$115,MATCH(Emissions!$D68,EF!$D$100:$D$115,0))*INDEX(EF!$H$116:$H$131,MATCH(Emissions!$D68,EF!$D$116:$D$131,0))*kgtoGg</f>
        <v>0</v>
      </c>
      <c r="AA68" s="22">
        <f>INDEX('Activity data'!AA$24:AA$39,MATCH(Emissions!$D68,'Activity data'!$D$24:$D$39,0))*INDEX(EF!$H$84:$H$99,MATCH(Emissions!$D68,EF!$D$84:$D$99,0))*INDEX(EF!$H$100:$H$115,MATCH(Emissions!$D68,EF!$D$100:$D$115,0))*INDEX(EF!$H$116:$H$131,MATCH(Emissions!$D68,EF!$D$116:$D$131,0))*kgtoGg</f>
        <v>0</v>
      </c>
      <c r="AB68" s="22">
        <f>INDEX('Activity data'!AB$24:AB$39,MATCH(Emissions!$D68,'Activity data'!$D$24:$D$39,0))*INDEX(EF!$H$84:$H$99,MATCH(Emissions!$D68,EF!$D$84:$D$99,0))*INDEX(EF!$H$100:$H$115,MATCH(Emissions!$D68,EF!$D$100:$D$115,0))*INDEX(EF!$H$116:$H$131,MATCH(Emissions!$D68,EF!$D$116:$D$131,0))*kgtoGg</f>
        <v>0</v>
      </c>
      <c r="AC68" s="22">
        <f>INDEX('Activity data'!AC$24:AC$39,MATCH(Emissions!$D68,'Activity data'!$D$24:$D$39,0))*INDEX(EF!$H$84:$H$99,MATCH(Emissions!$D68,EF!$D$84:$D$99,0))*INDEX(EF!$H$100:$H$115,MATCH(Emissions!$D68,EF!$D$100:$D$115,0))*INDEX(EF!$H$116:$H$131,MATCH(Emissions!$D68,EF!$D$116:$D$131,0))*kgtoGg</f>
        <v>0</v>
      </c>
      <c r="AD68" s="22">
        <f>INDEX('Activity data'!AD$24:AD$39,MATCH(Emissions!$D68,'Activity data'!$D$24:$D$39,0))*INDEX(EF!$H$84:$H$99,MATCH(Emissions!$D68,EF!$D$84:$D$99,0))*INDEX(EF!$H$100:$H$115,MATCH(Emissions!$D68,EF!$D$100:$D$115,0))*INDEX(EF!$H$116:$H$131,MATCH(Emissions!$D68,EF!$D$116:$D$131,0))*kgtoGg</f>
        <v>0</v>
      </c>
      <c r="AE68" s="22">
        <f>INDEX('Activity data'!AE$24:AE$39,MATCH(Emissions!$D68,'Activity data'!$D$24:$D$39,0))*INDEX(EF!$H$84:$H$99,MATCH(Emissions!$D68,EF!$D$84:$D$99,0))*INDEX(EF!$H$100:$H$115,MATCH(Emissions!$D68,EF!$D$100:$D$115,0))*INDEX(EF!$H$116:$H$131,MATCH(Emissions!$D68,EF!$D$116:$D$131,0))*kgtoGg</f>
        <v>0</v>
      </c>
      <c r="AF68" s="22">
        <f>INDEX('Activity data'!AF$24:AF$39,MATCH(Emissions!$D68,'Activity data'!$D$24:$D$39,0))*INDEX(EF!$H$84:$H$99,MATCH(Emissions!$D68,EF!$D$84:$D$99,0))*INDEX(EF!$H$100:$H$115,MATCH(Emissions!$D68,EF!$D$100:$D$115,0))*INDEX(EF!$H$116:$H$131,MATCH(Emissions!$D68,EF!$D$116:$D$131,0))*kgtoGg</f>
        <v>0</v>
      </c>
      <c r="AG68" s="22">
        <f>INDEX('Activity data'!AG$24:AG$39,MATCH(Emissions!$D68,'Activity data'!$D$24:$D$39,0))*INDEX(EF!$H$84:$H$99,MATCH(Emissions!$D68,EF!$D$84:$D$99,0))*INDEX(EF!$H$100:$H$115,MATCH(Emissions!$D68,EF!$D$100:$D$115,0))*INDEX(EF!$H$116:$H$131,MATCH(Emissions!$D68,EF!$D$116:$D$131,0))*kgtoGg</f>
        <v>0</v>
      </c>
      <c r="AH68" s="22">
        <f>INDEX('Activity data'!AH$24:AH$39,MATCH(Emissions!$D68,'Activity data'!$D$24:$D$39,0))*INDEX(EF!$H$84:$H$99,MATCH(Emissions!$D68,EF!$D$84:$D$99,0))*INDEX(EF!$H$100:$H$115,MATCH(Emissions!$D68,EF!$D$100:$D$115,0))*INDEX(EF!$H$116:$H$131,MATCH(Emissions!$D68,EF!$D$116:$D$131,0))*kgtoGg</f>
        <v>0</v>
      </c>
      <c r="AI68" s="22">
        <f>INDEX('Activity data'!AI$24:AI$39,MATCH(Emissions!$D68,'Activity data'!$D$24:$D$39,0))*INDEX(EF!$H$84:$H$99,MATCH(Emissions!$D68,EF!$D$84:$D$99,0))*INDEX(EF!$H$100:$H$115,MATCH(Emissions!$D68,EF!$D$100:$D$115,0))*INDEX(EF!$H$116:$H$131,MATCH(Emissions!$D68,EF!$D$116:$D$131,0))*kgtoGg</f>
        <v>0</v>
      </c>
      <c r="AJ68" s="22">
        <f>INDEX('Activity data'!AJ$24:AJ$39,MATCH(Emissions!$D68,'Activity data'!$D$24:$D$39,0))*INDEX(EF!$H$84:$H$99,MATCH(Emissions!$D68,EF!$D$84:$D$99,0))*INDEX(EF!$H$100:$H$115,MATCH(Emissions!$D68,EF!$D$100:$D$115,0))*INDEX(EF!$H$116:$H$131,MATCH(Emissions!$D68,EF!$D$116:$D$131,0))*kgtoGg</f>
        <v>0</v>
      </c>
      <c r="AK68" s="22">
        <f>INDEX('Activity data'!AK$24:AK$39,MATCH(Emissions!$D68,'Activity data'!$D$24:$D$39,0))*INDEX(EF!$H$84:$H$99,MATCH(Emissions!$D68,EF!$D$84:$D$99,0))*INDEX(EF!$H$100:$H$115,MATCH(Emissions!$D68,EF!$D$100:$D$115,0))*INDEX(EF!$H$116:$H$131,MATCH(Emissions!$D68,EF!$D$116:$D$131,0))*kgtoGg</f>
        <v>0</v>
      </c>
      <c r="AL68" s="22">
        <f>INDEX('Activity data'!AL$24:AL$39,MATCH(Emissions!$D68,'Activity data'!$D$24:$D$39,0))*INDEX(EF!$H$84:$H$99,MATCH(Emissions!$D68,EF!$D$84:$D$99,0))*INDEX(EF!$H$100:$H$115,MATCH(Emissions!$D68,EF!$D$100:$D$115,0))*INDEX(EF!$H$116:$H$131,MATCH(Emissions!$D68,EF!$D$116:$D$131,0))*kgtoGg</f>
        <v>0</v>
      </c>
      <c r="AM68" s="22">
        <f>INDEX('Activity data'!AM$24:AM$39,MATCH(Emissions!$D68,'Activity data'!$D$24:$D$39,0))*INDEX(EF!$H$84:$H$99,MATCH(Emissions!$D68,EF!$D$84:$D$99,0))*INDEX(EF!$H$100:$H$115,MATCH(Emissions!$D68,EF!$D$100:$D$115,0))*INDEX(EF!$H$116:$H$131,MATCH(Emissions!$D68,EF!$D$116:$D$131,0))*kgtoGg</f>
        <v>0</v>
      </c>
      <c r="AN68" s="22">
        <f>INDEX('Activity data'!AN$24:AN$39,MATCH(Emissions!$D68,'Activity data'!$D$24:$D$39,0))*INDEX(EF!$H$84:$H$99,MATCH(Emissions!$D68,EF!$D$84:$D$99,0))*INDEX(EF!$H$100:$H$115,MATCH(Emissions!$D68,EF!$D$100:$D$115,0))*INDEX(EF!$H$116:$H$131,MATCH(Emissions!$D68,EF!$D$116:$D$131,0))*kgtoGg</f>
        <v>0</v>
      </c>
      <c r="AO68" s="22">
        <f>INDEX('Activity data'!AO$24:AO$39,MATCH(Emissions!$D68,'Activity data'!$D$24:$D$39,0))*INDEX(EF!$H$84:$H$99,MATCH(Emissions!$D68,EF!$D$84:$D$99,0))*INDEX(EF!$H$100:$H$115,MATCH(Emissions!$D68,EF!$D$100:$D$115,0))*INDEX(EF!$H$116:$H$131,MATCH(Emissions!$D68,EF!$D$116:$D$131,0))*kgtoGg</f>
        <v>0</v>
      </c>
      <c r="AP68" s="22">
        <f>INDEX('Activity data'!AP$24:AP$39,MATCH(Emissions!$D68,'Activity data'!$D$24:$D$39,0))*INDEX(EF!$H$84:$H$99,MATCH(Emissions!$D68,EF!$D$84:$D$99,0))*INDEX(EF!$H$100:$H$115,MATCH(Emissions!$D68,EF!$D$100:$D$115,0))*INDEX(EF!$H$116:$H$131,MATCH(Emissions!$D68,EF!$D$116:$D$131,0))*kgtoGg</f>
        <v>0</v>
      </c>
      <c r="AQ68" s="22">
        <f>INDEX('Activity data'!AQ$24:AQ$39,MATCH(Emissions!$D68,'Activity data'!$D$24:$D$39,0))*INDEX(EF!$H$84:$H$99,MATCH(Emissions!$D68,EF!$D$84:$D$99,0))*INDEX(EF!$H$100:$H$115,MATCH(Emissions!$D68,EF!$D$100:$D$115,0))*INDEX(EF!$H$116:$H$131,MATCH(Emissions!$D68,EF!$D$116:$D$131,0))*kgtoGg</f>
        <v>0</v>
      </c>
      <c r="AR68" s="22">
        <f>INDEX('Activity data'!AR$24:AR$39,MATCH(Emissions!$D68,'Activity data'!$D$24:$D$39,0))*INDEX(EF!$H$84:$H$99,MATCH(Emissions!$D68,EF!$D$84:$D$99,0))*INDEX(EF!$H$100:$H$115,MATCH(Emissions!$D68,EF!$D$100:$D$115,0))*INDEX(EF!$H$116:$H$131,MATCH(Emissions!$D68,EF!$D$116:$D$131,0))*kgtoGg</f>
        <v>0</v>
      </c>
      <c r="AS68" s="22">
        <f>INDEX('Activity data'!AS$24:AS$39,MATCH(Emissions!$D68,'Activity data'!$D$24:$D$39,0))*INDEX(EF!$H$84:$H$99,MATCH(Emissions!$D68,EF!$D$84:$D$99,0))*INDEX(EF!$H$100:$H$115,MATCH(Emissions!$D68,EF!$D$100:$D$115,0))*INDEX(EF!$H$116:$H$131,MATCH(Emissions!$D68,EF!$D$116:$D$131,0))*kgtoGg</f>
        <v>0</v>
      </c>
      <c r="AT68" s="22">
        <f>INDEX('Activity data'!AT$24:AT$39,MATCH(Emissions!$D68,'Activity data'!$D$24:$D$39,0))*INDEX(EF!$H$84:$H$99,MATCH(Emissions!$D68,EF!$D$84:$D$99,0))*INDEX(EF!$H$100:$H$115,MATCH(Emissions!$D68,EF!$D$100:$D$115,0))*INDEX(EF!$H$116:$H$131,MATCH(Emissions!$D68,EF!$D$116:$D$131,0))*kgtoGg</f>
        <v>0</v>
      </c>
      <c r="AU68" s="22">
        <f>INDEX('Activity data'!AU$24:AU$39,MATCH(Emissions!$D68,'Activity data'!$D$24:$D$39,0))*INDEX(EF!$H$84:$H$99,MATCH(Emissions!$D68,EF!$D$84:$D$99,0))*INDEX(EF!$H$100:$H$115,MATCH(Emissions!$D68,EF!$D$100:$D$115,0))*INDEX(EF!$H$116:$H$131,MATCH(Emissions!$D68,EF!$D$116:$D$131,0))*kgtoGg</f>
        <v>0</v>
      </c>
      <c r="AV68" s="22">
        <f>INDEX('Activity data'!AV$24:AV$39,MATCH(Emissions!$D68,'Activity data'!$D$24:$D$39,0))*INDEX(EF!$H$84:$H$99,MATCH(Emissions!$D68,EF!$D$84:$D$99,0))*INDEX(EF!$H$100:$H$115,MATCH(Emissions!$D68,EF!$D$100:$D$115,0))*INDEX(EF!$H$116:$H$131,MATCH(Emissions!$D68,EF!$D$116:$D$131,0))*kgtoGg</f>
        <v>0</v>
      </c>
      <c r="AW68" s="22">
        <f>INDEX('Activity data'!AW$24:AW$39,MATCH(Emissions!$D68,'Activity data'!$D$24:$D$39,0))*INDEX(EF!$H$84:$H$99,MATCH(Emissions!$D68,EF!$D$84:$D$99,0))*INDEX(EF!$H$100:$H$115,MATCH(Emissions!$D68,EF!$D$100:$D$115,0))*INDEX(EF!$H$116:$H$131,MATCH(Emissions!$D68,EF!$D$116:$D$131,0))*kgtoGg</f>
        <v>0</v>
      </c>
      <c r="AX68" s="22">
        <f>INDEX('Activity data'!AX$24:AX$39,MATCH(Emissions!$D68,'Activity data'!$D$24:$D$39,0))*INDEX(EF!$H$84:$H$99,MATCH(Emissions!$D68,EF!$D$84:$D$99,0))*INDEX(EF!$H$100:$H$115,MATCH(Emissions!$D68,EF!$D$100:$D$115,0))*INDEX(EF!$H$116:$H$131,MATCH(Emissions!$D68,EF!$D$116:$D$131,0))*kgtoGg</f>
        <v>0</v>
      </c>
      <c r="AY68" s="22">
        <f>INDEX('Activity data'!AY$24:AY$39,MATCH(Emissions!$D68,'Activity data'!$D$24:$D$39,0))*INDEX(EF!$H$84:$H$99,MATCH(Emissions!$D68,EF!$D$84:$D$99,0))*INDEX(EF!$H$100:$H$115,MATCH(Emissions!$D68,EF!$D$100:$D$115,0))*INDEX(EF!$H$116:$H$131,MATCH(Emissions!$D68,EF!$D$116:$D$131,0))*kgtoGg</f>
        <v>0</v>
      </c>
      <c r="AZ68" s="22">
        <f>INDEX('Activity data'!AZ$24:AZ$39,MATCH(Emissions!$D68,'Activity data'!$D$24:$D$39,0))*INDEX(EF!$H$84:$H$99,MATCH(Emissions!$D68,EF!$D$84:$D$99,0))*INDEX(EF!$H$100:$H$115,MATCH(Emissions!$D68,EF!$D$100:$D$115,0))*INDEX(EF!$H$116:$H$131,MATCH(Emissions!$D68,EF!$D$116:$D$131,0))*kgtoGg</f>
        <v>0</v>
      </c>
      <c r="BA68" s="22">
        <f>INDEX('Activity data'!BA$24:BA$39,MATCH(Emissions!$D68,'Activity data'!$D$24:$D$39,0))*INDEX(EF!$H$84:$H$99,MATCH(Emissions!$D68,EF!$D$84:$D$99,0))*INDEX(EF!$H$100:$H$115,MATCH(Emissions!$D68,EF!$D$100:$D$115,0))*INDEX(EF!$H$116:$H$131,MATCH(Emissions!$D68,EF!$D$116:$D$131,0))*kgtoGg</f>
        <v>0</v>
      </c>
      <c r="BB68" s="22">
        <f>INDEX('Activity data'!BB$24:BB$39,MATCH(Emissions!$D68,'Activity data'!$D$24:$D$39,0))*INDEX(EF!$H$84:$H$99,MATCH(Emissions!$D68,EF!$D$84:$D$99,0))*INDEX(EF!$H$100:$H$115,MATCH(Emissions!$D68,EF!$D$100:$D$115,0))*INDEX(EF!$H$116:$H$131,MATCH(Emissions!$D68,EF!$D$116:$D$131,0))*kgtoGg</f>
        <v>0</v>
      </c>
      <c r="BC68" s="22">
        <f>INDEX('Activity data'!BC$24:BC$39,MATCH(Emissions!$D68,'Activity data'!$D$24:$D$39,0))*INDEX(EF!$H$84:$H$99,MATCH(Emissions!$D68,EF!$D$84:$D$99,0))*INDEX(EF!$H$100:$H$115,MATCH(Emissions!$D68,EF!$D$100:$D$115,0))*INDEX(EF!$H$116:$H$131,MATCH(Emissions!$D68,EF!$D$116:$D$131,0))*kgtoGg</f>
        <v>0</v>
      </c>
      <c r="BD68" s="22">
        <f>INDEX('Activity data'!BD$24:BD$39,MATCH(Emissions!$D68,'Activity data'!$D$24:$D$39,0))*INDEX(EF!$H$84:$H$99,MATCH(Emissions!$D68,EF!$D$84:$D$99,0))*INDEX(EF!$H$100:$H$115,MATCH(Emissions!$D68,EF!$D$100:$D$115,0))*INDEX(EF!$H$116:$H$131,MATCH(Emissions!$D68,EF!$D$116:$D$131,0))*kgtoGg</f>
        <v>0</v>
      </c>
      <c r="BE68" s="22">
        <f>INDEX('Activity data'!BE$24:BE$39,MATCH(Emissions!$D68,'Activity data'!$D$24:$D$39,0))*INDEX(EF!$H$84:$H$99,MATCH(Emissions!$D68,EF!$D$84:$D$99,0))*INDEX(EF!$H$100:$H$115,MATCH(Emissions!$D68,EF!$D$100:$D$115,0))*INDEX(EF!$H$116:$H$131,MATCH(Emissions!$D68,EF!$D$116:$D$131,0))*kgtoGg</f>
        <v>0</v>
      </c>
      <c r="BF68" s="22">
        <f>INDEX('Activity data'!BF$24:BF$39,MATCH(Emissions!$D68,'Activity data'!$D$24:$D$39,0))*INDEX(EF!$H$84:$H$99,MATCH(Emissions!$D68,EF!$D$84:$D$99,0))*INDEX(EF!$H$100:$H$115,MATCH(Emissions!$D68,EF!$D$100:$D$115,0))*INDEX(EF!$H$116:$H$131,MATCH(Emissions!$D68,EF!$D$116:$D$131,0))*kgtoGg</f>
        <v>0</v>
      </c>
      <c r="BG68" s="22">
        <f>INDEX('Activity data'!BG$24:BG$39,MATCH(Emissions!$D68,'Activity data'!$D$24:$D$39,0))*INDEX(EF!$H$84:$H$99,MATCH(Emissions!$D68,EF!$D$84:$D$99,0))*INDEX(EF!$H$100:$H$115,MATCH(Emissions!$D68,EF!$D$100:$D$115,0))*INDEX(EF!$H$116:$H$131,MATCH(Emissions!$D68,EF!$D$116:$D$131,0))*kgtoGg</f>
        <v>0</v>
      </c>
      <c r="BH68" s="22">
        <f>INDEX('Activity data'!BH$24:BH$39,MATCH(Emissions!$D68,'Activity data'!$D$24:$D$39,0))*INDEX(EF!$H$84:$H$99,MATCH(Emissions!$D68,EF!$D$84:$D$99,0))*INDEX(EF!$H$100:$H$115,MATCH(Emissions!$D68,EF!$D$100:$D$115,0))*INDEX(EF!$H$116:$H$131,MATCH(Emissions!$D68,EF!$D$116:$D$131,0))*kgtoGg</f>
        <v>0</v>
      </c>
      <c r="BI68" s="22">
        <f>INDEX('Activity data'!BI$24:BI$39,MATCH(Emissions!$D68,'Activity data'!$D$24:$D$39,0))*INDEX(EF!$H$84:$H$99,MATCH(Emissions!$D68,EF!$D$84:$D$99,0))*INDEX(EF!$H$100:$H$115,MATCH(Emissions!$D68,EF!$D$100:$D$115,0))*INDEX(EF!$H$116:$H$131,MATCH(Emissions!$D68,EF!$D$116:$D$131,0))*kgtoGg</f>
        <v>0</v>
      </c>
      <c r="BJ68" s="22">
        <f>INDEX('Activity data'!BJ$24:BJ$39,MATCH(Emissions!$D68,'Activity data'!$D$24:$D$39,0))*INDEX(EF!$H$84:$H$99,MATCH(Emissions!$D68,EF!$D$84:$D$99,0))*INDEX(EF!$H$100:$H$115,MATCH(Emissions!$D68,EF!$D$100:$D$115,0))*INDEX(EF!$H$116:$H$131,MATCH(Emissions!$D68,EF!$D$116:$D$131,0))*kgtoGg</f>
        <v>0</v>
      </c>
      <c r="BK68" s="22">
        <f>INDEX('Activity data'!BK$24:BK$39,MATCH(Emissions!$D68,'Activity data'!$D$24:$D$39,0))*INDEX(EF!$H$84:$H$99,MATCH(Emissions!$D68,EF!$D$84:$D$99,0))*INDEX(EF!$H$100:$H$115,MATCH(Emissions!$D68,EF!$D$100:$D$115,0))*INDEX(EF!$H$116:$H$131,MATCH(Emissions!$D68,EF!$D$116:$D$131,0))*kgtoGg</f>
        <v>0</v>
      </c>
      <c r="BL68" s="22">
        <f>INDEX('Activity data'!BL$24:BL$39,MATCH(Emissions!$D68,'Activity data'!$D$24:$D$39,0))*INDEX(EF!$H$84:$H$99,MATCH(Emissions!$D68,EF!$D$84:$D$99,0))*INDEX(EF!$H$100:$H$115,MATCH(Emissions!$D68,EF!$D$100:$D$115,0))*INDEX(EF!$H$116:$H$131,MATCH(Emissions!$D68,EF!$D$116:$D$131,0))*kgtoGg</f>
        <v>0</v>
      </c>
      <c r="BM68" s="22">
        <f>INDEX('Activity data'!BM$24:BM$39,MATCH(Emissions!$D68,'Activity data'!$D$24:$D$39,0))*INDEX(EF!$H$84:$H$99,MATCH(Emissions!$D68,EF!$D$84:$D$99,0))*INDEX(EF!$H$100:$H$115,MATCH(Emissions!$D68,EF!$D$100:$D$115,0))*INDEX(EF!$H$116:$H$131,MATCH(Emissions!$D68,EF!$D$116:$D$131,0))*kgtoGg</f>
        <v>0</v>
      </c>
      <c r="BN68" s="22">
        <f>INDEX('Activity data'!BN$24:BN$39,MATCH(Emissions!$D68,'Activity data'!$D$24:$D$39,0))*INDEX(EF!$H$84:$H$99,MATCH(Emissions!$D68,EF!$D$84:$D$99,0))*INDEX(EF!$H$100:$H$115,MATCH(Emissions!$D68,EF!$D$100:$D$115,0))*INDEX(EF!$H$116:$H$131,MATCH(Emissions!$D68,EF!$D$116:$D$131,0))*kgtoGg</f>
        <v>0</v>
      </c>
      <c r="BO68" s="22">
        <f>INDEX('Activity data'!BO$24:BO$39,MATCH(Emissions!$D68,'Activity data'!$D$24:$D$39,0))*INDEX(EF!$H$84:$H$99,MATCH(Emissions!$D68,EF!$D$84:$D$99,0))*INDEX(EF!$H$100:$H$115,MATCH(Emissions!$D68,EF!$D$100:$D$115,0))*INDEX(EF!$H$116:$H$131,MATCH(Emissions!$D68,EF!$D$116:$D$131,0))*kgtoGg</f>
        <v>0</v>
      </c>
      <c r="BP68" s="22">
        <f>INDEX('Activity data'!BP$24:BP$39,MATCH(Emissions!$D68,'Activity data'!$D$24:$D$39,0))*INDEX(EF!$H$84:$H$99,MATCH(Emissions!$D68,EF!$D$84:$D$99,0))*INDEX(EF!$H$100:$H$115,MATCH(Emissions!$D68,EF!$D$100:$D$115,0))*INDEX(EF!$H$116:$H$131,MATCH(Emissions!$D68,EF!$D$116:$D$131,0))*kgtoGg</f>
        <v>0</v>
      </c>
    </row>
    <row r="69" spans="1:68" x14ac:dyDescent="0.25">
      <c r="A69" t="str">
        <f t="shared" si="19"/>
        <v>3C Aggregated and non-CO2 emissions on land</v>
      </c>
      <c r="B69" t="str">
        <f t="shared" si="20"/>
        <v>3C1 Biomass burning (CH4)</v>
      </c>
      <c r="C69" t="str">
        <f>'IPCC Categories'!C64</f>
        <v>3C1f Biomass burning in Other lands</v>
      </c>
      <c r="D69" t="str">
        <f>EF!D99</f>
        <v>Bare ground</v>
      </c>
      <c r="E69" t="s">
        <v>655</v>
      </c>
      <c r="F69" t="str">
        <f t="shared" si="23"/>
        <v>CH4</v>
      </c>
      <c r="G69" t="str">
        <f t="shared" si="24"/>
        <v>Gg CH4</v>
      </c>
      <c r="H69" s="22">
        <f>INDEX('Activity data'!H$24:H$39,MATCH(Emissions!$D69,'Activity data'!$D$24:$D$39,0))*INDEX(EF!$H$84:$H$99,MATCH(Emissions!$D69,EF!$D$84:$D$99,0))*INDEX(EF!$H$100:$H$115,MATCH(Emissions!$D69,EF!$D$100:$D$115,0))*INDEX(EF!$H$116:$H$131,MATCH(Emissions!$D69,EF!$D$116:$D$131,0))*kgtoGg</f>
        <v>0</v>
      </c>
      <c r="I69" s="22">
        <f>INDEX('Activity data'!I$24:I$39,MATCH(Emissions!$D69,'Activity data'!$D$24:$D$39,0))*INDEX(EF!$H$84:$H$99,MATCH(Emissions!$D69,EF!$D$84:$D$99,0))*INDEX(EF!$H$100:$H$115,MATCH(Emissions!$D69,EF!$D$100:$D$115,0))*INDEX(EF!$H$116:$H$131,MATCH(Emissions!$D69,EF!$D$116:$D$131,0))*kgtoGg</f>
        <v>0</v>
      </c>
      <c r="J69" s="22">
        <f>INDEX('Activity data'!J$24:J$39,MATCH(Emissions!$D69,'Activity data'!$D$24:$D$39,0))*INDEX(EF!$H$84:$H$99,MATCH(Emissions!$D69,EF!$D$84:$D$99,0))*INDEX(EF!$H$100:$H$115,MATCH(Emissions!$D69,EF!$D$100:$D$115,0))*INDEX(EF!$H$116:$H$131,MATCH(Emissions!$D69,EF!$D$116:$D$131,0))*kgtoGg</f>
        <v>0</v>
      </c>
      <c r="K69" s="22">
        <f>INDEX('Activity data'!K$24:K$39,MATCH(Emissions!$D69,'Activity data'!$D$24:$D$39,0))*INDEX(EF!$H$84:$H$99,MATCH(Emissions!$D69,EF!$D$84:$D$99,0))*INDEX(EF!$H$100:$H$115,MATCH(Emissions!$D69,EF!$D$100:$D$115,0))*INDEX(EF!$H$116:$H$131,MATCH(Emissions!$D69,EF!$D$116:$D$131,0))*kgtoGg</f>
        <v>0</v>
      </c>
      <c r="L69" s="22">
        <f>INDEX('Activity data'!L$24:L$39,MATCH(Emissions!$D69,'Activity data'!$D$24:$D$39,0))*INDEX(EF!$H$84:$H$99,MATCH(Emissions!$D69,EF!$D$84:$D$99,0))*INDEX(EF!$H$100:$H$115,MATCH(Emissions!$D69,EF!$D$100:$D$115,0))*INDEX(EF!$H$116:$H$131,MATCH(Emissions!$D69,EF!$D$116:$D$131,0))*kgtoGg</f>
        <v>0</v>
      </c>
      <c r="M69" s="22">
        <f>INDEX('Activity data'!M$24:M$39,MATCH(Emissions!$D69,'Activity data'!$D$24:$D$39,0))*INDEX(EF!$H$84:$H$99,MATCH(Emissions!$D69,EF!$D$84:$D$99,0))*INDEX(EF!$H$100:$H$115,MATCH(Emissions!$D69,EF!$D$100:$D$115,0))*INDEX(EF!$H$116:$H$131,MATCH(Emissions!$D69,EF!$D$116:$D$131,0))*kgtoGg</f>
        <v>0</v>
      </c>
      <c r="N69" s="22">
        <f>INDEX('Activity data'!N$24:N$39,MATCH(Emissions!$D69,'Activity data'!$D$24:$D$39,0))*INDEX(EF!$H$84:$H$99,MATCH(Emissions!$D69,EF!$D$84:$D$99,0))*INDEX(EF!$H$100:$H$115,MATCH(Emissions!$D69,EF!$D$100:$D$115,0))*INDEX(EF!$H$116:$H$131,MATCH(Emissions!$D69,EF!$D$116:$D$131,0))*kgtoGg</f>
        <v>0</v>
      </c>
      <c r="O69" s="22">
        <f>INDEX('Activity data'!O$24:O$39,MATCH(Emissions!$D69,'Activity data'!$D$24:$D$39,0))*INDEX(EF!$H$84:$H$99,MATCH(Emissions!$D69,EF!$D$84:$D$99,0))*INDEX(EF!$H$100:$H$115,MATCH(Emissions!$D69,EF!$D$100:$D$115,0))*INDEX(EF!$H$116:$H$131,MATCH(Emissions!$D69,EF!$D$116:$D$131,0))*kgtoGg</f>
        <v>0</v>
      </c>
      <c r="P69" s="22">
        <f>INDEX('Activity data'!P$24:P$39,MATCH(Emissions!$D69,'Activity data'!$D$24:$D$39,0))*INDEX(EF!$H$84:$H$99,MATCH(Emissions!$D69,EF!$D$84:$D$99,0))*INDEX(EF!$H$100:$H$115,MATCH(Emissions!$D69,EF!$D$100:$D$115,0))*INDEX(EF!$H$116:$H$131,MATCH(Emissions!$D69,EF!$D$116:$D$131,0))*kgtoGg</f>
        <v>0</v>
      </c>
      <c r="Q69" s="22">
        <f>INDEX('Activity data'!Q$24:Q$39,MATCH(Emissions!$D69,'Activity data'!$D$24:$D$39,0))*INDEX(EF!$H$84:$H$99,MATCH(Emissions!$D69,EF!$D$84:$D$99,0))*INDEX(EF!$H$100:$H$115,MATCH(Emissions!$D69,EF!$D$100:$D$115,0))*INDEX(EF!$H$116:$H$131,MATCH(Emissions!$D69,EF!$D$116:$D$131,0))*kgtoGg</f>
        <v>0</v>
      </c>
      <c r="R69" s="22">
        <f>INDEX('Activity data'!R$24:R$39,MATCH(Emissions!$D69,'Activity data'!$D$24:$D$39,0))*INDEX(EF!$H$84:$H$99,MATCH(Emissions!$D69,EF!$D$84:$D$99,0))*INDEX(EF!$H$100:$H$115,MATCH(Emissions!$D69,EF!$D$100:$D$115,0))*INDEX(EF!$H$116:$H$131,MATCH(Emissions!$D69,EF!$D$116:$D$131,0))*kgtoGg</f>
        <v>0</v>
      </c>
      <c r="S69" s="22">
        <f>INDEX('Activity data'!S$24:S$39,MATCH(Emissions!$D69,'Activity data'!$D$24:$D$39,0))*INDEX(EF!$H$84:$H$99,MATCH(Emissions!$D69,EF!$D$84:$D$99,0))*INDEX(EF!$H$100:$H$115,MATCH(Emissions!$D69,EF!$D$100:$D$115,0))*INDEX(EF!$H$116:$H$131,MATCH(Emissions!$D69,EF!$D$116:$D$131,0))*kgtoGg</f>
        <v>0</v>
      </c>
      <c r="T69" s="22">
        <f>INDEX('Activity data'!T$24:T$39,MATCH(Emissions!$D69,'Activity data'!$D$24:$D$39,0))*INDEX(EF!$H$84:$H$99,MATCH(Emissions!$D69,EF!$D$84:$D$99,0))*INDEX(EF!$H$100:$H$115,MATCH(Emissions!$D69,EF!$D$100:$D$115,0))*INDEX(EF!$H$116:$H$131,MATCH(Emissions!$D69,EF!$D$116:$D$131,0))*kgtoGg</f>
        <v>0</v>
      </c>
      <c r="U69" s="22">
        <f>INDEX('Activity data'!U$24:U$39,MATCH(Emissions!$D69,'Activity data'!$D$24:$D$39,0))*INDEX(EF!$H$84:$H$99,MATCH(Emissions!$D69,EF!$D$84:$D$99,0))*INDEX(EF!$H$100:$H$115,MATCH(Emissions!$D69,EF!$D$100:$D$115,0))*INDEX(EF!$H$116:$H$131,MATCH(Emissions!$D69,EF!$D$116:$D$131,0))*kgtoGg</f>
        <v>0</v>
      </c>
      <c r="V69" s="22">
        <f>INDEX('Activity data'!V$24:V$39,MATCH(Emissions!$D69,'Activity data'!$D$24:$D$39,0))*INDEX(EF!$H$84:$H$99,MATCH(Emissions!$D69,EF!$D$84:$D$99,0))*INDEX(EF!$H$100:$H$115,MATCH(Emissions!$D69,EF!$D$100:$D$115,0))*INDEX(EF!$H$116:$H$131,MATCH(Emissions!$D69,EF!$D$116:$D$131,0))*kgtoGg</f>
        <v>0</v>
      </c>
      <c r="W69" s="22">
        <f>INDEX('Activity data'!W$24:W$39,MATCH(Emissions!$D69,'Activity data'!$D$24:$D$39,0))*INDEX(EF!$H$84:$H$99,MATCH(Emissions!$D69,EF!$D$84:$D$99,0))*INDEX(EF!$H$100:$H$115,MATCH(Emissions!$D69,EF!$D$100:$D$115,0))*INDEX(EF!$H$116:$H$131,MATCH(Emissions!$D69,EF!$D$116:$D$131,0))*kgtoGg</f>
        <v>0</v>
      </c>
      <c r="X69" s="22">
        <f>INDEX('Activity data'!X$24:X$39,MATCH(Emissions!$D69,'Activity data'!$D$24:$D$39,0))*INDEX(EF!$H$84:$H$99,MATCH(Emissions!$D69,EF!$D$84:$D$99,0))*INDEX(EF!$H$100:$H$115,MATCH(Emissions!$D69,EF!$D$100:$D$115,0))*INDEX(EF!$H$116:$H$131,MATCH(Emissions!$D69,EF!$D$116:$D$131,0))*kgtoGg</f>
        <v>0</v>
      </c>
      <c r="Y69" s="22">
        <f>INDEX('Activity data'!Y$24:Y$39,MATCH(Emissions!$D69,'Activity data'!$D$24:$D$39,0))*INDEX(EF!$H$84:$H$99,MATCH(Emissions!$D69,EF!$D$84:$D$99,0))*INDEX(EF!$H$100:$H$115,MATCH(Emissions!$D69,EF!$D$100:$D$115,0))*INDEX(EF!$H$116:$H$131,MATCH(Emissions!$D69,EF!$D$116:$D$131,0))*kgtoGg</f>
        <v>0</v>
      </c>
      <c r="Z69" s="22">
        <f>INDEX('Activity data'!Z$24:Z$39,MATCH(Emissions!$D69,'Activity data'!$D$24:$D$39,0))*INDEX(EF!$H$84:$H$99,MATCH(Emissions!$D69,EF!$D$84:$D$99,0))*INDEX(EF!$H$100:$H$115,MATCH(Emissions!$D69,EF!$D$100:$D$115,0))*INDEX(EF!$H$116:$H$131,MATCH(Emissions!$D69,EF!$D$116:$D$131,0))*kgtoGg</f>
        <v>0</v>
      </c>
      <c r="AA69" s="22">
        <f>INDEX('Activity data'!AA$24:AA$39,MATCH(Emissions!$D69,'Activity data'!$D$24:$D$39,0))*INDEX(EF!$H$84:$H$99,MATCH(Emissions!$D69,EF!$D$84:$D$99,0))*INDEX(EF!$H$100:$H$115,MATCH(Emissions!$D69,EF!$D$100:$D$115,0))*INDEX(EF!$H$116:$H$131,MATCH(Emissions!$D69,EF!$D$116:$D$131,0))*kgtoGg</f>
        <v>0</v>
      </c>
      <c r="AB69" s="22">
        <f>INDEX('Activity data'!AB$24:AB$39,MATCH(Emissions!$D69,'Activity data'!$D$24:$D$39,0))*INDEX(EF!$H$84:$H$99,MATCH(Emissions!$D69,EF!$D$84:$D$99,0))*INDEX(EF!$H$100:$H$115,MATCH(Emissions!$D69,EF!$D$100:$D$115,0))*INDEX(EF!$H$116:$H$131,MATCH(Emissions!$D69,EF!$D$116:$D$131,0))*kgtoGg</f>
        <v>0</v>
      </c>
      <c r="AC69" s="22">
        <f>INDEX('Activity data'!AC$24:AC$39,MATCH(Emissions!$D69,'Activity data'!$D$24:$D$39,0))*INDEX(EF!$H$84:$H$99,MATCH(Emissions!$D69,EF!$D$84:$D$99,0))*INDEX(EF!$H$100:$H$115,MATCH(Emissions!$D69,EF!$D$100:$D$115,0))*INDEX(EF!$H$116:$H$131,MATCH(Emissions!$D69,EF!$D$116:$D$131,0))*kgtoGg</f>
        <v>0</v>
      </c>
      <c r="AD69" s="22">
        <f>INDEX('Activity data'!AD$24:AD$39,MATCH(Emissions!$D69,'Activity data'!$D$24:$D$39,0))*INDEX(EF!$H$84:$H$99,MATCH(Emissions!$D69,EF!$D$84:$D$99,0))*INDEX(EF!$H$100:$H$115,MATCH(Emissions!$D69,EF!$D$100:$D$115,0))*INDEX(EF!$H$116:$H$131,MATCH(Emissions!$D69,EF!$D$116:$D$131,0))*kgtoGg</f>
        <v>0</v>
      </c>
      <c r="AE69" s="22">
        <f>INDEX('Activity data'!AE$24:AE$39,MATCH(Emissions!$D69,'Activity data'!$D$24:$D$39,0))*INDEX(EF!$H$84:$H$99,MATCH(Emissions!$D69,EF!$D$84:$D$99,0))*INDEX(EF!$H$100:$H$115,MATCH(Emissions!$D69,EF!$D$100:$D$115,0))*INDEX(EF!$H$116:$H$131,MATCH(Emissions!$D69,EF!$D$116:$D$131,0))*kgtoGg</f>
        <v>0</v>
      </c>
      <c r="AF69" s="22">
        <f>INDEX('Activity data'!AF$24:AF$39,MATCH(Emissions!$D69,'Activity data'!$D$24:$D$39,0))*INDEX(EF!$H$84:$H$99,MATCH(Emissions!$D69,EF!$D$84:$D$99,0))*INDEX(EF!$H$100:$H$115,MATCH(Emissions!$D69,EF!$D$100:$D$115,0))*INDEX(EF!$H$116:$H$131,MATCH(Emissions!$D69,EF!$D$116:$D$131,0))*kgtoGg</f>
        <v>0</v>
      </c>
      <c r="AG69" s="22">
        <f>INDEX('Activity data'!AG$24:AG$39,MATCH(Emissions!$D69,'Activity data'!$D$24:$D$39,0))*INDEX(EF!$H$84:$H$99,MATCH(Emissions!$D69,EF!$D$84:$D$99,0))*INDEX(EF!$H$100:$H$115,MATCH(Emissions!$D69,EF!$D$100:$D$115,0))*INDEX(EF!$H$116:$H$131,MATCH(Emissions!$D69,EF!$D$116:$D$131,0))*kgtoGg</f>
        <v>0</v>
      </c>
      <c r="AH69" s="22">
        <f>INDEX('Activity data'!AH$24:AH$39,MATCH(Emissions!$D69,'Activity data'!$D$24:$D$39,0))*INDEX(EF!$H$84:$H$99,MATCH(Emissions!$D69,EF!$D$84:$D$99,0))*INDEX(EF!$H$100:$H$115,MATCH(Emissions!$D69,EF!$D$100:$D$115,0))*INDEX(EF!$H$116:$H$131,MATCH(Emissions!$D69,EF!$D$116:$D$131,0))*kgtoGg</f>
        <v>0</v>
      </c>
      <c r="AI69" s="22">
        <f>INDEX('Activity data'!AI$24:AI$39,MATCH(Emissions!$D69,'Activity data'!$D$24:$D$39,0))*INDEX(EF!$H$84:$H$99,MATCH(Emissions!$D69,EF!$D$84:$D$99,0))*INDEX(EF!$H$100:$H$115,MATCH(Emissions!$D69,EF!$D$100:$D$115,0))*INDEX(EF!$H$116:$H$131,MATCH(Emissions!$D69,EF!$D$116:$D$131,0))*kgtoGg</f>
        <v>0</v>
      </c>
      <c r="AJ69" s="22">
        <f>INDEX('Activity data'!AJ$24:AJ$39,MATCH(Emissions!$D69,'Activity data'!$D$24:$D$39,0))*INDEX(EF!$H$84:$H$99,MATCH(Emissions!$D69,EF!$D$84:$D$99,0))*INDEX(EF!$H$100:$H$115,MATCH(Emissions!$D69,EF!$D$100:$D$115,0))*INDEX(EF!$H$116:$H$131,MATCH(Emissions!$D69,EF!$D$116:$D$131,0))*kgtoGg</f>
        <v>0</v>
      </c>
      <c r="AK69" s="22">
        <f>INDEX('Activity data'!AK$24:AK$39,MATCH(Emissions!$D69,'Activity data'!$D$24:$D$39,0))*INDEX(EF!$H$84:$H$99,MATCH(Emissions!$D69,EF!$D$84:$D$99,0))*INDEX(EF!$H$100:$H$115,MATCH(Emissions!$D69,EF!$D$100:$D$115,0))*INDEX(EF!$H$116:$H$131,MATCH(Emissions!$D69,EF!$D$116:$D$131,0))*kgtoGg</f>
        <v>0</v>
      </c>
      <c r="AL69" s="22">
        <f>INDEX('Activity data'!AL$24:AL$39,MATCH(Emissions!$D69,'Activity data'!$D$24:$D$39,0))*INDEX(EF!$H$84:$H$99,MATCH(Emissions!$D69,EF!$D$84:$D$99,0))*INDEX(EF!$H$100:$H$115,MATCH(Emissions!$D69,EF!$D$100:$D$115,0))*INDEX(EF!$H$116:$H$131,MATCH(Emissions!$D69,EF!$D$116:$D$131,0))*kgtoGg</f>
        <v>0</v>
      </c>
      <c r="AM69" s="22">
        <f>INDEX('Activity data'!AM$24:AM$39,MATCH(Emissions!$D69,'Activity data'!$D$24:$D$39,0))*INDEX(EF!$H$84:$H$99,MATCH(Emissions!$D69,EF!$D$84:$D$99,0))*INDEX(EF!$H$100:$H$115,MATCH(Emissions!$D69,EF!$D$100:$D$115,0))*INDEX(EF!$H$116:$H$131,MATCH(Emissions!$D69,EF!$D$116:$D$131,0))*kgtoGg</f>
        <v>0</v>
      </c>
      <c r="AN69" s="22">
        <f>INDEX('Activity data'!AN$24:AN$39,MATCH(Emissions!$D69,'Activity data'!$D$24:$D$39,0))*INDEX(EF!$H$84:$H$99,MATCH(Emissions!$D69,EF!$D$84:$D$99,0))*INDEX(EF!$H$100:$H$115,MATCH(Emissions!$D69,EF!$D$100:$D$115,0))*INDEX(EF!$H$116:$H$131,MATCH(Emissions!$D69,EF!$D$116:$D$131,0))*kgtoGg</f>
        <v>0</v>
      </c>
      <c r="AO69" s="22">
        <f>INDEX('Activity data'!AO$24:AO$39,MATCH(Emissions!$D69,'Activity data'!$D$24:$D$39,0))*INDEX(EF!$H$84:$H$99,MATCH(Emissions!$D69,EF!$D$84:$D$99,0))*INDEX(EF!$H$100:$H$115,MATCH(Emissions!$D69,EF!$D$100:$D$115,0))*INDEX(EF!$H$116:$H$131,MATCH(Emissions!$D69,EF!$D$116:$D$131,0))*kgtoGg</f>
        <v>0</v>
      </c>
      <c r="AP69" s="22">
        <f>INDEX('Activity data'!AP$24:AP$39,MATCH(Emissions!$D69,'Activity data'!$D$24:$D$39,0))*INDEX(EF!$H$84:$H$99,MATCH(Emissions!$D69,EF!$D$84:$D$99,0))*INDEX(EF!$H$100:$H$115,MATCH(Emissions!$D69,EF!$D$100:$D$115,0))*INDEX(EF!$H$116:$H$131,MATCH(Emissions!$D69,EF!$D$116:$D$131,0))*kgtoGg</f>
        <v>0</v>
      </c>
      <c r="AQ69" s="22">
        <f>INDEX('Activity data'!AQ$24:AQ$39,MATCH(Emissions!$D69,'Activity data'!$D$24:$D$39,0))*INDEX(EF!$H$84:$H$99,MATCH(Emissions!$D69,EF!$D$84:$D$99,0))*INDEX(EF!$H$100:$H$115,MATCH(Emissions!$D69,EF!$D$100:$D$115,0))*INDEX(EF!$H$116:$H$131,MATCH(Emissions!$D69,EF!$D$116:$D$131,0))*kgtoGg</f>
        <v>0</v>
      </c>
      <c r="AR69" s="22">
        <f>INDEX('Activity data'!AR$24:AR$39,MATCH(Emissions!$D69,'Activity data'!$D$24:$D$39,0))*INDEX(EF!$H$84:$H$99,MATCH(Emissions!$D69,EF!$D$84:$D$99,0))*INDEX(EF!$H$100:$H$115,MATCH(Emissions!$D69,EF!$D$100:$D$115,0))*INDEX(EF!$H$116:$H$131,MATCH(Emissions!$D69,EF!$D$116:$D$131,0))*kgtoGg</f>
        <v>0</v>
      </c>
      <c r="AS69" s="22">
        <f>INDEX('Activity data'!AS$24:AS$39,MATCH(Emissions!$D69,'Activity data'!$D$24:$D$39,0))*INDEX(EF!$H$84:$H$99,MATCH(Emissions!$D69,EF!$D$84:$D$99,0))*INDEX(EF!$H$100:$H$115,MATCH(Emissions!$D69,EF!$D$100:$D$115,0))*INDEX(EF!$H$116:$H$131,MATCH(Emissions!$D69,EF!$D$116:$D$131,0))*kgtoGg</f>
        <v>0</v>
      </c>
      <c r="AT69" s="22">
        <f>INDEX('Activity data'!AT$24:AT$39,MATCH(Emissions!$D69,'Activity data'!$D$24:$D$39,0))*INDEX(EF!$H$84:$H$99,MATCH(Emissions!$D69,EF!$D$84:$D$99,0))*INDEX(EF!$H$100:$H$115,MATCH(Emissions!$D69,EF!$D$100:$D$115,0))*INDEX(EF!$H$116:$H$131,MATCH(Emissions!$D69,EF!$D$116:$D$131,0))*kgtoGg</f>
        <v>0</v>
      </c>
      <c r="AU69" s="22">
        <f>INDEX('Activity data'!AU$24:AU$39,MATCH(Emissions!$D69,'Activity data'!$D$24:$D$39,0))*INDEX(EF!$H$84:$H$99,MATCH(Emissions!$D69,EF!$D$84:$D$99,0))*INDEX(EF!$H$100:$H$115,MATCH(Emissions!$D69,EF!$D$100:$D$115,0))*INDEX(EF!$H$116:$H$131,MATCH(Emissions!$D69,EF!$D$116:$D$131,0))*kgtoGg</f>
        <v>0</v>
      </c>
      <c r="AV69" s="22">
        <f>INDEX('Activity data'!AV$24:AV$39,MATCH(Emissions!$D69,'Activity data'!$D$24:$D$39,0))*INDEX(EF!$H$84:$H$99,MATCH(Emissions!$D69,EF!$D$84:$D$99,0))*INDEX(EF!$H$100:$H$115,MATCH(Emissions!$D69,EF!$D$100:$D$115,0))*INDEX(EF!$H$116:$H$131,MATCH(Emissions!$D69,EF!$D$116:$D$131,0))*kgtoGg</f>
        <v>0</v>
      </c>
      <c r="AW69" s="22">
        <f>INDEX('Activity data'!AW$24:AW$39,MATCH(Emissions!$D69,'Activity data'!$D$24:$D$39,0))*INDEX(EF!$H$84:$H$99,MATCH(Emissions!$D69,EF!$D$84:$D$99,0))*INDEX(EF!$H$100:$H$115,MATCH(Emissions!$D69,EF!$D$100:$D$115,0))*INDEX(EF!$H$116:$H$131,MATCH(Emissions!$D69,EF!$D$116:$D$131,0))*kgtoGg</f>
        <v>0</v>
      </c>
      <c r="AX69" s="22">
        <f>INDEX('Activity data'!AX$24:AX$39,MATCH(Emissions!$D69,'Activity data'!$D$24:$D$39,0))*INDEX(EF!$H$84:$H$99,MATCH(Emissions!$D69,EF!$D$84:$D$99,0))*INDEX(EF!$H$100:$H$115,MATCH(Emissions!$D69,EF!$D$100:$D$115,0))*INDEX(EF!$H$116:$H$131,MATCH(Emissions!$D69,EF!$D$116:$D$131,0))*kgtoGg</f>
        <v>0</v>
      </c>
      <c r="AY69" s="22">
        <f>INDEX('Activity data'!AY$24:AY$39,MATCH(Emissions!$D69,'Activity data'!$D$24:$D$39,0))*INDEX(EF!$H$84:$H$99,MATCH(Emissions!$D69,EF!$D$84:$D$99,0))*INDEX(EF!$H$100:$H$115,MATCH(Emissions!$D69,EF!$D$100:$D$115,0))*INDEX(EF!$H$116:$H$131,MATCH(Emissions!$D69,EF!$D$116:$D$131,0))*kgtoGg</f>
        <v>0</v>
      </c>
      <c r="AZ69" s="22">
        <f>INDEX('Activity data'!AZ$24:AZ$39,MATCH(Emissions!$D69,'Activity data'!$D$24:$D$39,0))*INDEX(EF!$H$84:$H$99,MATCH(Emissions!$D69,EF!$D$84:$D$99,0))*INDEX(EF!$H$100:$H$115,MATCH(Emissions!$D69,EF!$D$100:$D$115,0))*INDEX(EF!$H$116:$H$131,MATCH(Emissions!$D69,EF!$D$116:$D$131,0))*kgtoGg</f>
        <v>0</v>
      </c>
      <c r="BA69" s="22">
        <f>INDEX('Activity data'!BA$24:BA$39,MATCH(Emissions!$D69,'Activity data'!$D$24:$D$39,0))*INDEX(EF!$H$84:$H$99,MATCH(Emissions!$D69,EF!$D$84:$D$99,0))*INDEX(EF!$H$100:$H$115,MATCH(Emissions!$D69,EF!$D$100:$D$115,0))*INDEX(EF!$H$116:$H$131,MATCH(Emissions!$D69,EF!$D$116:$D$131,0))*kgtoGg</f>
        <v>0</v>
      </c>
      <c r="BB69" s="22">
        <f>INDEX('Activity data'!BB$24:BB$39,MATCH(Emissions!$D69,'Activity data'!$D$24:$D$39,0))*INDEX(EF!$H$84:$H$99,MATCH(Emissions!$D69,EF!$D$84:$D$99,0))*INDEX(EF!$H$100:$H$115,MATCH(Emissions!$D69,EF!$D$100:$D$115,0))*INDEX(EF!$H$116:$H$131,MATCH(Emissions!$D69,EF!$D$116:$D$131,0))*kgtoGg</f>
        <v>0</v>
      </c>
      <c r="BC69" s="22">
        <f>INDEX('Activity data'!BC$24:BC$39,MATCH(Emissions!$D69,'Activity data'!$D$24:$D$39,0))*INDEX(EF!$H$84:$H$99,MATCH(Emissions!$D69,EF!$D$84:$D$99,0))*INDEX(EF!$H$100:$H$115,MATCH(Emissions!$D69,EF!$D$100:$D$115,0))*INDEX(EF!$H$116:$H$131,MATCH(Emissions!$D69,EF!$D$116:$D$131,0))*kgtoGg</f>
        <v>0</v>
      </c>
      <c r="BD69" s="22">
        <f>INDEX('Activity data'!BD$24:BD$39,MATCH(Emissions!$D69,'Activity data'!$D$24:$D$39,0))*INDEX(EF!$H$84:$H$99,MATCH(Emissions!$D69,EF!$D$84:$D$99,0))*INDEX(EF!$H$100:$H$115,MATCH(Emissions!$D69,EF!$D$100:$D$115,0))*INDEX(EF!$H$116:$H$131,MATCH(Emissions!$D69,EF!$D$116:$D$131,0))*kgtoGg</f>
        <v>0</v>
      </c>
      <c r="BE69" s="22">
        <f>INDEX('Activity data'!BE$24:BE$39,MATCH(Emissions!$D69,'Activity data'!$D$24:$D$39,0))*INDEX(EF!$H$84:$H$99,MATCH(Emissions!$D69,EF!$D$84:$D$99,0))*INDEX(EF!$H$100:$H$115,MATCH(Emissions!$D69,EF!$D$100:$D$115,0))*INDEX(EF!$H$116:$H$131,MATCH(Emissions!$D69,EF!$D$116:$D$131,0))*kgtoGg</f>
        <v>0</v>
      </c>
      <c r="BF69" s="22">
        <f>INDEX('Activity data'!BF$24:BF$39,MATCH(Emissions!$D69,'Activity data'!$D$24:$D$39,0))*INDEX(EF!$H$84:$H$99,MATCH(Emissions!$D69,EF!$D$84:$D$99,0))*INDEX(EF!$H$100:$H$115,MATCH(Emissions!$D69,EF!$D$100:$D$115,0))*INDEX(EF!$H$116:$H$131,MATCH(Emissions!$D69,EF!$D$116:$D$131,0))*kgtoGg</f>
        <v>0</v>
      </c>
      <c r="BG69" s="22">
        <f>INDEX('Activity data'!BG$24:BG$39,MATCH(Emissions!$D69,'Activity data'!$D$24:$D$39,0))*INDEX(EF!$H$84:$H$99,MATCH(Emissions!$D69,EF!$D$84:$D$99,0))*INDEX(EF!$H$100:$H$115,MATCH(Emissions!$D69,EF!$D$100:$D$115,0))*INDEX(EF!$H$116:$H$131,MATCH(Emissions!$D69,EF!$D$116:$D$131,0))*kgtoGg</f>
        <v>0</v>
      </c>
      <c r="BH69" s="22">
        <f>INDEX('Activity data'!BH$24:BH$39,MATCH(Emissions!$D69,'Activity data'!$D$24:$D$39,0))*INDEX(EF!$H$84:$H$99,MATCH(Emissions!$D69,EF!$D$84:$D$99,0))*INDEX(EF!$H$100:$H$115,MATCH(Emissions!$D69,EF!$D$100:$D$115,0))*INDEX(EF!$H$116:$H$131,MATCH(Emissions!$D69,EF!$D$116:$D$131,0))*kgtoGg</f>
        <v>0</v>
      </c>
      <c r="BI69" s="22">
        <f>INDEX('Activity data'!BI$24:BI$39,MATCH(Emissions!$D69,'Activity data'!$D$24:$D$39,0))*INDEX(EF!$H$84:$H$99,MATCH(Emissions!$D69,EF!$D$84:$D$99,0))*INDEX(EF!$H$100:$H$115,MATCH(Emissions!$D69,EF!$D$100:$D$115,0))*INDEX(EF!$H$116:$H$131,MATCH(Emissions!$D69,EF!$D$116:$D$131,0))*kgtoGg</f>
        <v>0</v>
      </c>
      <c r="BJ69" s="22">
        <f>INDEX('Activity data'!BJ$24:BJ$39,MATCH(Emissions!$D69,'Activity data'!$D$24:$D$39,0))*INDEX(EF!$H$84:$H$99,MATCH(Emissions!$D69,EF!$D$84:$D$99,0))*INDEX(EF!$H$100:$H$115,MATCH(Emissions!$D69,EF!$D$100:$D$115,0))*INDEX(EF!$H$116:$H$131,MATCH(Emissions!$D69,EF!$D$116:$D$131,0))*kgtoGg</f>
        <v>0</v>
      </c>
      <c r="BK69" s="22">
        <f>INDEX('Activity data'!BK$24:BK$39,MATCH(Emissions!$D69,'Activity data'!$D$24:$D$39,0))*INDEX(EF!$H$84:$H$99,MATCH(Emissions!$D69,EF!$D$84:$D$99,0))*INDEX(EF!$H$100:$H$115,MATCH(Emissions!$D69,EF!$D$100:$D$115,0))*INDEX(EF!$H$116:$H$131,MATCH(Emissions!$D69,EF!$D$116:$D$131,0))*kgtoGg</f>
        <v>0</v>
      </c>
      <c r="BL69" s="22">
        <f>INDEX('Activity data'!BL$24:BL$39,MATCH(Emissions!$D69,'Activity data'!$D$24:$D$39,0))*INDEX(EF!$H$84:$H$99,MATCH(Emissions!$D69,EF!$D$84:$D$99,0))*INDEX(EF!$H$100:$H$115,MATCH(Emissions!$D69,EF!$D$100:$D$115,0))*INDEX(EF!$H$116:$H$131,MATCH(Emissions!$D69,EF!$D$116:$D$131,0))*kgtoGg</f>
        <v>0</v>
      </c>
      <c r="BM69" s="22">
        <f>INDEX('Activity data'!BM$24:BM$39,MATCH(Emissions!$D69,'Activity data'!$D$24:$D$39,0))*INDEX(EF!$H$84:$H$99,MATCH(Emissions!$D69,EF!$D$84:$D$99,0))*INDEX(EF!$H$100:$H$115,MATCH(Emissions!$D69,EF!$D$100:$D$115,0))*INDEX(EF!$H$116:$H$131,MATCH(Emissions!$D69,EF!$D$116:$D$131,0))*kgtoGg</f>
        <v>0</v>
      </c>
      <c r="BN69" s="22">
        <f>INDEX('Activity data'!BN$24:BN$39,MATCH(Emissions!$D69,'Activity data'!$D$24:$D$39,0))*INDEX(EF!$H$84:$H$99,MATCH(Emissions!$D69,EF!$D$84:$D$99,0))*INDEX(EF!$H$100:$H$115,MATCH(Emissions!$D69,EF!$D$100:$D$115,0))*INDEX(EF!$H$116:$H$131,MATCH(Emissions!$D69,EF!$D$116:$D$131,0))*kgtoGg</f>
        <v>0</v>
      </c>
      <c r="BO69" s="22">
        <f>INDEX('Activity data'!BO$24:BO$39,MATCH(Emissions!$D69,'Activity data'!$D$24:$D$39,0))*INDEX(EF!$H$84:$H$99,MATCH(Emissions!$D69,EF!$D$84:$D$99,0))*INDEX(EF!$H$100:$H$115,MATCH(Emissions!$D69,EF!$D$100:$D$115,0))*INDEX(EF!$H$116:$H$131,MATCH(Emissions!$D69,EF!$D$116:$D$131,0))*kgtoGg</f>
        <v>0</v>
      </c>
      <c r="BP69" s="22">
        <f>INDEX('Activity data'!BP$24:BP$39,MATCH(Emissions!$D69,'Activity data'!$D$24:$D$39,0))*INDEX(EF!$H$84:$H$99,MATCH(Emissions!$D69,EF!$D$84:$D$99,0))*INDEX(EF!$H$100:$H$115,MATCH(Emissions!$D69,EF!$D$100:$D$115,0))*INDEX(EF!$H$116:$H$131,MATCH(Emissions!$D69,EF!$D$116:$D$131,0))*kgtoGg</f>
        <v>0</v>
      </c>
    </row>
    <row r="70" spans="1:68" x14ac:dyDescent="0.25">
      <c r="A70" t="str">
        <f t="shared" si="19"/>
        <v>3C Aggregated and non-CO2 emissions on land</v>
      </c>
      <c r="B70" t="str">
        <f>'IPCC Categories'!B65</f>
        <v>3C1 Biomass burning (N2O)</v>
      </c>
      <c r="C70" t="str">
        <f>C54</f>
        <v>3C1a Biomass burning in forest land</v>
      </c>
      <c r="D70" t="str">
        <f>EF!D100</f>
        <v>Indigenous forests</v>
      </c>
      <c r="E70" t="s">
        <v>640</v>
      </c>
      <c r="F70" t="s">
        <v>139</v>
      </c>
      <c r="G70" t="s">
        <v>287</v>
      </c>
      <c r="H70" s="22">
        <f>INDEX('Activity data'!H$24:H$39,MATCH(Emissions!$D70,'Activity data'!$D$24:$D$39,0))*INDEX(EF!$H$84:$H$99,MATCH(Emissions!$D70,EF!$D$84:$D$99,0))*INDEX(EF!$H$100:$H$115,MATCH(Emissions!$D70,EF!$D$100:$D$115,0))*INDEX(EF!$H$132:$H$147,MATCH(Emissions!$D70,EF!$D$132:$D$147,0))*kgtoGg</f>
        <v>7.1698949255307107E-2</v>
      </c>
      <c r="I70" s="22">
        <f>INDEX('Activity data'!I$24:I$39,MATCH(Emissions!$D70,'Activity data'!$D$24:$D$39,0))*INDEX(EF!$H$84:$H$99,MATCH(Emissions!$D70,EF!$D$84:$D$99,0))*INDEX(EF!$H$100:$H$115,MATCH(Emissions!$D70,EF!$D$100:$D$115,0))*INDEX(EF!$H$132:$H$147,MATCH(Emissions!$D70,EF!$D$132:$D$147,0))*kgtoGg</f>
        <v>7.1698949255307107E-2</v>
      </c>
      <c r="J70" s="22">
        <f>INDEX('Activity data'!J$24:J$39,MATCH(Emissions!$D70,'Activity data'!$D$24:$D$39,0))*INDEX(EF!$H$84:$H$99,MATCH(Emissions!$D70,EF!$D$84:$D$99,0))*INDEX(EF!$H$100:$H$115,MATCH(Emissions!$D70,EF!$D$100:$D$115,0))*INDEX(EF!$H$132:$H$147,MATCH(Emissions!$D70,EF!$D$132:$D$147,0))*kgtoGg</f>
        <v>7.1698949255307107E-2</v>
      </c>
      <c r="K70" s="22">
        <f>INDEX('Activity data'!K$24:K$39,MATCH(Emissions!$D70,'Activity data'!$D$24:$D$39,0))*INDEX(EF!$H$84:$H$99,MATCH(Emissions!$D70,EF!$D$84:$D$99,0))*INDEX(EF!$H$100:$H$115,MATCH(Emissions!$D70,EF!$D$100:$D$115,0))*INDEX(EF!$H$132:$H$147,MATCH(Emissions!$D70,EF!$D$132:$D$147,0))*kgtoGg</f>
        <v>7.1698949255307107E-2</v>
      </c>
      <c r="L70" s="22">
        <f>INDEX('Activity data'!L$24:L$39,MATCH(Emissions!$D70,'Activity data'!$D$24:$D$39,0))*INDEX(EF!$H$84:$H$99,MATCH(Emissions!$D70,EF!$D$84:$D$99,0))*INDEX(EF!$H$100:$H$115,MATCH(Emissions!$D70,EF!$D$100:$D$115,0))*INDEX(EF!$H$132:$H$147,MATCH(Emissions!$D70,EF!$D$132:$D$147,0))*kgtoGg</f>
        <v>7.1698949255307107E-2</v>
      </c>
      <c r="M70" s="22">
        <f>INDEX('Activity data'!M$24:M$39,MATCH(Emissions!$D70,'Activity data'!$D$24:$D$39,0))*INDEX(EF!$H$84:$H$99,MATCH(Emissions!$D70,EF!$D$84:$D$99,0))*INDEX(EF!$H$100:$H$115,MATCH(Emissions!$D70,EF!$D$100:$D$115,0))*INDEX(EF!$H$132:$H$147,MATCH(Emissions!$D70,EF!$D$132:$D$147,0))*kgtoGg</f>
        <v>7.1698949255307107E-2</v>
      </c>
      <c r="N70" s="22">
        <f>INDEX('Activity data'!N$24:N$39,MATCH(Emissions!$D70,'Activity data'!$D$24:$D$39,0))*INDEX(EF!$H$84:$H$99,MATCH(Emissions!$D70,EF!$D$84:$D$99,0))*INDEX(EF!$H$100:$H$115,MATCH(Emissions!$D70,EF!$D$100:$D$115,0))*INDEX(EF!$H$132:$H$147,MATCH(Emissions!$D70,EF!$D$132:$D$147,0))*kgtoGg</f>
        <v>7.1698949255307107E-2</v>
      </c>
      <c r="O70" s="22">
        <f>INDEX('Activity data'!O$24:O$39,MATCH(Emissions!$D70,'Activity data'!$D$24:$D$39,0))*INDEX(EF!$H$84:$H$99,MATCH(Emissions!$D70,EF!$D$84:$D$99,0))*INDEX(EF!$H$100:$H$115,MATCH(Emissions!$D70,EF!$D$100:$D$115,0))*INDEX(EF!$H$132:$H$147,MATCH(Emissions!$D70,EF!$D$132:$D$147,0))*kgtoGg</f>
        <v>7.1698949255307107E-2</v>
      </c>
      <c r="P70" s="22">
        <f>INDEX('Activity data'!P$24:P$39,MATCH(Emissions!$D70,'Activity data'!$D$24:$D$39,0))*INDEX(EF!$H$84:$H$99,MATCH(Emissions!$D70,EF!$D$84:$D$99,0))*INDEX(EF!$H$100:$H$115,MATCH(Emissions!$D70,EF!$D$100:$D$115,0))*INDEX(EF!$H$132:$H$147,MATCH(Emissions!$D70,EF!$D$132:$D$147,0))*kgtoGg</f>
        <v>7.1698949255307107E-2</v>
      </c>
      <c r="Q70" s="22">
        <f>INDEX('Activity data'!Q$24:Q$39,MATCH(Emissions!$D70,'Activity data'!$D$24:$D$39,0))*INDEX(EF!$H$84:$H$99,MATCH(Emissions!$D70,EF!$D$84:$D$99,0))*INDEX(EF!$H$100:$H$115,MATCH(Emissions!$D70,EF!$D$100:$D$115,0))*INDEX(EF!$H$132:$H$147,MATCH(Emissions!$D70,EF!$D$132:$D$147,0))*kgtoGg</f>
        <v>7.1698949255307107E-2</v>
      </c>
      <c r="R70" s="22">
        <f>INDEX('Activity data'!R$24:R$39,MATCH(Emissions!$D70,'Activity data'!$D$24:$D$39,0))*INDEX(EF!$H$84:$H$99,MATCH(Emissions!$D70,EF!$D$84:$D$99,0))*INDEX(EF!$H$100:$H$115,MATCH(Emissions!$D70,EF!$D$100:$D$115,0))*INDEX(EF!$H$132:$H$147,MATCH(Emissions!$D70,EF!$D$132:$D$147,0))*kgtoGg</f>
        <v>6.6163543298883465E-2</v>
      </c>
      <c r="S70" s="22">
        <f>INDEX('Activity data'!S$24:S$39,MATCH(Emissions!$D70,'Activity data'!$D$24:$D$39,0))*INDEX(EF!$H$84:$H$99,MATCH(Emissions!$D70,EF!$D$84:$D$99,0))*INDEX(EF!$H$100:$H$115,MATCH(Emissions!$D70,EF!$D$100:$D$115,0))*INDEX(EF!$H$132:$H$147,MATCH(Emissions!$D70,EF!$D$132:$D$147,0))*kgtoGg</f>
        <v>7.3647032038254498E-2</v>
      </c>
      <c r="T70" s="22">
        <f>INDEX('Activity data'!T$24:T$39,MATCH(Emissions!$D70,'Activity data'!$D$24:$D$39,0))*INDEX(EF!$H$84:$H$99,MATCH(Emissions!$D70,EF!$D$84:$D$99,0))*INDEX(EF!$H$100:$H$115,MATCH(Emissions!$D70,EF!$D$100:$D$115,0))*INDEX(EF!$H$132:$H$147,MATCH(Emissions!$D70,EF!$D$132:$D$147,0))*kgtoGg</f>
        <v>6.7351398654339173E-2</v>
      </c>
      <c r="U70" s="22">
        <f>INDEX('Activity data'!U$24:U$39,MATCH(Emissions!$D70,'Activity data'!$D$24:$D$39,0))*INDEX(EF!$H$84:$H$99,MATCH(Emissions!$D70,EF!$D$84:$D$99,0))*INDEX(EF!$H$100:$H$115,MATCH(Emissions!$D70,EF!$D$100:$D$115,0))*INDEX(EF!$H$132:$H$147,MATCH(Emissions!$D70,EF!$D$132:$D$147,0))*kgtoGg</f>
        <v>8.4931657915083808E-2</v>
      </c>
      <c r="V70" s="22">
        <f>INDEX('Activity data'!V$24:V$39,MATCH(Emissions!$D70,'Activity data'!$D$24:$D$39,0))*INDEX(EF!$H$84:$H$99,MATCH(Emissions!$D70,EF!$D$84:$D$99,0))*INDEX(EF!$H$100:$H$115,MATCH(Emissions!$D70,EF!$D$100:$D$115,0))*INDEX(EF!$H$132:$H$147,MATCH(Emissions!$D70,EF!$D$132:$D$147,0))*kgtoGg</f>
        <v>6.6401114369974604E-2</v>
      </c>
      <c r="W70" s="22">
        <f>INDEX('Activity data'!W$24:W$39,MATCH(Emissions!$D70,'Activity data'!$D$24:$D$39,0))*INDEX(EF!$H$84:$H$99,MATCH(Emissions!$D70,EF!$D$84:$D$99,0))*INDEX(EF!$H$100:$H$115,MATCH(Emissions!$D70,EF!$D$100:$D$115,0))*INDEX(EF!$H$132:$H$147,MATCH(Emissions!$D70,EF!$D$132:$D$147,0))*kgtoGg</f>
        <v>8.7307368625995224E-2</v>
      </c>
      <c r="X70" s="22">
        <f>INDEX('Activity data'!X$24:X$39,MATCH(Emissions!$D70,'Activity data'!$D$24:$D$39,0))*INDEX(EF!$H$84:$H$99,MATCH(Emissions!$D70,EF!$D$84:$D$99,0))*INDEX(EF!$H$100:$H$115,MATCH(Emissions!$D70,EF!$D$100:$D$115,0))*INDEX(EF!$H$132:$H$147,MATCH(Emissions!$D70,EF!$D$132:$D$147,0))*kgtoGg</f>
        <v>7.7923311317895039E-2</v>
      </c>
      <c r="Y70" s="22">
        <f>INDEX('Activity data'!Y$24:Y$39,MATCH(Emissions!$D70,'Activity data'!$D$24:$D$39,0))*INDEX(EF!$H$84:$H$99,MATCH(Emissions!$D70,EF!$D$84:$D$99,0))*INDEX(EF!$H$100:$H$115,MATCH(Emissions!$D70,EF!$D$100:$D$115,0))*INDEX(EF!$H$132:$H$147,MATCH(Emissions!$D70,EF!$D$132:$D$147,0))*kgtoGg</f>
        <v>0.10191798949810055</v>
      </c>
      <c r="Z70" s="22">
        <f>INDEX('Activity data'!Z$24:Z$39,MATCH(Emissions!$D70,'Activity data'!$D$24:$D$39,0))*INDEX(EF!$H$84:$H$99,MATCH(Emissions!$D70,EF!$D$84:$D$99,0))*INDEX(EF!$H$100:$H$115,MATCH(Emissions!$D70,EF!$D$100:$D$115,0))*INDEX(EF!$H$132:$H$147,MATCH(Emissions!$D70,EF!$D$132:$D$147,0))*kgtoGg</f>
        <v>8.5288014521720509E-2</v>
      </c>
      <c r="AA70" s="22">
        <f>INDEX('Activity data'!AA$24:AA$39,MATCH(Emissions!$D70,'Activity data'!$D$24:$D$39,0))*INDEX(EF!$H$84:$H$99,MATCH(Emissions!$D70,EF!$D$84:$D$99,0))*INDEX(EF!$H$100:$H$115,MATCH(Emissions!$D70,EF!$D$100:$D$115,0))*INDEX(EF!$H$132:$H$147,MATCH(Emissions!$D70,EF!$D$132:$D$147,0))*kgtoGg</f>
        <v>8.4100159166264801E-2</v>
      </c>
      <c r="AB70" s="22">
        <f>INDEX('Activity data'!AB$24:AB$39,MATCH(Emissions!$D70,'Activity data'!$D$24:$D$39,0))*INDEX(EF!$H$84:$H$99,MATCH(Emissions!$D70,EF!$D$84:$D$99,0))*INDEX(EF!$H$100:$H$115,MATCH(Emissions!$D70,EF!$D$100:$D$115,0))*INDEX(EF!$H$132:$H$147,MATCH(Emissions!$D70,EF!$D$132:$D$147,0))*kgtoGg</f>
        <v>6.8956842239999996E-2</v>
      </c>
      <c r="AC70" s="22">
        <f>INDEX('Activity data'!AC$24:AC$39,MATCH(Emissions!$D70,'Activity data'!$D$24:$D$39,0))*INDEX(EF!$H$84:$H$99,MATCH(Emissions!$D70,EF!$D$84:$D$99,0))*INDEX(EF!$H$100:$H$115,MATCH(Emissions!$D70,EF!$D$100:$D$115,0))*INDEX(EF!$H$132:$H$147,MATCH(Emissions!$D70,EF!$D$132:$D$147,0))*kgtoGg</f>
        <v>5.1697708920000009E-2</v>
      </c>
      <c r="AD70" s="22">
        <f>INDEX('Activity data'!AD$24:AD$39,MATCH(Emissions!$D70,'Activity data'!$D$24:$D$39,0))*INDEX(EF!$H$84:$H$99,MATCH(Emissions!$D70,EF!$D$84:$D$99,0))*INDEX(EF!$H$100:$H$115,MATCH(Emissions!$D70,EF!$D$100:$D$115,0))*INDEX(EF!$H$132:$H$147,MATCH(Emissions!$D70,EF!$D$132:$D$147,0))*kgtoGg</f>
        <v>6.9999126484672408E-2</v>
      </c>
      <c r="AE70" s="22">
        <f>INDEX('Activity data'!AE$24:AE$39,MATCH(Emissions!$D70,'Activity data'!$D$24:$D$39,0))*INDEX(EF!$H$84:$H$99,MATCH(Emissions!$D70,EF!$D$84:$D$99,0))*INDEX(EF!$H$100:$H$115,MATCH(Emissions!$D70,EF!$D$100:$D$115,0))*INDEX(EF!$H$132:$H$147,MATCH(Emissions!$D70,EF!$D$132:$D$147,0))*kgtoGg</f>
        <v>6.9969256669183813E-2</v>
      </c>
      <c r="AF70" s="22">
        <f>INDEX('Activity data'!AF$24:AF$39,MATCH(Emissions!$D70,'Activity data'!$D$24:$D$39,0))*INDEX(EF!$H$84:$H$99,MATCH(Emissions!$D70,EF!$D$84:$D$99,0))*INDEX(EF!$H$100:$H$115,MATCH(Emissions!$D70,EF!$D$100:$D$115,0))*INDEX(EF!$H$132:$H$147,MATCH(Emissions!$D70,EF!$D$132:$D$147,0))*kgtoGg</f>
        <v>6.9939386853695204E-2</v>
      </c>
      <c r="AG70" s="22">
        <f>INDEX('Activity data'!AG$24:AG$39,MATCH(Emissions!$D70,'Activity data'!$D$24:$D$39,0))*INDEX(EF!$H$84:$H$99,MATCH(Emissions!$D70,EF!$D$84:$D$99,0))*INDEX(EF!$H$100:$H$115,MATCH(Emissions!$D70,EF!$D$100:$D$115,0))*INDEX(EF!$H$132:$H$147,MATCH(Emissions!$D70,EF!$D$132:$D$147,0))*kgtoGg</f>
        <v>6.9909517038206595E-2</v>
      </c>
      <c r="AH70" s="22">
        <f>INDEX('Activity data'!AH$24:AH$39,MATCH(Emissions!$D70,'Activity data'!$D$24:$D$39,0))*INDEX(EF!$H$84:$H$99,MATCH(Emissions!$D70,EF!$D$84:$D$99,0))*INDEX(EF!$H$100:$H$115,MATCH(Emissions!$D70,EF!$D$100:$D$115,0))*INDEX(EF!$H$132:$H$147,MATCH(Emissions!$D70,EF!$D$132:$D$147,0))*kgtoGg</f>
        <v>6.9879647222718E-2</v>
      </c>
      <c r="AI70" s="22">
        <f>INDEX('Activity data'!AI$24:AI$39,MATCH(Emissions!$D70,'Activity data'!$D$24:$D$39,0))*INDEX(EF!$H$84:$H$99,MATCH(Emissions!$D70,EF!$D$84:$D$99,0))*INDEX(EF!$H$100:$H$115,MATCH(Emissions!$D70,EF!$D$100:$D$115,0))*INDEX(EF!$H$132:$H$147,MATCH(Emissions!$D70,EF!$D$132:$D$147,0))*kgtoGg</f>
        <v>6.9849777407229377E-2</v>
      </c>
      <c r="AJ70" s="22">
        <f>INDEX('Activity data'!AJ$24:AJ$39,MATCH(Emissions!$D70,'Activity data'!$D$24:$D$39,0))*INDEX(EF!$H$84:$H$99,MATCH(Emissions!$D70,EF!$D$84:$D$99,0))*INDEX(EF!$H$100:$H$115,MATCH(Emissions!$D70,EF!$D$100:$D$115,0))*INDEX(EF!$H$132:$H$147,MATCH(Emissions!$D70,EF!$D$132:$D$147,0))*kgtoGg</f>
        <v>6.9819907591740768E-2</v>
      </c>
      <c r="AK70" s="22">
        <f>INDEX('Activity data'!AK$24:AK$39,MATCH(Emissions!$D70,'Activity data'!$D$24:$D$39,0))*INDEX(EF!$H$84:$H$99,MATCH(Emissions!$D70,EF!$D$84:$D$99,0))*INDEX(EF!$H$100:$H$115,MATCH(Emissions!$D70,EF!$D$100:$D$115,0))*INDEX(EF!$H$132:$H$147,MATCH(Emissions!$D70,EF!$D$132:$D$147,0))*kgtoGg</f>
        <v>6.9790037776252159E-2</v>
      </c>
      <c r="AL70" s="22">
        <f>INDEX('Activity data'!AL$24:AL$39,MATCH(Emissions!$D70,'Activity data'!$D$24:$D$39,0))*INDEX(EF!$H$84:$H$99,MATCH(Emissions!$D70,EF!$D$84:$D$99,0))*INDEX(EF!$H$100:$H$115,MATCH(Emissions!$D70,EF!$D$100:$D$115,0))*INDEX(EF!$H$132:$H$147,MATCH(Emissions!$D70,EF!$D$132:$D$147,0))*kgtoGg</f>
        <v>6.9760167960763578E-2</v>
      </c>
      <c r="AM70" s="22">
        <f>INDEX('Activity data'!AM$24:AM$39,MATCH(Emissions!$D70,'Activity data'!$D$24:$D$39,0))*INDEX(EF!$H$84:$H$99,MATCH(Emissions!$D70,EF!$D$84:$D$99,0))*INDEX(EF!$H$100:$H$115,MATCH(Emissions!$D70,EF!$D$100:$D$115,0))*INDEX(EF!$H$132:$H$147,MATCH(Emissions!$D70,EF!$D$132:$D$147,0))*kgtoGg</f>
        <v>6.9730298145274969E-2</v>
      </c>
      <c r="AN70" s="22">
        <f>INDEX('Activity data'!AN$24:AN$39,MATCH(Emissions!$D70,'Activity data'!$D$24:$D$39,0))*INDEX(EF!$H$84:$H$99,MATCH(Emissions!$D70,EF!$D$84:$D$99,0))*INDEX(EF!$H$100:$H$115,MATCH(Emissions!$D70,EF!$D$100:$D$115,0))*INDEX(EF!$H$132:$H$147,MATCH(Emissions!$D70,EF!$D$132:$D$147,0))*kgtoGg</f>
        <v>6.9700428329786346E-2</v>
      </c>
      <c r="AO70" s="22">
        <f>INDEX('Activity data'!AO$24:AO$39,MATCH(Emissions!$D70,'Activity data'!$D$24:$D$39,0))*INDEX(EF!$H$84:$H$99,MATCH(Emissions!$D70,EF!$D$84:$D$99,0))*INDEX(EF!$H$100:$H$115,MATCH(Emissions!$D70,EF!$D$100:$D$115,0))*INDEX(EF!$H$132:$H$147,MATCH(Emissions!$D70,EF!$D$132:$D$147,0))*kgtoGg</f>
        <v>6.9670558514297751E-2</v>
      </c>
      <c r="AP70" s="22">
        <f>INDEX('Activity data'!AP$24:AP$39,MATCH(Emissions!$D70,'Activity data'!$D$24:$D$39,0))*INDEX(EF!$H$84:$H$99,MATCH(Emissions!$D70,EF!$D$84:$D$99,0))*INDEX(EF!$H$100:$H$115,MATCH(Emissions!$D70,EF!$D$100:$D$115,0))*INDEX(EF!$H$132:$H$147,MATCH(Emissions!$D70,EF!$D$132:$D$147,0))*kgtoGg</f>
        <v>6.9640688698809156E-2</v>
      </c>
      <c r="AQ70" s="22">
        <f>INDEX('Activity data'!AQ$24:AQ$39,MATCH(Emissions!$D70,'Activity data'!$D$24:$D$39,0))*INDEX(EF!$H$84:$H$99,MATCH(Emissions!$D70,EF!$D$84:$D$99,0))*INDEX(EF!$H$100:$H$115,MATCH(Emissions!$D70,EF!$D$100:$D$115,0))*INDEX(EF!$H$132:$H$147,MATCH(Emissions!$D70,EF!$D$132:$D$147,0))*kgtoGg</f>
        <v>6.9610818883320533E-2</v>
      </c>
      <c r="AR70" s="22">
        <f>INDEX('Activity data'!AR$24:AR$39,MATCH(Emissions!$D70,'Activity data'!$D$24:$D$39,0))*INDEX(EF!$H$84:$H$99,MATCH(Emissions!$D70,EF!$D$84:$D$99,0))*INDEX(EF!$H$100:$H$115,MATCH(Emissions!$D70,EF!$D$100:$D$115,0))*INDEX(EF!$H$132:$H$147,MATCH(Emissions!$D70,EF!$D$132:$D$147,0))*kgtoGg</f>
        <v>6.9580949067831938E-2</v>
      </c>
      <c r="AS70" s="22">
        <f>INDEX('Activity data'!AS$24:AS$39,MATCH(Emissions!$D70,'Activity data'!$D$24:$D$39,0))*INDEX(EF!$H$84:$H$99,MATCH(Emissions!$D70,EF!$D$84:$D$99,0))*INDEX(EF!$H$100:$H$115,MATCH(Emissions!$D70,EF!$D$100:$D$115,0))*INDEX(EF!$H$132:$H$147,MATCH(Emissions!$D70,EF!$D$132:$D$147,0))*kgtoGg</f>
        <v>6.9551079252343315E-2</v>
      </c>
      <c r="AT70" s="22">
        <f>INDEX('Activity data'!AT$24:AT$39,MATCH(Emissions!$D70,'Activity data'!$D$24:$D$39,0))*INDEX(EF!$H$84:$H$99,MATCH(Emissions!$D70,EF!$D$84:$D$99,0))*INDEX(EF!$H$100:$H$115,MATCH(Emissions!$D70,EF!$D$100:$D$115,0))*INDEX(EF!$H$132:$H$147,MATCH(Emissions!$D70,EF!$D$132:$D$147,0))*kgtoGg</f>
        <v>6.9521209436854706E-2</v>
      </c>
      <c r="AU70" s="22">
        <f>INDEX('Activity data'!AU$24:AU$39,MATCH(Emissions!$D70,'Activity data'!$D$24:$D$39,0))*INDEX(EF!$H$84:$H$99,MATCH(Emissions!$D70,EF!$D$84:$D$99,0))*INDEX(EF!$H$100:$H$115,MATCH(Emissions!$D70,EF!$D$100:$D$115,0))*INDEX(EF!$H$132:$H$147,MATCH(Emissions!$D70,EF!$D$132:$D$147,0))*kgtoGg</f>
        <v>6.9491339621366111E-2</v>
      </c>
      <c r="AV70" s="22">
        <f>INDEX('Activity data'!AV$24:AV$39,MATCH(Emissions!$D70,'Activity data'!$D$24:$D$39,0))*INDEX(EF!$H$84:$H$99,MATCH(Emissions!$D70,EF!$D$84:$D$99,0))*INDEX(EF!$H$100:$H$115,MATCH(Emissions!$D70,EF!$D$100:$D$115,0))*INDEX(EF!$H$132:$H$147,MATCH(Emissions!$D70,EF!$D$132:$D$147,0))*kgtoGg</f>
        <v>6.9461469805877502E-2</v>
      </c>
      <c r="AW70" s="22">
        <f>INDEX('Activity data'!AW$24:AW$39,MATCH(Emissions!$D70,'Activity data'!$D$24:$D$39,0))*INDEX(EF!$H$84:$H$99,MATCH(Emissions!$D70,EF!$D$84:$D$99,0))*INDEX(EF!$H$100:$H$115,MATCH(Emissions!$D70,EF!$D$100:$D$115,0))*INDEX(EF!$H$132:$H$147,MATCH(Emissions!$D70,EF!$D$132:$D$147,0))*kgtoGg</f>
        <v>6.9431599990388893E-2</v>
      </c>
      <c r="AX70" s="22">
        <f>INDEX('Activity data'!AX$24:AX$39,MATCH(Emissions!$D70,'Activity data'!$D$24:$D$39,0))*INDEX(EF!$H$84:$H$99,MATCH(Emissions!$D70,EF!$D$84:$D$99,0))*INDEX(EF!$H$100:$H$115,MATCH(Emissions!$D70,EF!$D$100:$D$115,0))*INDEX(EF!$H$132:$H$147,MATCH(Emissions!$D70,EF!$D$132:$D$147,0))*kgtoGg</f>
        <v>6.9401730174900297E-2</v>
      </c>
      <c r="AY70" s="22">
        <f>INDEX('Activity data'!AY$24:AY$39,MATCH(Emissions!$D70,'Activity data'!$D$24:$D$39,0))*INDEX(EF!$H$84:$H$99,MATCH(Emissions!$D70,EF!$D$84:$D$99,0))*INDEX(EF!$H$100:$H$115,MATCH(Emissions!$D70,EF!$D$100:$D$115,0))*INDEX(EF!$H$132:$H$147,MATCH(Emissions!$D70,EF!$D$132:$D$147,0))*kgtoGg</f>
        <v>6.9371860359411688E-2</v>
      </c>
      <c r="AZ70" s="22">
        <f>INDEX('Activity data'!AZ$24:AZ$39,MATCH(Emissions!$D70,'Activity data'!$D$24:$D$39,0))*INDEX(EF!$H$84:$H$99,MATCH(Emissions!$D70,EF!$D$84:$D$99,0))*INDEX(EF!$H$100:$H$115,MATCH(Emissions!$D70,EF!$D$100:$D$115,0))*INDEX(EF!$H$132:$H$147,MATCH(Emissions!$D70,EF!$D$132:$D$147,0))*kgtoGg</f>
        <v>6.9341990543923093E-2</v>
      </c>
      <c r="BA70" s="22">
        <f>INDEX('Activity data'!BA$24:BA$39,MATCH(Emissions!$D70,'Activity data'!$D$24:$D$39,0))*INDEX(EF!$H$84:$H$99,MATCH(Emissions!$D70,EF!$D$84:$D$99,0))*INDEX(EF!$H$100:$H$115,MATCH(Emissions!$D70,EF!$D$100:$D$115,0))*INDEX(EF!$H$132:$H$147,MATCH(Emissions!$D70,EF!$D$132:$D$147,0))*kgtoGg</f>
        <v>6.931212072843447E-2</v>
      </c>
      <c r="BB70" s="22">
        <f>INDEX('Activity data'!BB$24:BB$39,MATCH(Emissions!$D70,'Activity data'!$D$24:$D$39,0))*INDEX(EF!$H$84:$H$99,MATCH(Emissions!$D70,EF!$D$84:$D$99,0))*INDEX(EF!$H$100:$H$115,MATCH(Emissions!$D70,EF!$D$100:$D$115,0))*INDEX(EF!$H$132:$H$147,MATCH(Emissions!$D70,EF!$D$132:$D$147,0))*kgtoGg</f>
        <v>6.9282250912945875E-2</v>
      </c>
      <c r="BC70" s="22">
        <f>INDEX('Activity data'!BC$24:BC$39,MATCH(Emissions!$D70,'Activity data'!$D$24:$D$39,0))*INDEX(EF!$H$84:$H$99,MATCH(Emissions!$D70,EF!$D$84:$D$99,0))*INDEX(EF!$H$100:$H$115,MATCH(Emissions!$D70,EF!$D$100:$D$115,0))*INDEX(EF!$H$132:$H$147,MATCH(Emissions!$D70,EF!$D$132:$D$147,0))*kgtoGg</f>
        <v>6.9252381097457266E-2</v>
      </c>
      <c r="BD70" s="22">
        <f>INDEX('Activity data'!BD$24:BD$39,MATCH(Emissions!$D70,'Activity data'!$D$24:$D$39,0))*INDEX(EF!$H$84:$H$99,MATCH(Emissions!$D70,EF!$D$84:$D$99,0))*INDEX(EF!$H$100:$H$115,MATCH(Emissions!$D70,EF!$D$100:$D$115,0))*INDEX(EF!$H$132:$H$147,MATCH(Emissions!$D70,EF!$D$132:$D$147,0))*kgtoGg</f>
        <v>6.9222511281968643E-2</v>
      </c>
      <c r="BE70" s="22">
        <f>INDEX('Activity data'!BE$24:BE$39,MATCH(Emissions!$D70,'Activity data'!$D$24:$D$39,0))*INDEX(EF!$H$84:$H$99,MATCH(Emissions!$D70,EF!$D$84:$D$99,0))*INDEX(EF!$H$100:$H$115,MATCH(Emissions!$D70,EF!$D$100:$D$115,0))*INDEX(EF!$H$132:$H$147,MATCH(Emissions!$D70,EF!$D$132:$D$147,0))*kgtoGg</f>
        <v>6.9192641466480048E-2</v>
      </c>
      <c r="BF70" s="22">
        <f>INDEX('Activity data'!BF$24:BF$39,MATCH(Emissions!$D70,'Activity data'!$D$24:$D$39,0))*INDEX(EF!$H$84:$H$99,MATCH(Emissions!$D70,EF!$D$84:$D$99,0))*INDEX(EF!$H$100:$H$115,MATCH(Emissions!$D70,EF!$D$100:$D$115,0))*INDEX(EF!$H$132:$H$147,MATCH(Emissions!$D70,EF!$D$132:$D$147,0))*kgtoGg</f>
        <v>6.9162771650991453E-2</v>
      </c>
      <c r="BG70" s="22">
        <f>INDEX('Activity data'!BG$24:BG$39,MATCH(Emissions!$D70,'Activity data'!$D$24:$D$39,0))*INDEX(EF!$H$84:$H$99,MATCH(Emissions!$D70,EF!$D$84:$D$99,0))*INDEX(EF!$H$100:$H$115,MATCH(Emissions!$D70,EF!$D$100:$D$115,0))*INDEX(EF!$H$132:$H$147,MATCH(Emissions!$D70,EF!$D$132:$D$147,0))*kgtoGg</f>
        <v>6.913290183550283E-2</v>
      </c>
      <c r="BH70" s="22">
        <f>INDEX('Activity data'!BH$24:BH$39,MATCH(Emissions!$D70,'Activity data'!$D$24:$D$39,0))*INDEX(EF!$H$84:$H$99,MATCH(Emissions!$D70,EF!$D$84:$D$99,0))*INDEX(EF!$H$100:$H$115,MATCH(Emissions!$D70,EF!$D$100:$D$115,0))*INDEX(EF!$H$132:$H$147,MATCH(Emissions!$D70,EF!$D$132:$D$147,0))*kgtoGg</f>
        <v>6.9103032020014235E-2</v>
      </c>
      <c r="BI70" s="22">
        <f>INDEX('Activity data'!BI$24:BI$39,MATCH(Emissions!$D70,'Activity data'!$D$24:$D$39,0))*INDEX(EF!$H$84:$H$99,MATCH(Emissions!$D70,EF!$D$84:$D$99,0))*INDEX(EF!$H$100:$H$115,MATCH(Emissions!$D70,EF!$D$100:$D$115,0))*INDEX(EF!$H$132:$H$147,MATCH(Emissions!$D70,EF!$D$132:$D$147,0))*kgtoGg</f>
        <v>6.9073162204525626E-2</v>
      </c>
      <c r="BJ70" s="22">
        <f>INDEX('Activity data'!BJ$24:BJ$39,MATCH(Emissions!$D70,'Activity data'!$D$24:$D$39,0))*INDEX(EF!$H$84:$H$99,MATCH(Emissions!$D70,EF!$D$84:$D$99,0))*INDEX(EF!$H$100:$H$115,MATCH(Emissions!$D70,EF!$D$100:$D$115,0))*INDEX(EF!$H$132:$H$147,MATCH(Emissions!$D70,EF!$D$132:$D$147,0))*kgtoGg</f>
        <v>6.9043292389037031E-2</v>
      </c>
      <c r="BK70" s="22">
        <f>INDEX('Activity data'!BK$24:BK$39,MATCH(Emissions!$D70,'Activity data'!$D$24:$D$39,0))*INDEX(EF!$H$84:$H$99,MATCH(Emissions!$D70,EF!$D$84:$D$99,0))*INDEX(EF!$H$100:$H$115,MATCH(Emissions!$D70,EF!$D$100:$D$115,0))*INDEX(EF!$H$132:$H$147,MATCH(Emissions!$D70,EF!$D$132:$D$147,0))*kgtoGg</f>
        <v>6.9013422573548422E-2</v>
      </c>
      <c r="BL70" s="22">
        <f>INDEX('Activity data'!BL$24:BL$39,MATCH(Emissions!$D70,'Activity data'!$D$24:$D$39,0))*INDEX(EF!$H$84:$H$99,MATCH(Emissions!$D70,EF!$D$84:$D$99,0))*INDEX(EF!$H$100:$H$115,MATCH(Emissions!$D70,EF!$D$100:$D$115,0))*INDEX(EF!$H$132:$H$147,MATCH(Emissions!$D70,EF!$D$132:$D$147,0))*kgtoGg</f>
        <v>6.8983552758059813E-2</v>
      </c>
      <c r="BM70" s="22">
        <f>INDEX('Activity data'!BM$24:BM$39,MATCH(Emissions!$D70,'Activity data'!$D$24:$D$39,0))*INDEX(EF!$H$84:$H$99,MATCH(Emissions!$D70,EF!$D$84:$D$99,0))*INDEX(EF!$H$100:$H$115,MATCH(Emissions!$D70,EF!$D$100:$D$115,0))*INDEX(EF!$H$132:$H$147,MATCH(Emissions!$D70,EF!$D$132:$D$147,0))*kgtoGg</f>
        <v>6.8953682942571204E-2</v>
      </c>
      <c r="BN70" s="22">
        <f>INDEX('Activity data'!BN$24:BN$39,MATCH(Emissions!$D70,'Activity data'!$D$24:$D$39,0))*INDEX(EF!$H$84:$H$99,MATCH(Emissions!$D70,EF!$D$84:$D$99,0))*INDEX(EF!$H$100:$H$115,MATCH(Emissions!$D70,EF!$D$100:$D$115,0))*INDEX(EF!$H$132:$H$147,MATCH(Emissions!$D70,EF!$D$132:$D$147,0))*kgtoGg</f>
        <v>6.8923813127082581E-2</v>
      </c>
      <c r="BO70" s="22">
        <f>INDEX('Activity data'!BO$24:BO$39,MATCH(Emissions!$D70,'Activity data'!$D$24:$D$39,0))*INDEX(EF!$H$84:$H$99,MATCH(Emissions!$D70,EF!$D$84:$D$99,0))*INDEX(EF!$H$100:$H$115,MATCH(Emissions!$D70,EF!$D$100:$D$115,0))*INDEX(EF!$H$132:$H$147,MATCH(Emissions!$D70,EF!$D$132:$D$147,0))*kgtoGg</f>
        <v>6.8893943311593986E-2</v>
      </c>
      <c r="BP70" s="22">
        <f>INDEX('Activity data'!BP$24:BP$39,MATCH(Emissions!$D70,'Activity data'!$D$24:$D$39,0))*INDEX(EF!$H$84:$H$99,MATCH(Emissions!$D70,EF!$D$84:$D$99,0))*INDEX(EF!$H$100:$H$115,MATCH(Emissions!$D70,EF!$D$100:$D$115,0))*INDEX(EF!$H$132:$H$147,MATCH(Emissions!$D70,EF!$D$132:$D$147,0))*kgtoGg</f>
        <v>6.8864073496105391E-2</v>
      </c>
    </row>
    <row r="71" spans="1:68" x14ac:dyDescent="0.25">
      <c r="A71" t="str">
        <f t="shared" si="19"/>
        <v>3C Aggregated and non-CO2 emissions on land</v>
      </c>
      <c r="B71" t="str">
        <f>B70</f>
        <v>3C1 Biomass burning (N2O)</v>
      </c>
      <c r="C71" t="str">
        <f t="shared" ref="C71:C85" si="25">C55</f>
        <v>3C1a Biomass burning in forest land</v>
      </c>
      <c r="D71" t="str">
        <f>EF!D101</f>
        <v>Thickets</v>
      </c>
      <c r="E71" t="s">
        <v>642</v>
      </c>
      <c r="F71" t="str">
        <f>F70</f>
        <v>N2O</v>
      </c>
      <c r="G71" t="str">
        <f>G70</f>
        <v>Gg N2O</v>
      </c>
      <c r="H71" s="22">
        <f>INDEX('Activity data'!H$24:H$39,MATCH(Emissions!$D71,'Activity data'!$D$24:$D$39,0))*INDEX(EF!$H$84:$H$99,MATCH(Emissions!$D71,EF!$D$84:$D$99,0))*INDEX(EF!$H$100:$H$115,MATCH(Emissions!$D71,EF!$D$100:$D$115,0))*INDEX(EF!$H$132:$H$147,MATCH(Emissions!$D71,EF!$D$132:$D$147,0))*kgtoGg</f>
        <v>0.1386787051643949</v>
      </c>
      <c r="I71" s="22">
        <f>INDEX('Activity data'!I$24:I$39,MATCH(Emissions!$D71,'Activity data'!$D$24:$D$39,0))*INDEX(EF!$H$84:$H$99,MATCH(Emissions!$D71,EF!$D$84:$D$99,0))*INDEX(EF!$H$100:$H$115,MATCH(Emissions!$D71,EF!$D$100:$D$115,0))*INDEX(EF!$H$132:$H$147,MATCH(Emissions!$D71,EF!$D$132:$D$147,0))*kgtoGg</f>
        <v>0.1386787051643949</v>
      </c>
      <c r="J71" s="22">
        <f>INDEX('Activity data'!J$24:J$39,MATCH(Emissions!$D71,'Activity data'!$D$24:$D$39,0))*INDEX(EF!$H$84:$H$99,MATCH(Emissions!$D71,EF!$D$84:$D$99,0))*INDEX(EF!$H$100:$H$115,MATCH(Emissions!$D71,EF!$D$100:$D$115,0))*INDEX(EF!$H$132:$H$147,MATCH(Emissions!$D71,EF!$D$132:$D$147,0))*kgtoGg</f>
        <v>0.1386787051643949</v>
      </c>
      <c r="K71" s="22">
        <f>INDEX('Activity data'!K$24:K$39,MATCH(Emissions!$D71,'Activity data'!$D$24:$D$39,0))*INDEX(EF!$H$84:$H$99,MATCH(Emissions!$D71,EF!$D$84:$D$99,0))*INDEX(EF!$H$100:$H$115,MATCH(Emissions!$D71,EF!$D$100:$D$115,0))*INDEX(EF!$H$132:$H$147,MATCH(Emissions!$D71,EF!$D$132:$D$147,0))*kgtoGg</f>
        <v>0.1386787051643949</v>
      </c>
      <c r="L71" s="22">
        <f>INDEX('Activity data'!L$24:L$39,MATCH(Emissions!$D71,'Activity data'!$D$24:$D$39,0))*INDEX(EF!$H$84:$H$99,MATCH(Emissions!$D71,EF!$D$84:$D$99,0))*INDEX(EF!$H$100:$H$115,MATCH(Emissions!$D71,EF!$D$100:$D$115,0))*INDEX(EF!$H$132:$H$147,MATCH(Emissions!$D71,EF!$D$132:$D$147,0))*kgtoGg</f>
        <v>0.1386787051643949</v>
      </c>
      <c r="M71" s="22">
        <f>INDEX('Activity data'!M$24:M$39,MATCH(Emissions!$D71,'Activity data'!$D$24:$D$39,0))*INDEX(EF!$H$84:$H$99,MATCH(Emissions!$D71,EF!$D$84:$D$99,0))*INDEX(EF!$H$100:$H$115,MATCH(Emissions!$D71,EF!$D$100:$D$115,0))*INDEX(EF!$H$132:$H$147,MATCH(Emissions!$D71,EF!$D$132:$D$147,0))*kgtoGg</f>
        <v>0.1386787051643949</v>
      </c>
      <c r="N71" s="22">
        <f>INDEX('Activity data'!N$24:N$39,MATCH(Emissions!$D71,'Activity data'!$D$24:$D$39,0))*INDEX(EF!$H$84:$H$99,MATCH(Emissions!$D71,EF!$D$84:$D$99,0))*INDEX(EF!$H$100:$H$115,MATCH(Emissions!$D71,EF!$D$100:$D$115,0))*INDEX(EF!$H$132:$H$147,MATCH(Emissions!$D71,EF!$D$132:$D$147,0))*kgtoGg</f>
        <v>0.1386787051643949</v>
      </c>
      <c r="O71" s="22">
        <f>INDEX('Activity data'!O$24:O$39,MATCH(Emissions!$D71,'Activity data'!$D$24:$D$39,0))*INDEX(EF!$H$84:$H$99,MATCH(Emissions!$D71,EF!$D$84:$D$99,0))*INDEX(EF!$H$100:$H$115,MATCH(Emissions!$D71,EF!$D$100:$D$115,0))*INDEX(EF!$H$132:$H$147,MATCH(Emissions!$D71,EF!$D$132:$D$147,0))*kgtoGg</f>
        <v>0.1386787051643949</v>
      </c>
      <c r="P71" s="22">
        <f>INDEX('Activity data'!P$24:P$39,MATCH(Emissions!$D71,'Activity data'!$D$24:$D$39,0))*INDEX(EF!$H$84:$H$99,MATCH(Emissions!$D71,EF!$D$84:$D$99,0))*INDEX(EF!$H$100:$H$115,MATCH(Emissions!$D71,EF!$D$100:$D$115,0))*INDEX(EF!$H$132:$H$147,MATCH(Emissions!$D71,EF!$D$132:$D$147,0))*kgtoGg</f>
        <v>0.1386787051643949</v>
      </c>
      <c r="Q71" s="22">
        <f>INDEX('Activity data'!Q$24:Q$39,MATCH(Emissions!$D71,'Activity data'!$D$24:$D$39,0))*INDEX(EF!$H$84:$H$99,MATCH(Emissions!$D71,EF!$D$84:$D$99,0))*INDEX(EF!$H$100:$H$115,MATCH(Emissions!$D71,EF!$D$100:$D$115,0))*INDEX(EF!$H$132:$H$147,MATCH(Emissions!$D71,EF!$D$132:$D$147,0))*kgtoGg</f>
        <v>0.1386787051643949</v>
      </c>
      <c r="R71" s="22">
        <f>INDEX('Activity data'!R$24:R$39,MATCH(Emissions!$D71,'Activity data'!$D$24:$D$39,0))*INDEX(EF!$H$84:$H$99,MATCH(Emissions!$D71,EF!$D$84:$D$99,0))*INDEX(EF!$H$100:$H$115,MATCH(Emissions!$D71,EF!$D$100:$D$115,0))*INDEX(EF!$H$132:$H$147,MATCH(Emissions!$D71,EF!$D$132:$D$147,0))*kgtoGg</f>
        <v>0.14239374078639105</v>
      </c>
      <c r="S71" s="22">
        <f>INDEX('Activity data'!S$24:S$39,MATCH(Emissions!$D71,'Activity data'!$D$24:$D$39,0))*INDEX(EF!$H$84:$H$99,MATCH(Emissions!$D71,EF!$D$84:$D$99,0))*INDEX(EF!$H$100:$H$115,MATCH(Emissions!$D71,EF!$D$100:$D$115,0))*INDEX(EF!$H$132:$H$147,MATCH(Emissions!$D71,EF!$D$132:$D$147,0))*kgtoGg</f>
        <v>0.18074095126601653</v>
      </c>
      <c r="T71" s="22">
        <f>INDEX('Activity data'!T$24:T$39,MATCH(Emissions!$D71,'Activity data'!$D$24:$D$39,0))*INDEX(EF!$H$84:$H$99,MATCH(Emissions!$D71,EF!$D$84:$D$99,0))*INDEX(EF!$H$100:$H$115,MATCH(Emissions!$D71,EF!$D$100:$D$115,0))*INDEX(EF!$H$132:$H$147,MATCH(Emissions!$D71,EF!$D$132:$D$147,0))*kgtoGg</f>
        <v>0.16683350476872413</v>
      </c>
      <c r="U71" s="22">
        <f>INDEX('Activity data'!U$24:U$39,MATCH(Emissions!$D71,'Activity data'!$D$24:$D$39,0))*INDEX(EF!$H$84:$H$99,MATCH(Emissions!$D71,EF!$D$84:$D$99,0))*INDEX(EF!$H$100:$H$115,MATCH(Emissions!$D71,EF!$D$100:$D$115,0))*INDEX(EF!$H$132:$H$147,MATCH(Emissions!$D71,EF!$D$132:$D$147,0))*kgtoGg</f>
        <v>0.10026447084622828</v>
      </c>
      <c r="V71" s="22">
        <f>INDEX('Activity data'!V$24:V$39,MATCH(Emissions!$D71,'Activity data'!$D$24:$D$39,0))*INDEX(EF!$H$84:$H$99,MATCH(Emissions!$D71,EF!$D$84:$D$99,0))*INDEX(EF!$H$100:$H$115,MATCH(Emissions!$D71,EF!$D$100:$D$115,0))*INDEX(EF!$H$132:$H$147,MATCH(Emissions!$D71,EF!$D$132:$D$147,0))*kgtoGg</f>
        <v>0.10316085815461448</v>
      </c>
      <c r="W71" s="22">
        <f>INDEX('Activity data'!W$24:W$39,MATCH(Emissions!$D71,'Activity data'!$D$24:$D$39,0))*INDEX(EF!$H$84:$H$99,MATCH(Emissions!$D71,EF!$D$84:$D$99,0))*INDEX(EF!$H$100:$H$115,MATCH(Emissions!$D71,EF!$D$100:$D$115,0))*INDEX(EF!$H$132:$H$147,MATCH(Emissions!$D71,EF!$D$132:$D$147,0))*kgtoGg</f>
        <v>0.17717432557221868</v>
      </c>
      <c r="X71" s="22">
        <f>INDEX('Activity data'!X$24:X$39,MATCH(Emissions!$D71,'Activity data'!$D$24:$D$39,0))*INDEX(EF!$H$84:$H$99,MATCH(Emissions!$D71,EF!$D$84:$D$99,0))*INDEX(EF!$H$100:$H$115,MATCH(Emissions!$D71,EF!$D$100:$D$115,0))*INDEX(EF!$H$132:$H$147,MATCH(Emissions!$D71,EF!$D$132:$D$147,0))*kgtoGg</f>
        <v>0.14152402669103542</v>
      </c>
      <c r="Y71" s="22">
        <f>INDEX('Activity data'!Y$24:Y$39,MATCH(Emissions!$D71,'Activity data'!$D$24:$D$39,0))*INDEX(EF!$H$84:$H$99,MATCH(Emissions!$D71,EF!$D$84:$D$99,0))*INDEX(EF!$H$100:$H$115,MATCH(Emissions!$D71,EF!$D$100:$D$115,0))*INDEX(EF!$H$132:$H$147,MATCH(Emissions!$D71,EF!$D$132:$D$147,0))*kgtoGg</f>
        <v>0.16523769908917249</v>
      </c>
      <c r="Z71" s="22">
        <f>INDEX('Activity data'!Z$24:Z$39,MATCH(Emissions!$D71,'Activity data'!$D$24:$D$39,0))*INDEX(EF!$H$84:$H$99,MATCH(Emissions!$D71,EF!$D$84:$D$99,0))*INDEX(EF!$H$100:$H$115,MATCH(Emissions!$D71,EF!$D$100:$D$115,0))*INDEX(EF!$H$132:$H$147,MATCH(Emissions!$D71,EF!$D$132:$D$147,0))*kgtoGg</f>
        <v>0.18179418301452055</v>
      </c>
      <c r="AA71" s="22">
        <f>INDEX('Activity data'!AA$24:AA$39,MATCH(Emissions!$D71,'Activity data'!$D$24:$D$39,0))*INDEX(EF!$H$84:$H$99,MATCH(Emissions!$D71,EF!$D$84:$D$99,0))*INDEX(EF!$H$100:$H$115,MATCH(Emissions!$D71,EF!$D$100:$D$115,0))*INDEX(EF!$H$132:$H$147,MATCH(Emissions!$D71,EF!$D$132:$D$147,0))*kgtoGg</f>
        <v>0.13219654249405621</v>
      </c>
      <c r="AB71" s="22">
        <f>INDEX('Activity data'!AB$24:AB$39,MATCH(Emissions!$D71,'Activity data'!$D$24:$D$39,0))*INDEX(EF!$H$84:$H$99,MATCH(Emissions!$D71,EF!$D$84:$D$99,0))*INDEX(EF!$H$100:$H$115,MATCH(Emissions!$D71,EF!$D$100:$D$115,0))*INDEX(EF!$H$132:$H$147,MATCH(Emissions!$D71,EF!$D$132:$D$147,0))*kgtoGg</f>
        <v>0.16154291134799995</v>
      </c>
      <c r="AC71" s="22">
        <f>INDEX('Activity data'!AC$24:AC$39,MATCH(Emissions!$D71,'Activity data'!$D$24:$D$39,0))*INDEX(EF!$H$84:$H$99,MATCH(Emissions!$D71,EF!$D$84:$D$99,0))*INDEX(EF!$H$100:$H$115,MATCH(Emissions!$D71,EF!$D$100:$D$115,0))*INDEX(EF!$H$132:$H$147,MATCH(Emissions!$D71,EF!$D$132:$D$147,0))*kgtoGg</f>
        <v>0.12862987137000001</v>
      </c>
      <c r="AD71" s="22">
        <f>INDEX('Activity data'!AD$24:AD$39,MATCH(Emissions!$D71,'Activity data'!$D$24:$D$39,0))*INDEX(EF!$H$84:$H$99,MATCH(Emissions!$D71,EF!$D$84:$D$99,0))*INDEX(EF!$H$100:$H$115,MATCH(Emissions!$D71,EF!$D$100:$D$115,0))*INDEX(EF!$H$132:$H$147,MATCH(Emissions!$D71,EF!$D$132:$D$147,0))*kgtoGg</f>
        <v>0.1362211465996048</v>
      </c>
      <c r="AE71" s="22">
        <f>INDEX('Activity data'!AE$24:AE$39,MATCH(Emissions!$D71,'Activity data'!$D$24:$D$39,0))*INDEX(EF!$H$84:$H$99,MATCH(Emissions!$D71,EF!$D$84:$D$99,0))*INDEX(EF!$H$100:$H$115,MATCH(Emissions!$D71,EF!$D$100:$D$115,0))*INDEX(EF!$H$132:$H$147,MATCH(Emissions!$D71,EF!$D$132:$D$147,0))*kgtoGg</f>
        <v>0.13600546655871854</v>
      </c>
      <c r="AF71" s="22">
        <f>INDEX('Activity data'!AF$24:AF$39,MATCH(Emissions!$D71,'Activity data'!$D$24:$D$39,0))*INDEX(EF!$H$84:$H$99,MATCH(Emissions!$D71,EF!$D$84:$D$99,0))*INDEX(EF!$H$100:$H$115,MATCH(Emissions!$D71,EF!$D$100:$D$115,0))*INDEX(EF!$H$132:$H$147,MATCH(Emissions!$D71,EF!$D$132:$D$147,0))*kgtoGg</f>
        <v>0.13578978651783222</v>
      </c>
      <c r="AG71" s="22">
        <f>INDEX('Activity data'!AG$24:AG$39,MATCH(Emissions!$D71,'Activity data'!$D$24:$D$39,0))*INDEX(EF!$H$84:$H$99,MATCH(Emissions!$D71,EF!$D$84:$D$99,0))*INDEX(EF!$H$100:$H$115,MATCH(Emissions!$D71,EF!$D$100:$D$115,0))*INDEX(EF!$H$132:$H$147,MATCH(Emissions!$D71,EF!$D$132:$D$147,0))*kgtoGg</f>
        <v>0.13557410647694595</v>
      </c>
      <c r="AH71" s="22">
        <f>INDEX('Activity data'!AH$24:AH$39,MATCH(Emissions!$D71,'Activity data'!$D$24:$D$39,0))*INDEX(EF!$H$84:$H$99,MATCH(Emissions!$D71,EF!$D$84:$D$99,0))*INDEX(EF!$H$100:$H$115,MATCH(Emissions!$D71,EF!$D$100:$D$115,0))*INDEX(EF!$H$132:$H$147,MATCH(Emissions!$D71,EF!$D$132:$D$147,0))*kgtoGg</f>
        <v>0.13535842643605966</v>
      </c>
      <c r="AI71" s="22">
        <f>INDEX('Activity data'!AI$24:AI$39,MATCH(Emissions!$D71,'Activity data'!$D$24:$D$39,0))*INDEX(EF!$H$84:$H$99,MATCH(Emissions!$D71,EF!$D$84:$D$99,0))*INDEX(EF!$H$100:$H$115,MATCH(Emissions!$D71,EF!$D$100:$D$115,0))*INDEX(EF!$H$132:$H$147,MATCH(Emissions!$D71,EF!$D$132:$D$147,0))*kgtoGg</f>
        <v>0.13514274639517335</v>
      </c>
      <c r="AJ71" s="22">
        <f>INDEX('Activity data'!AJ$24:AJ$39,MATCH(Emissions!$D71,'Activity data'!$D$24:$D$39,0))*INDEX(EF!$H$84:$H$99,MATCH(Emissions!$D71,EF!$D$84:$D$99,0))*INDEX(EF!$H$100:$H$115,MATCH(Emissions!$D71,EF!$D$100:$D$115,0))*INDEX(EF!$H$132:$H$147,MATCH(Emissions!$D71,EF!$D$132:$D$147,0))*kgtoGg</f>
        <v>0.13492706635428708</v>
      </c>
      <c r="AK71" s="22">
        <f>INDEX('Activity data'!AK$24:AK$39,MATCH(Emissions!$D71,'Activity data'!$D$24:$D$39,0))*INDEX(EF!$H$84:$H$99,MATCH(Emissions!$D71,EF!$D$84:$D$99,0))*INDEX(EF!$H$100:$H$115,MATCH(Emissions!$D71,EF!$D$100:$D$115,0))*INDEX(EF!$H$132:$H$147,MATCH(Emissions!$D71,EF!$D$132:$D$147,0))*kgtoGg</f>
        <v>0.13471138631340079</v>
      </c>
      <c r="AL71" s="22">
        <f>INDEX('Activity data'!AL$24:AL$39,MATCH(Emissions!$D71,'Activity data'!$D$24:$D$39,0))*INDEX(EF!$H$84:$H$99,MATCH(Emissions!$D71,EF!$D$84:$D$99,0))*INDEX(EF!$H$100:$H$115,MATCH(Emissions!$D71,EF!$D$100:$D$115,0))*INDEX(EF!$H$132:$H$147,MATCH(Emissions!$D71,EF!$D$132:$D$147,0))*kgtoGg</f>
        <v>0.13449570627251453</v>
      </c>
      <c r="AM71" s="22">
        <f>INDEX('Activity data'!AM$24:AM$39,MATCH(Emissions!$D71,'Activity data'!$D$24:$D$39,0))*INDEX(EF!$H$84:$H$99,MATCH(Emissions!$D71,EF!$D$84:$D$99,0))*INDEX(EF!$H$100:$H$115,MATCH(Emissions!$D71,EF!$D$100:$D$115,0))*INDEX(EF!$H$132:$H$147,MATCH(Emissions!$D71,EF!$D$132:$D$147,0))*kgtoGg</f>
        <v>0.13428002623162824</v>
      </c>
      <c r="AN71" s="22">
        <f>INDEX('Activity data'!AN$24:AN$39,MATCH(Emissions!$D71,'Activity data'!$D$24:$D$39,0))*INDEX(EF!$H$84:$H$99,MATCH(Emissions!$D71,EF!$D$84:$D$99,0))*INDEX(EF!$H$100:$H$115,MATCH(Emissions!$D71,EF!$D$100:$D$115,0))*INDEX(EF!$H$132:$H$147,MATCH(Emissions!$D71,EF!$D$132:$D$147,0))*kgtoGg</f>
        <v>0.13406434619074192</v>
      </c>
      <c r="AO71" s="22">
        <f>INDEX('Activity data'!AO$24:AO$39,MATCH(Emissions!$D71,'Activity data'!$D$24:$D$39,0))*INDEX(EF!$H$84:$H$99,MATCH(Emissions!$D71,EF!$D$84:$D$99,0))*INDEX(EF!$H$100:$H$115,MATCH(Emissions!$D71,EF!$D$100:$D$115,0))*INDEX(EF!$H$132:$H$147,MATCH(Emissions!$D71,EF!$D$132:$D$147,0))*kgtoGg</f>
        <v>0.13384866614985566</v>
      </c>
      <c r="AP71" s="22">
        <f>INDEX('Activity data'!AP$24:AP$39,MATCH(Emissions!$D71,'Activity data'!$D$24:$D$39,0))*INDEX(EF!$H$84:$H$99,MATCH(Emissions!$D71,EF!$D$84:$D$99,0))*INDEX(EF!$H$100:$H$115,MATCH(Emissions!$D71,EF!$D$100:$D$115,0))*INDEX(EF!$H$132:$H$147,MATCH(Emissions!$D71,EF!$D$132:$D$147,0))*kgtoGg</f>
        <v>0.1336329861089694</v>
      </c>
      <c r="AQ71" s="22">
        <f>INDEX('Activity data'!AQ$24:AQ$39,MATCH(Emissions!$D71,'Activity data'!$D$24:$D$39,0))*INDEX(EF!$H$84:$H$99,MATCH(Emissions!$D71,EF!$D$84:$D$99,0))*INDEX(EF!$H$100:$H$115,MATCH(Emissions!$D71,EF!$D$100:$D$115,0))*INDEX(EF!$H$132:$H$147,MATCH(Emissions!$D71,EF!$D$132:$D$147,0))*kgtoGg</f>
        <v>0.13341730606808308</v>
      </c>
      <c r="AR71" s="22">
        <f>INDEX('Activity data'!AR$24:AR$39,MATCH(Emissions!$D71,'Activity data'!$D$24:$D$39,0))*INDEX(EF!$H$84:$H$99,MATCH(Emissions!$D71,EF!$D$84:$D$99,0))*INDEX(EF!$H$100:$H$115,MATCH(Emissions!$D71,EF!$D$100:$D$115,0))*INDEX(EF!$H$132:$H$147,MATCH(Emissions!$D71,EF!$D$132:$D$147,0))*kgtoGg</f>
        <v>0.13320162602719682</v>
      </c>
      <c r="AS71" s="22">
        <f>INDEX('Activity data'!AS$24:AS$39,MATCH(Emissions!$D71,'Activity data'!$D$24:$D$39,0))*INDEX(EF!$H$84:$H$99,MATCH(Emissions!$D71,EF!$D$84:$D$99,0))*INDEX(EF!$H$100:$H$115,MATCH(Emissions!$D71,EF!$D$100:$D$115,0))*INDEX(EF!$H$132:$H$147,MATCH(Emissions!$D71,EF!$D$132:$D$147,0))*kgtoGg</f>
        <v>0.1329859459863105</v>
      </c>
      <c r="AT71" s="22">
        <f>INDEX('Activity data'!AT$24:AT$39,MATCH(Emissions!$D71,'Activity data'!$D$24:$D$39,0))*INDEX(EF!$H$84:$H$99,MATCH(Emissions!$D71,EF!$D$84:$D$99,0))*INDEX(EF!$H$100:$H$115,MATCH(Emissions!$D71,EF!$D$100:$D$115,0))*INDEX(EF!$H$132:$H$147,MATCH(Emissions!$D71,EF!$D$132:$D$147,0))*kgtoGg</f>
        <v>0.13277026594542424</v>
      </c>
      <c r="AU71" s="22">
        <f>INDEX('Activity data'!AU$24:AU$39,MATCH(Emissions!$D71,'Activity data'!$D$24:$D$39,0))*INDEX(EF!$H$84:$H$99,MATCH(Emissions!$D71,EF!$D$84:$D$99,0))*INDEX(EF!$H$100:$H$115,MATCH(Emissions!$D71,EF!$D$100:$D$115,0))*INDEX(EF!$H$132:$H$147,MATCH(Emissions!$D71,EF!$D$132:$D$147,0))*kgtoGg</f>
        <v>0.13255458590453795</v>
      </c>
      <c r="AV71" s="22">
        <f>INDEX('Activity data'!AV$24:AV$39,MATCH(Emissions!$D71,'Activity data'!$D$24:$D$39,0))*INDEX(EF!$H$84:$H$99,MATCH(Emissions!$D71,EF!$D$84:$D$99,0))*INDEX(EF!$H$100:$H$115,MATCH(Emissions!$D71,EF!$D$100:$D$115,0))*INDEX(EF!$H$132:$H$147,MATCH(Emissions!$D71,EF!$D$132:$D$147,0))*kgtoGg</f>
        <v>0.13233890586365168</v>
      </c>
      <c r="AW71" s="22">
        <f>INDEX('Activity data'!AW$24:AW$39,MATCH(Emissions!$D71,'Activity data'!$D$24:$D$39,0))*INDEX(EF!$H$84:$H$99,MATCH(Emissions!$D71,EF!$D$84:$D$99,0))*INDEX(EF!$H$100:$H$115,MATCH(Emissions!$D71,EF!$D$100:$D$115,0))*INDEX(EF!$H$132:$H$147,MATCH(Emissions!$D71,EF!$D$132:$D$147,0))*kgtoGg</f>
        <v>0.13212322582276539</v>
      </c>
      <c r="AX71" s="22">
        <f>INDEX('Activity data'!AX$24:AX$39,MATCH(Emissions!$D71,'Activity data'!$D$24:$D$39,0))*INDEX(EF!$H$84:$H$99,MATCH(Emissions!$D71,EF!$D$84:$D$99,0))*INDEX(EF!$H$100:$H$115,MATCH(Emissions!$D71,EF!$D$100:$D$115,0))*INDEX(EF!$H$132:$H$147,MATCH(Emissions!$D71,EF!$D$132:$D$147,0))*kgtoGg</f>
        <v>0.1319075457818791</v>
      </c>
      <c r="AY71" s="22">
        <f>INDEX('Activity data'!AY$24:AY$39,MATCH(Emissions!$D71,'Activity data'!$D$24:$D$39,0))*INDEX(EF!$H$84:$H$99,MATCH(Emissions!$D71,EF!$D$84:$D$99,0))*INDEX(EF!$H$100:$H$115,MATCH(Emissions!$D71,EF!$D$100:$D$115,0))*INDEX(EF!$H$132:$H$147,MATCH(Emissions!$D71,EF!$D$132:$D$147,0))*kgtoGg</f>
        <v>0.13169186574099281</v>
      </c>
      <c r="AZ71" s="22">
        <f>INDEX('Activity data'!AZ$24:AZ$39,MATCH(Emissions!$D71,'Activity data'!$D$24:$D$39,0))*INDEX(EF!$H$84:$H$99,MATCH(Emissions!$D71,EF!$D$84:$D$99,0))*INDEX(EF!$H$100:$H$115,MATCH(Emissions!$D71,EF!$D$100:$D$115,0))*INDEX(EF!$H$132:$H$147,MATCH(Emissions!$D71,EF!$D$132:$D$147,0))*kgtoGg</f>
        <v>0.13147618570010652</v>
      </c>
      <c r="BA71" s="22">
        <f>INDEX('Activity data'!BA$24:BA$39,MATCH(Emissions!$D71,'Activity data'!$D$24:$D$39,0))*INDEX(EF!$H$84:$H$99,MATCH(Emissions!$D71,EF!$D$84:$D$99,0))*INDEX(EF!$H$100:$H$115,MATCH(Emissions!$D71,EF!$D$100:$D$115,0))*INDEX(EF!$H$132:$H$147,MATCH(Emissions!$D71,EF!$D$132:$D$147,0))*kgtoGg</f>
        <v>0.13126050565922026</v>
      </c>
      <c r="BB71" s="22">
        <f>INDEX('Activity data'!BB$24:BB$39,MATCH(Emissions!$D71,'Activity data'!$D$24:$D$39,0))*INDEX(EF!$H$84:$H$99,MATCH(Emissions!$D71,EF!$D$84:$D$99,0))*INDEX(EF!$H$100:$H$115,MATCH(Emissions!$D71,EF!$D$100:$D$115,0))*INDEX(EF!$H$132:$H$147,MATCH(Emissions!$D71,EF!$D$132:$D$147,0))*kgtoGg</f>
        <v>0.13104482561833397</v>
      </c>
      <c r="BC71" s="22">
        <f>INDEX('Activity data'!BC$24:BC$39,MATCH(Emissions!$D71,'Activity data'!$D$24:$D$39,0))*INDEX(EF!$H$84:$H$99,MATCH(Emissions!$D71,EF!$D$84:$D$99,0))*INDEX(EF!$H$100:$H$115,MATCH(Emissions!$D71,EF!$D$100:$D$115,0))*INDEX(EF!$H$132:$H$147,MATCH(Emissions!$D71,EF!$D$132:$D$147,0))*kgtoGg</f>
        <v>0.13082914557744768</v>
      </c>
      <c r="BD71" s="22">
        <f>INDEX('Activity data'!BD$24:BD$39,MATCH(Emissions!$D71,'Activity data'!$D$24:$D$39,0))*INDEX(EF!$H$84:$H$99,MATCH(Emissions!$D71,EF!$D$84:$D$99,0))*INDEX(EF!$H$100:$H$115,MATCH(Emissions!$D71,EF!$D$100:$D$115,0))*INDEX(EF!$H$132:$H$147,MATCH(Emissions!$D71,EF!$D$132:$D$147,0))*kgtoGg</f>
        <v>0.13061346553656142</v>
      </c>
      <c r="BE71" s="22">
        <f>INDEX('Activity data'!BE$24:BE$39,MATCH(Emissions!$D71,'Activity data'!$D$24:$D$39,0))*INDEX(EF!$H$84:$H$99,MATCH(Emissions!$D71,EF!$D$84:$D$99,0))*INDEX(EF!$H$100:$H$115,MATCH(Emissions!$D71,EF!$D$100:$D$115,0))*INDEX(EF!$H$132:$H$147,MATCH(Emissions!$D71,EF!$D$132:$D$147,0))*kgtoGg</f>
        <v>0.13039778549567513</v>
      </c>
      <c r="BF71" s="22">
        <f>INDEX('Activity data'!BF$24:BF$39,MATCH(Emissions!$D71,'Activity data'!$D$24:$D$39,0))*INDEX(EF!$H$84:$H$99,MATCH(Emissions!$D71,EF!$D$84:$D$99,0))*INDEX(EF!$H$100:$H$115,MATCH(Emissions!$D71,EF!$D$100:$D$115,0))*INDEX(EF!$H$132:$H$147,MATCH(Emissions!$D71,EF!$D$132:$D$147,0))*kgtoGg</f>
        <v>0.13018210545478884</v>
      </c>
      <c r="BG71" s="22">
        <f>INDEX('Activity data'!BG$24:BG$39,MATCH(Emissions!$D71,'Activity data'!$D$24:$D$39,0))*INDEX(EF!$H$84:$H$99,MATCH(Emissions!$D71,EF!$D$84:$D$99,0))*INDEX(EF!$H$100:$H$115,MATCH(Emissions!$D71,EF!$D$100:$D$115,0))*INDEX(EF!$H$132:$H$147,MATCH(Emissions!$D71,EF!$D$132:$D$147,0))*kgtoGg</f>
        <v>0.12996642541390255</v>
      </c>
      <c r="BH71" s="22">
        <f>INDEX('Activity data'!BH$24:BH$39,MATCH(Emissions!$D71,'Activity data'!$D$24:$D$39,0))*INDEX(EF!$H$84:$H$99,MATCH(Emissions!$D71,EF!$D$84:$D$99,0))*INDEX(EF!$H$100:$H$115,MATCH(Emissions!$D71,EF!$D$100:$D$115,0))*INDEX(EF!$H$132:$H$147,MATCH(Emissions!$D71,EF!$D$132:$D$147,0))*kgtoGg</f>
        <v>0.12975074537301626</v>
      </c>
      <c r="BI71" s="22">
        <f>INDEX('Activity data'!BI$24:BI$39,MATCH(Emissions!$D71,'Activity data'!$D$24:$D$39,0))*INDEX(EF!$H$84:$H$99,MATCH(Emissions!$D71,EF!$D$84:$D$99,0))*INDEX(EF!$H$100:$H$115,MATCH(Emissions!$D71,EF!$D$100:$D$115,0))*INDEX(EF!$H$132:$H$147,MATCH(Emissions!$D71,EF!$D$132:$D$147,0))*kgtoGg</f>
        <v>0.12953506533212999</v>
      </c>
      <c r="BJ71" s="22">
        <f>INDEX('Activity data'!BJ$24:BJ$39,MATCH(Emissions!$D71,'Activity data'!$D$24:$D$39,0))*INDEX(EF!$H$84:$H$99,MATCH(Emissions!$D71,EF!$D$84:$D$99,0))*INDEX(EF!$H$100:$H$115,MATCH(Emissions!$D71,EF!$D$100:$D$115,0))*INDEX(EF!$H$132:$H$147,MATCH(Emissions!$D71,EF!$D$132:$D$147,0))*kgtoGg</f>
        <v>0.12931938529124368</v>
      </c>
      <c r="BK71" s="22">
        <f>INDEX('Activity data'!BK$24:BK$39,MATCH(Emissions!$D71,'Activity data'!$D$24:$D$39,0))*INDEX(EF!$H$84:$H$99,MATCH(Emissions!$D71,EF!$D$84:$D$99,0))*INDEX(EF!$H$100:$H$115,MATCH(Emissions!$D71,EF!$D$100:$D$115,0))*INDEX(EF!$H$132:$H$147,MATCH(Emissions!$D71,EF!$D$132:$D$147,0))*kgtoGg</f>
        <v>0.12910370525035741</v>
      </c>
      <c r="BL71" s="22">
        <f>INDEX('Activity data'!BL$24:BL$39,MATCH(Emissions!$D71,'Activity data'!$D$24:$D$39,0))*INDEX(EF!$H$84:$H$99,MATCH(Emissions!$D71,EF!$D$84:$D$99,0))*INDEX(EF!$H$100:$H$115,MATCH(Emissions!$D71,EF!$D$100:$D$115,0))*INDEX(EF!$H$132:$H$147,MATCH(Emissions!$D71,EF!$D$132:$D$147,0))*kgtoGg</f>
        <v>0.12888802520947112</v>
      </c>
      <c r="BM71" s="22">
        <f>INDEX('Activity data'!BM$24:BM$39,MATCH(Emissions!$D71,'Activity data'!$D$24:$D$39,0))*INDEX(EF!$H$84:$H$99,MATCH(Emissions!$D71,EF!$D$84:$D$99,0))*INDEX(EF!$H$100:$H$115,MATCH(Emissions!$D71,EF!$D$100:$D$115,0))*INDEX(EF!$H$132:$H$147,MATCH(Emissions!$D71,EF!$D$132:$D$147,0))*kgtoGg</f>
        <v>0.12867234516858483</v>
      </c>
      <c r="BN71" s="22">
        <f>INDEX('Activity data'!BN$24:BN$39,MATCH(Emissions!$D71,'Activity data'!$D$24:$D$39,0))*INDEX(EF!$H$84:$H$99,MATCH(Emissions!$D71,EF!$D$84:$D$99,0))*INDEX(EF!$H$100:$H$115,MATCH(Emissions!$D71,EF!$D$100:$D$115,0))*INDEX(EF!$H$132:$H$147,MATCH(Emissions!$D71,EF!$D$132:$D$147,0))*kgtoGg</f>
        <v>0.12845666512769857</v>
      </c>
      <c r="BO71" s="22">
        <f>INDEX('Activity data'!BO$24:BO$39,MATCH(Emissions!$D71,'Activity data'!$D$24:$D$39,0))*INDEX(EF!$H$84:$H$99,MATCH(Emissions!$D71,EF!$D$84:$D$99,0))*INDEX(EF!$H$100:$H$115,MATCH(Emissions!$D71,EF!$D$100:$D$115,0))*INDEX(EF!$H$132:$H$147,MATCH(Emissions!$D71,EF!$D$132:$D$147,0))*kgtoGg</f>
        <v>0.12824098508681228</v>
      </c>
      <c r="BP71" s="22">
        <f>INDEX('Activity data'!BP$24:BP$39,MATCH(Emissions!$D71,'Activity data'!$D$24:$D$39,0))*INDEX(EF!$H$84:$H$99,MATCH(Emissions!$D71,EF!$D$84:$D$99,0))*INDEX(EF!$H$100:$H$115,MATCH(Emissions!$D71,EF!$D$100:$D$115,0))*INDEX(EF!$H$132:$H$147,MATCH(Emissions!$D71,EF!$D$132:$D$147,0))*kgtoGg</f>
        <v>0.12802530504592599</v>
      </c>
    </row>
    <row r="72" spans="1:68" x14ac:dyDescent="0.25">
      <c r="A72" t="str">
        <f t="shared" si="19"/>
        <v>3C Aggregated and non-CO2 emissions on land</v>
      </c>
      <c r="B72" t="str">
        <f t="shared" ref="B72:B85" si="26">B71</f>
        <v>3C1 Biomass burning (N2O)</v>
      </c>
      <c r="C72" t="str">
        <f t="shared" si="25"/>
        <v>3C1a Biomass burning in forest land</v>
      </c>
      <c r="D72" t="str">
        <f>EF!D102</f>
        <v>Woodlands</v>
      </c>
      <c r="E72" t="s">
        <v>643</v>
      </c>
      <c r="F72" t="str">
        <f t="shared" ref="F72:F85" si="27">F71</f>
        <v>N2O</v>
      </c>
      <c r="G72" t="str">
        <f t="shared" ref="G72:G85" si="28">G71</f>
        <v>Gg N2O</v>
      </c>
      <c r="H72" s="22">
        <f>INDEX('Activity data'!H$24:H$39,MATCH(Emissions!$D72,'Activity data'!$D$24:$D$39,0))*INDEX(EF!$H$84:$H$99,MATCH(Emissions!$D72,EF!$D$84:$D$99,0))*INDEX(EF!$H$100:$H$115,MATCH(Emissions!$D72,EF!$D$100:$D$115,0))*INDEX(EF!$H$132:$H$147,MATCH(Emissions!$D72,EF!$D$132:$D$147,0))*kgtoGg</f>
        <v>0.51615689922073593</v>
      </c>
      <c r="I72" s="22">
        <f>INDEX('Activity data'!I$24:I$39,MATCH(Emissions!$D72,'Activity data'!$D$24:$D$39,0))*INDEX(EF!$H$84:$H$99,MATCH(Emissions!$D72,EF!$D$84:$D$99,0))*INDEX(EF!$H$100:$H$115,MATCH(Emissions!$D72,EF!$D$100:$D$115,0))*INDEX(EF!$H$132:$H$147,MATCH(Emissions!$D72,EF!$D$132:$D$147,0))*kgtoGg</f>
        <v>0.51615689922073593</v>
      </c>
      <c r="J72" s="22">
        <f>INDEX('Activity data'!J$24:J$39,MATCH(Emissions!$D72,'Activity data'!$D$24:$D$39,0))*INDEX(EF!$H$84:$H$99,MATCH(Emissions!$D72,EF!$D$84:$D$99,0))*INDEX(EF!$H$100:$H$115,MATCH(Emissions!$D72,EF!$D$100:$D$115,0))*INDEX(EF!$H$132:$H$147,MATCH(Emissions!$D72,EF!$D$132:$D$147,0))*kgtoGg</f>
        <v>0.51615689922073593</v>
      </c>
      <c r="K72" s="22">
        <f>INDEX('Activity data'!K$24:K$39,MATCH(Emissions!$D72,'Activity data'!$D$24:$D$39,0))*INDEX(EF!$H$84:$H$99,MATCH(Emissions!$D72,EF!$D$84:$D$99,0))*INDEX(EF!$H$100:$H$115,MATCH(Emissions!$D72,EF!$D$100:$D$115,0))*INDEX(EF!$H$132:$H$147,MATCH(Emissions!$D72,EF!$D$132:$D$147,0))*kgtoGg</f>
        <v>0.51615689922073593</v>
      </c>
      <c r="L72" s="22">
        <f>INDEX('Activity data'!L$24:L$39,MATCH(Emissions!$D72,'Activity data'!$D$24:$D$39,0))*INDEX(EF!$H$84:$H$99,MATCH(Emissions!$D72,EF!$D$84:$D$99,0))*INDEX(EF!$H$100:$H$115,MATCH(Emissions!$D72,EF!$D$100:$D$115,0))*INDEX(EF!$H$132:$H$147,MATCH(Emissions!$D72,EF!$D$132:$D$147,0))*kgtoGg</f>
        <v>0.51615689922073593</v>
      </c>
      <c r="M72" s="22">
        <f>INDEX('Activity data'!M$24:M$39,MATCH(Emissions!$D72,'Activity data'!$D$24:$D$39,0))*INDEX(EF!$H$84:$H$99,MATCH(Emissions!$D72,EF!$D$84:$D$99,0))*INDEX(EF!$H$100:$H$115,MATCH(Emissions!$D72,EF!$D$100:$D$115,0))*INDEX(EF!$H$132:$H$147,MATCH(Emissions!$D72,EF!$D$132:$D$147,0))*kgtoGg</f>
        <v>0.51615689922073593</v>
      </c>
      <c r="N72" s="22">
        <f>INDEX('Activity data'!N$24:N$39,MATCH(Emissions!$D72,'Activity data'!$D$24:$D$39,0))*INDEX(EF!$H$84:$H$99,MATCH(Emissions!$D72,EF!$D$84:$D$99,0))*INDEX(EF!$H$100:$H$115,MATCH(Emissions!$D72,EF!$D$100:$D$115,0))*INDEX(EF!$H$132:$H$147,MATCH(Emissions!$D72,EF!$D$132:$D$147,0))*kgtoGg</f>
        <v>0.51615689922073593</v>
      </c>
      <c r="O72" s="22">
        <f>INDEX('Activity data'!O$24:O$39,MATCH(Emissions!$D72,'Activity data'!$D$24:$D$39,0))*INDEX(EF!$H$84:$H$99,MATCH(Emissions!$D72,EF!$D$84:$D$99,0))*INDEX(EF!$H$100:$H$115,MATCH(Emissions!$D72,EF!$D$100:$D$115,0))*INDEX(EF!$H$132:$H$147,MATCH(Emissions!$D72,EF!$D$132:$D$147,0))*kgtoGg</f>
        <v>0.51615689922073593</v>
      </c>
      <c r="P72" s="22">
        <f>INDEX('Activity data'!P$24:P$39,MATCH(Emissions!$D72,'Activity data'!$D$24:$D$39,0))*INDEX(EF!$H$84:$H$99,MATCH(Emissions!$D72,EF!$D$84:$D$99,0))*INDEX(EF!$H$100:$H$115,MATCH(Emissions!$D72,EF!$D$100:$D$115,0))*INDEX(EF!$H$132:$H$147,MATCH(Emissions!$D72,EF!$D$132:$D$147,0))*kgtoGg</f>
        <v>0.51615689922073593</v>
      </c>
      <c r="Q72" s="22">
        <f>INDEX('Activity data'!Q$24:Q$39,MATCH(Emissions!$D72,'Activity data'!$D$24:$D$39,0))*INDEX(EF!$H$84:$H$99,MATCH(Emissions!$D72,EF!$D$84:$D$99,0))*INDEX(EF!$H$100:$H$115,MATCH(Emissions!$D72,EF!$D$100:$D$115,0))*INDEX(EF!$H$132:$H$147,MATCH(Emissions!$D72,EF!$D$132:$D$147,0))*kgtoGg</f>
        <v>0.51615689922073593</v>
      </c>
      <c r="R72" s="22">
        <f>INDEX('Activity data'!R$24:R$39,MATCH(Emissions!$D72,'Activity data'!$D$24:$D$39,0))*INDEX(EF!$H$84:$H$99,MATCH(Emissions!$D72,EF!$D$84:$D$99,0))*INDEX(EF!$H$100:$H$115,MATCH(Emissions!$D72,EF!$D$100:$D$115,0))*INDEX(EF!$H$132:$H$147,MATCH(Emissions!$D72,EF!$D$132:$D$147,0))*kgtoGg</f>
        <v>0.5405338840784204</v>
      </c>
      <c r="S72" s="22">
        <f>INDEX('Activity data'!S$24:S$39,MATCH(Emissions!$D72,'Activity data'!$D$24:$D$39,0))*INDEX(EF!$H$84:$H$99,MATCH(Emissions!$D72,EF!$D$84:$D$99,0))*INDEX(EF!$H$100:$H$115,MATCH(Emissions!$D72,EF!$D$100:$D$115,0))*INDEX(EF!$H$132:$H$147,MATCH(Emissions!$D72,EF!$D$132:$D$147,0))*kgtoGg</f>
        <v>0.77734472774207219</v>
      </c>
      <c r="T72" s="22">
        <f>INDEX('Activity data'!T$24:T$39,MATCH(Emissions!$D72,'Activity data'!$D$24:$D$39,0))*INDEX(EF!$H$84:$H$99,MATCH(Emissions!$D72,EF!$D$84:$D$99,0))*INDEX(EF!$H$100:$H$115,MATCH(Emissions!$D72,EF!$D$100:$D$115,0))*INDEX(EF!$H$132:$H$147,MATCH(Emissions!$D72,EF!$D$132:$D$147,0))*kgtoGg</f>
        <v>0.60115227491539969</v>
      </c>
      <c r="U72" s="22">
        <f>INDEX('Activity data'!U$24:U$39,MATCH(Emissions!$D72,'Activity data'!$D$24:$D$39,0))*INDEX(EF!$H$84:$H$99,MATCH(Emissions!$D72,EF!$D$84:$D$99,0))*INDEX(EF!$H$100:$H$115,MATCH(Emissions!$D72,EF!$D$100:$D$115,0))*INDEX(EF!$H$132:$H$147,MATCH(Emissions!$D72,EF!$D$132:$D$147,0))*kgtoGg</f>
        <v>0.23051703774951418</v>
      </c>
      <c r="V72" s="22">
        <f>INDEX('Activity data'!V$24:V$39,MATCH(Emissions!$D72,'Activity data'!$D$24:$D$39,0))*INDEX(EF!$H$84:$H$99,MATCH(Emissions!$D72,EF!$D$84:$D$99,0))*INDEX(EF!$H$100:$H$115,MATCH(Emissions!$D72,EF!$D$100:$D$115,0))*INDEX(EF!$H$132:$H$147,MATCH(Emissions!$D72,EF!$D$132:$D$147,0))*kgtoGg</f>
        <v>0.43123657161827345</v>
      </c>
      <c r="W72" s="22">
        <f>INDEX('Activity data'!W$24:W$39,MATCH(Emissions!$D72,'Activity data'!$D$24:$D$39,0))*INDEX(EF!$H$84:$H$99,MATCH(Emissions!$D72,EF!$D$84:$D$99,0))*INDEX(EF!$H$100:$H$115,MATCH(Emissions!$D72,EF!$D$100:$D$115,0))*INDEX(EF!$H$132:$H$147,MATCH(Emissions!$D72,EF!$D$132:$D$147,0))*kgtoGg</f>
        <v>0.72810294542739629</v>
      </c>
      <c r="X72" s="22">
        <f>INDEX('Activity data'!X$24:X$39,MATCH(Emissions!$D72,'Activity data'!$D$24:$D$39,0))*INDEX(EF!$H$84:$H$99,MATCH(Emissions!$D72,EF!$D$84:$D$99,0))*INDEX(EF!$H$100:$H$115,MATCH(Emissions!$D72,EF!$D$100:$D$115,0))*INDEX(EF!$H$132:$H$147,MATCH(Emissions!$D72,EF!$D$132:$D$147,0))*kgtoGg</f>
        <v>0.63168320333357431</v>
      </c>
      <c r="Y72" s="22">
        <f>INDEX('Activity data'!Y$24:Y$39,MATCH(Emissions!$D72,'Activity data'!$D$24:$D$39,0))*INDEX(EF!$H$84:$H$99,MATCH(Emissions!$D72,EF!$D$84:$D$99,0))*INDEX(EF!$H$100:$H$115,MATCH(Emissions!$D72,EF!$D$100:$D$115,0))*INDEX(EF!$H$132:$H$147,MATCH(Emissions!$D72,EF!$D$132:$D$147,0))*kgtoGg</f>
        <v>0.3634715556375987</v>
      </c>
      <c r="Z72" s="22">
        <f>INDEX('Activity data'!Z$24:Z$39,MATCH(Emissions!$D72,'Activity data'!$D$24:$D$39,0))*INDEX(EF!$H$84:$H$99,MATCH(Emissions!$D72,EF!$D$84:$D$99,0))*INDEX(EF!$H$100:$H$115,MATCH(Emissions!$D72,EF!$D$100:$D$115,0))*INDEX(EF!$H$132:$H$147,MATCH(Emissions!$D72,EF!$D$132:$D$147,0))*kgtoGg</f>
        <v>0.65636379183698135</v>
      </c>
      <c r="AA72" s="22">
        <f>INDEX('Activity data'!AA$24:AA$39,MATCH(Emissions!$D72,'Activity data'!$D$24:$D$39,0))*INDEX(EF!$H$84:$H$99,MATCH(Emissions!$D72,EF!$D$84:$D$99,0))*INDEX(EF!$H$100:$H$115,MATCH(Emissions!$D72,EF!$D$100:$D$115,0))*INDEX(EF!$H$132:$H$147,MATCH(Emissions!$D72,EF!$D$132:$D$147,0))*kgtoGg</f>
        <v>0.43249874407801925</v>
      </c>
      <c r="AB72" s="22">
        <f>INDEX('Activity data'!AB$24:AB$39,MATCH(Emissions!$D72,'Activity data'!$D$24:$D$39,0))*INDEX(EF!$H$84:$H$99,MATCH(Emissions!$D72,EF!$D$84:$D$99,0))*INDEX(EF!$H$100:$H$115,MATCH(Emissions!$D72,EF!$D$100:$D$115,0))*INDEX(EF!$H$132:$H$147,MATCH(Emissions!$D72,EF!$D$132:$D$147,0))*kgtoGg</f>
        <v>0.60930467136000011</v>
      </c>
      <c r="AC72" s="22">
        <f>INDEX('Activity data'!AC$24:AC$39,MATCH(Emissions!$D72,'Activity data'!$D$24:$D$39,0))*INDEX(EF!$H$84:$H$99,MATCH(Emissions!$D72,EF!$D$84:$D$99,0))*INDEX(EF!$H$100:$H$115,MATCH(Emissions!$D72,EF!$D$100:$D$115,0))*INDEX(EF!$H$132:$H$147,MATCH(Emissions!$D72,EF!$D$132:$D$147,0))*kgtoGg</f>
        <v>0.55754395804799994</v>
      </c>
      <c r="AD72" s="22">
        <f>INDEX('Activity data'!AD$24:AD$39,MATCH(Emissions!$D72,'Activity data'!$D$24:$D$39,0))*INDEX(EF!$H$84:$H$99,MATCH(Emissions!$D72,EF!$D$84:$D$99,0))*INDEX(EF!$H$100:$H$115,MATCH(Emissions!$D72,EF!$D$100:$D$115,0))*INDEX(EF!$H$132:$H$147,MATCH(Emissions!$D72,EF!$D$132:$D$147,0))*kgtoGg</f>
        <v>0.49109158898115401</v>
      </c>
      <c r="AE72" s="22">
        <f>INDEX('Activity data'!AE$24:AE$39,MATCH(Emissions!$D72,'Activity data'!$D$24:$D$39,0))*INDEX(EF!$H$84:$H$99,MATCH(Emissions!$D72,EF!$D$84:$D$99,0))*INDEX(EF!$H$100:$H$115,MATCH(Emissions!$D72,EF!$D$100:$D$115,0))*INDEX(EF!$H$132:$H$147,MATCH(Emissions!$D72,EF!$D$132:$D$147,0))*kgtoGg</f>
        <v>0.49195173492320404</v>
      </c>
      <c r="AF72" s="22">
        <f>INDEX('Activity data'!AF$24:AF$39,MATCH(Emissions!$D72,'Activity data'!$D$24:$D$39,0))*INDEX(EF!$H$84:$H$99,MATCH(Emissions!$D72,EF!$D$84:$D$99,0))*INDEX(EF!$H$100:$H$115,MATCH(Emissions!$D72,EF!$D$100:$D$115,0))*INDEX(EF!$H$132:$H$147,MATCH(Emissions!$D72,EF!$D$132:$D$147,0))*kgtoGg</f>
        <v>0.49281188086525413</v>
      </c>
      <c r="AG72" s="22">
        <f>INDEX('Activity data'!AG$24:AG$39,MATCH(Emissions!$D72,'Activity data'!$D$24:$D$39,0))*INDEX(EF!$H$84:$H$99,MATCH(Emissions!$D72,EF!$D$84:$D$99,0))*INDEX(EF!$H$100:$H$115,MATCH(Emissions!$D72,EF!$D$100:$D$115,0))*INDEX(EF!$H$132:$H$147,MATCH(Emissions!$D72,EF!$D$132:$D$147,0))*kgtoGg</f>
        <v>0.49367202680730427</v>
      </c>
      <c r="AH72" s="22">
        <f>INDEX('Activity data'!AH$24:AH$39,MATCH(Emissions!$D72,'Activity data'!$D$24:$D$39,0))*INDEX(EF!$H$84:$H$99,MATCH(Emissions!$D72,EF!$D$84:$D$99,0))*INDEX(EF!$H$100:$H$115,MATCH(Emissions!$D72,EF!$D$100:$D$115,0))*INDEX(EF!$H$132:$H$147,MATCH(Emissions!$D72,EF!$D$132:$D$147,0))*kgtoGg</f>
        <v>0.49453217274935435</v>
      </c>
      <c r="AI72" s="22">
        <f>INDEX('Activity data'!AI$24:AI$39,MATCH(Emissions!$D72,'Activity data'!$D$24:$D$39,0))*INDEX(EF!$H$84:$H$99,MATCH(Emissions!$D72,EF!$D$84:$D$99,0))*INDEX(EF!$H$100:$H$115,MATCH(Emissions!$D72,EF!$D$100:$D$115,0))*INDEX(EF!$H$132:$H$147,MATCH(Emissions!$D72,EF!$D$132:$D$147,0))*kgtoGg</f>
        <v>0.49539231869140443</v>
      </c>
      <c r="AJ72" s="22">
        <f>INDEX('Activity data'!AJ$24:AJ$39,MATCH(Emissions!$D72,'Activity data'!$D$24:$D$39,0))*INDEX(EF!$H$84:$H$99,MATCH(Emissions!$D72,EF!$D$84:$D$99,0))*INDEX(EF!$H$100:$H$115,MATCH(Emissions!$D72,EF!$D$100:$D$115,0))*INDEX(EF!$H$132:$H$147,MATCH(Emissions!$D72,EF!$D$132:$D$147,0))*kgtoGg</f>
        <v>0.49625246463345457</v>
      </c>
      <c r="AK72" s="22">
        <f>INDEX('Activity data'!AK$24:AK$39,MATCH(Emissions!$D72,'Activity data'!$D$24:$D$39,0))*INDEX(EF!$H$84:$H$99,MATCH(Emissions!$D72,EF!$D$84:$D$99,0))*INDEX(EF!$H$100:$H$115,MATCH(Emissions!$D72,EF!$D$100:$D$115,0))*INDEX(EF!$H$132:$H$147,MATCH(Emissions!$D72,EF!$D$132:$D$147,0))*kgtoGg</f>
        <v>0.49279385642925139</v>
      </c>
      <c r="AL72" s="22">
        <f>INDEX('Activity data'!AL$24:AL$39,MATCH(Emissions!$D72,'Activity data'!$D$24:$D$39,0))*INDEX(EF!$H$84:$H$99,MATCH(Emissions!$D72,EF!$D$84:$D$99,0))*INDEX(EF!$H$100:$H$115,MATCH(Emissions!$D72,EF!$D$100:$D$115,0))*INDEX(EF!$H$132:$H$147,MATCH(Emissions!$D72,EF!$D$132:$D$147,0))*kgtoGg</f>
        <v>0.48933524822504815</v>
      </c>
      <c r="AM72" s="22">
        <f>INDEX('Activity data'!AM$24:AM$39,MATCH(Emissions!$D72,'Activity data'!$D$24:$D$39,0))*INDEX(EF!$H$84:$H$99,MATCH(Emissions!$D72,EF!$D$84:$D$99,0))*INDEX(EF!$H$100:$H$115,MATCH(Emissions!$D72,EF!$D$100:$D$115,0))*INDEX(EF!$H$132:$H$147,MATCH(Emissions!$D72,EF!$D$132:$D$147,0))*kgtoGg</f>
        <v>0.48587664002084496</v>
      </c>
      <c r="AN72" s="22">
        <f>INDEX('Activity data'!AN$24:AN$39,MATCH(Emissions!$D72,'Activity data'!$D$24:$D$39,0))*INDEX(EF!$H$84:$H$99,MATCH(Emissions!$D72,EF!$D$84:$D$99,0))*INDEX(EF!$H$100:$H$115,MATCH(Emissions!$D72,EF!$D$100:$D$115,0))*INDEX(EF!$H$132:$H$147,MATCH(Emissions!$D72,EF!$D$132:$D$147,0))*kgtoGg</f>
        <v>0.48241803181664178</v>
      </c>
      <c r="AO72" s="22">
        <f>INDEX('Activity data'!AO$24:AO$39,MATCH(Emissions!$D72,'Activity data'!$D$24:$D$39,0))*INDEX(EF!$H$84:$H$99,MATCH(Emissions!$D72,EF!$D$84:$D$99,0))*INDEX(EF!$H$100:$H$115,MATCH(Emissions!$D72,EF!$D$100:$D$115,0))*INDEX(EF!$H$132:$H$147,MATCH(Emissions!$D72,EF!$D$132:$D$147,0))*kgtoGg</f>
        <v>0.47895942361243865</v>
      </c>
      <c r="AP72" s="22">
        <f>INDEX('Activity data'!AP$24:AP$39,MATCH(Emissions!$D72,'Activity data'!$D$24:$D$39,0))*INDEX(EF!$H$84:$H$99,MATCH(Emissions!$D72,EF!$D$84:$D$99,0))*INDEX(EF!$H$100:$H$115,MATCH(Emissions!$D72,EF!$D$100:$D$115,0))*INDEX(EF!$H$132:$H$147,MATCH(Emissions!$D72,EF!$D$132:$D$147,0))*kgtoGg</f>
        <v>0.47550081540823552</v>
      </c>
      <c r="AQ72" s="22">
        <f>INDEX('Activity data'!AQ$24:AQ$39,MATCH(Emissions!$D72,'Activity data'!$D$24:$D$39,0))*INDEX(EF!$H$84:$H$99,MATCH(Emissions!$D72,EF!$D$84:$D$99,0))*INDEX(EF!$H$100:$H$115,MATCH(Emissions!$D72,EF!$D$100:$D$115,0))*INDEX(EF!$H$132:$H$147,MATCH(Emissions!$D72,EF!$D$132:$D$147,0))*kgtoGg</f>
        <v>0.47204220720403234</v>
      </c>
      <c r="AR72" s="22">
        <f>INDEX('Activity data'!AR$24:AR$39,MATCH(Emissions!$D72,'Activity data'!$D$24:$D$39,0))*INDEX(EF!$H$84:$H$99,MATCH(Emissions!$D72,EF!$D$84:$D$99,0))*INDEX(EF!$H$100:$H$115,MATCH(Emissions!$D72,EF!$D$100:$D$115,0))*INDEX(EF!$H$132:$H$147,MATCH(Emissions!$D72,EF!$D$132:$D$147,0))*kgtoGg</f>
        <v>0.46858359899982904</v>
      </c>
      <c r="AS72" s="22">
        <f>INDEX('Activity data'!AS$24:AS$39,MATCH(Emissions!$D72,'Activity data'!$D$24:$D$39,0))*INDEX(EF!$H$84:$H$99,MATCH(Emissions!$D72,EF!$D$84:$D$99,0))*INDEX(EF!$H$100:$H$115,MATCH(Emissions!$D72,EF!$D$100:$D$115,0))*INDEX(EF!$H$132:$H$147,MATCH(Emissions!$D72,EF!$D$132:$D$147,0))*kgtoGg</f>
        <v>0.46512499079562586</v>
      </c>
      <c r="AT72" s="22">
        <f>INDEX('Activity data'!AT$24:AT$39,MATCH(Emissions!$D72,'Activity data'!$D$24:$D$39,0))*INDEX(EF!$H$84:$H$99,MATCH(Emissions!$D72,EF!$D$84:$D$99,0))*INDEX(EF!$H$100:$H$115,MATCH(Emissions!$D72,EF!$D$100:$D$115,0))*INDEX(EF!$H$132:$H$147,MATCH(Emissions!$D72,EF!$D$132:$D$147,0))*kgtoGg</f>
        <v>0.46166638259142267</v>
      </c>
      <c r="AU72" s="22">
        <f>INDEX('Activity data'!AU$24:AU$39,MATCH(Emissions!$D72,'Activity data'!$D$24:$D$39,0))*INDEX(EF!$H$84:$H$99,MATCH(Emissions!$D72,EF!$D$84:$D$99,0))*INDEX(EF!$H$100:$H$115,MATCH(Emissions!$D72,EF!$D$100:$D$115,0))*INDEX(EF!$H$132:$H$147,MATCH(Emissions!$D72,EF!$D$132:$D$147,0))*kgtoGg</f>
        <v>0.45820777438721955</v>
      </c>
      <c r="AV72" s="22">
        <f>INDEX('Activity data'!AV$24:AV$39,MATCH(Emissions!$D72,'Activity data'!$D$24:$D$39,0))*INDEX(EF!$H$84:$H$99,MATCH(Emissions!$D72,EF!$D$84:$D$99,0))*INDEX(EF!$H$100:$H$115,MATCH(Emissions!$D72,EF!$D$100:$D$115,0))*INDEX(EF!$H$132:$H$147,MATCH(Emissions!$D72,EF!$D$132:$D$147,0))*kgtoGg</f>
        <v>0.45474916618301631</v>
      </c>
      <c r="AW72" s="22">
        <f>INDEX('Activity data'!AW$24:AW$39,MATCH(Emissions!$D72,'Activity data'!$D$24:$D$39,0))*INDEX(EF!$H$84:$H$99,MATCH(Emissions!$D72,EF!$D$84:$D$99,0))*INDEX(EF!$H$100:$H$115,MATCH(Emissions!$D72,EF!$D$100:$D$115,0))*INDEX(EF!$H$132:$H$147,MATCH(Emissions!$D72,EF!$D$132:$D$147,0))*kgtoGg</f>
        <v>0.45129055797881312</v>
      </c>
      <c r="AX72" s="22">
        <f>INDEX('Activity data'!AX$24:AX$39,MATCH(Emissions!$D72,'Activity data'!$D$24:$D$39,0))*INDEX(EF!$H$84:$H$99,MATCH(Emissions!$D72,EF!$D$84:$D$99,0))*INDEX(EF!$H$100:$H$115,MATCH(Emissions!$D72,EF!$D$100:$D$115,0))*INDEX(EF!$H$132:$H$147,MATCH(Emissions!$D72,EF!$D$132:$D$147,0))*kgtoGg</f>
        <v>0.44783194977460994</v>
      </c>
      <c r="AY72" s="22">
        <f>INDEX('Activity data'!AY$24:AY$39,MATCH(Emissions!$D72,'Activity data'!$D$24:$D$39,0))*INDEX(EF!$H$84:$H$99,MATCH(Emissions!$D72,EF!$D$84:$D$99,0))*INDEX(EF!$H$100:$H$115,MATCH(Emissions!$D72,EF!$D$100:$D$115,0))*INDEX(EF!$H$132:$H$147,MATCH(Emissions!$D72,EF!$D$132:$D$147,0))*kgtoGg</f>
        <v>0.44437334157040664</v>
      </c>
      <c r="AZ72" s="22">
        <f>INDEX('Activity data'!AZ$24:AZ$39,MATCH(Emissions!$D72,'Activity data'!$D$24:$D$39,0))*INDEX(EF!$H$84:$H$99,MATCH(Emissions!$D72,EF!$D$84:$D$99,0))*INDEX(EF!$H$100:$H$115,MATCH(Emissions!$D72,EF!$D$100:$D$115,0))*INDEX(EF!$H$132:$H$147,MATCH(Emissions!$D72,EF!$D$132:$D$147,0))*kgtoGg</f>
        <v>0.44091473336620357</v>
      </c>
      <c r="BA72" s="22">
        <f>INDEX('Activity data'!BA$24:BA$39,MATCH(Emissions!$D72,'Activity data'!$D$24:$D$39,0))*INDEX(EF!$H$84:$H$99,MATCH(Emissions!$D72,EF!$D$84:$D$99,0))*INDEX(EF!$H$100:$H$115,MATCH(Emissions!$D72,EF!$D$100:$D$115,0))*INDEX(EF!$H$132:$H$147,MATCH(Emissions!$D72,EF!$D$132:$D$147,0))*kgtoGg</f>
        <v>0.43745612516200039</v>
      </c>
      <c r="BB72" s="22">
        <f>INDEX('Activity data'!BB$24:BB$39,MATCH(Emissions!$D72,'Activity data'!$D$24:$D$39,0))*INDEX(EF!$H$84:$H$99,MATCH(Emissions!$D72,EF!$D$84:$D$99,0))*INDEX(EF!$H$100:$H$115,MATCH(Emissions!$D72,EF!$D$100:$D$115,0))*INDEX(EF!$H$132:$H$147,MATCH(Emissions!$D72,EF!$D$132:$D$147,0))*kgtoGg</f>
        <v>0.4339975169577972</v>
      </c>
      <c r="BC72" s="22">
        <f>INDEX('Activity data'!BC$24:BC$39,MATCH(Emissions!$D72,'Activity data'!$D$24:$D$39,0))*INDEX(EF!$H$84:$H$99,MATCH(Emissions!$D72,EF!$D$84:$D$99,0))*INDEX(EF!$H$100:$H$115,MATCH(Emissions!$D72,EF!$D$100:$D$115,0))*INDEX(EF!$H$132:$H$147,MATCH(Emissions!$D72,EF!$D$132:$D$147,0))*kgtoGg</f>
        <v>0.43053890875359402</v>
      </c>
      <c r="BD72" s="22">
        <f>INDEX('Activity data'!BD$24:BD$39,MATCH(Emissions!$D72,'Activity data'!$D$24:$D$39,0))*INDEX(EF!$H$84:$H$99,MATCH(Emissions!$D72,EF!$D$84:$D$99,0))*INDEX(EF!$H$100:$H$115,MATCH(Emissions!$D72,EF!$D$100:$D$115,0))*INDEX(EF!$H$132:$H$147,MATCH(Emissions!$D72,EF!$D$132:$D$147,0))*kgtoGg</f>
        <v>0.42708030054939083</v>
      </c>
      <c r="BE72" s="22">
        <f>INDEX('Activity data'!BE$24:BE$39,MATCH(Emissions!$D72,'Activity data'!$D$24:$D$39,0))*INDEX(EF!$H$84:$H$99,MATCH(Emissions!$D72,EF!$D$84:$D$99,0))*INDEX(EF!$H$100:$H$115,MATCH(Emissions!$D72,EF!$D$100:$D$115,0))*INDEX(EF!$H$132:$H$147,MATCH(Emissions!$D72,EF!$D$132:$D$147,0))*kgtoGg</f>
        <v>0.42362169234518765</v>
      </c>
      <c r="BF72" s="22">
        <f>INDEX('Activity data'!BF$24:BF$39,MATCH(Emissions!$D72,'Activity data'!$D$24:$D$39,0))*INDEX(EF!$H$84:$H$99,MATCH(Emissions!$D72,EF!$D$84:$D$99,0))*INDEX(EF!$H$100:$H$115,MATCH(Emissions!$D72,EF!$D$100:$D$115,0))*INDEX(EF!$H$132:$H$147,MATCH(Emissions!$D72,EF!$D$132:$D$147,0))*kgtoGg</f>
        <v>0.42016308414098436</v>
      </c>
      <c r="BG72" s="22">
        <f>INDEX('Activity data'!BG$24:BG$39,MATCH(Emissions!$D72,'Activity data'!$D$24:$D$39,0))*INDEX(EF!$H$84:$H$99,MATCH(Emissions!$D72,EF!$D$84:$D$99,0))*INDEX(EF!$H$100:$H$115,MATCH(Emissions!$D72,EF!$D$100:$D$115,0))*INDEX(EF!$H$132:$H$147,MATCH(Emissions!$D72,EF!$D$132:$D$147,0))*kgtoGg</f>
        <v>0.41670447593678112</v>
      </c>
      <c r="BH72" s="22">
        <f>INDEX('Activity data'!BH$24:BH$39,MATCH(Emissions!$D72,'Activity data'!$D$24:$D$39,0))*INDEX(EF!$H$84:$H$99,MATCH(Emissions!$D72,EF!$D$84:$D$99,0))*INDEX(EF!$H$100:$H$115,MATCH(Emissions!$D72,EF!$D$100:$D$115,0))*INDEX(EF!$H$132:$H$147,MATCH(Emissions!$D72,EF!$D$132:$D$147,0))*kgtoGg</f>
        <v>0.41324586773257804</v>
      </c>
      <c r="BI72" s="22">
        <f>INDEX('Activity data'!BI$24:BI$39,MATCH(Emissions!$D72,'Activity data'!$D$24:$D$39,0))*INDEX(EF!$H$84:$H$99,MATCH(Emissions!$D72,EF!$D$84:$D$99,0))*INDEX(EF!$H$100:$H$115,MATCH(Emissions!$D72,EF!$D$100:$D$115,0))*INDEX(EF!$H$132:$H$147,MATCH(Emissions!$D72,EF!$D$132:$D$147,0))*kgtoGg</f>
        <v>0.4097872595283748</v>
      </c>
      <c r="BJ72" s="22">
        <f>INDEX('Activity data'!BJ$24:BJ$39,MATCH(Emissions!$D72,'Activity data'!$D$24:$D$39,0))*INDEX(EF!$H$84:$H$99,MATCH(Emissions!$D72,EF!$D$84:$D$99,0))*INDEX(EF!$H$100:$H$115,MATCH(Emissions!$D72,EF!$D$100:$D$115,0))*INDEX(EF!$H$132:$H$147,MATCH(Emissions!$D72,EF!$D$132:$D$147,0))*kgtoGg</f>
        <v>0.40632865132417167</v>
      </c>
      <c r="BK72" s="22">
        <f>INDEX('Activity data'!BK$24:BK$39,MATCH(Emissions!$D72,'Activity data'!$D$24:$D$39,0))*INDEX(EF!$H$84:$H$99,MATCH(Emissions!$D72,EF!$D$84:$D$99,0))*INDEX(EF!$H$100:$H$115,MATCH(Emissions!$D72,EF!$D$100:$D$115,0))*INDEX(EF!$H$132:$H$147,MATCH(Emissions!$D72,EF!$D$132:$D$147,0))*kgtoGg</f>
        <v>0.40287004311996844</v>
      </c>
      <c r="BL72" s="22">
        <f>INDEX('Activity data'!BL$24:BL$39,MATCH(Emissions!$D72,'Activity data'!$D$24:$D$39,0))*INDEX(EF!$H$84:$H$99,MATCH(Emissions!$D72,EF!$D$84:$D$99,0))*INDEX(EF!$H$100:$H$115,MATCH(Emissions!$D72,EF!$D$100:$D$115,0))*INDEX(EF!$H$132:$H$147,MATCH(Emissions!$D72,EF!$D$132:$D$147,0))*kgtoGg</f>
        <v>0.39941143491576536</v>
      </c>
      <c r="BM72" s="22">
        <f>INDEX('Activity data'!BM$24:BM$39,MATCH(Emissions!$D72,'Activity data'!$D$24:$D$39,0))*INDEX(EF!$H$84:$H$99,MATCH(Emissions!$D72,EF!$D$84:$D$99,0))*INDEX(EF!$H$100:$H$115,MATCH(Emissions!$D72,EF!$D$100:$D$115,0))*INDEX(EF!$H$132:$H$147,MATCH(Emissions!$D72,EF!$D$132:$D$147,0))*kgtoGg</f>
        <v>0.39595282671156223</v>
      </c>
      <c r="BN72" s="22">
        <f>INDEX('Activity data'!BN$24:BN$39,MATCH(Emissions!$D72,'Activity data'!$D$24:$D$39,0))*INDEX(EF!$H$84:$H$99,MATCH(Emissions!$D72,EF!$D$84:$D$99,0))*INDEX(EF!$H$100:$H$115,MATCH(Emissions!$D72,EF!$D$100:$D$115,0))*INDEX(EF!$H$132:$H$147,MATCH(Emissions!$D72,EF!$D$132:$D$147,0))*kgtoGg</f>
        <v>0.3924942185073591</v>
      </c>
      <c r="BO72" s="22">
        <f>INDEX('Activity data'!BO$24:BO$39,MATCH(Emissions!$D72,'Activity data'!$D$24:$D$39,0))*INDEX(EF!$H$84:$H$99,MATCH(Emissions!$D72,EF!$D$84:$D$99,0))*INDEX(EF!$H$100:$H$115,MATCH(Emissions!$D72,EF!$D$100:$D$115,0))*INDEX(EF!$H$132:$H$147,MATCH(Emissions!$D72,EF!$D$132:$D$147,0))*kgtoGg</f>
        <v>0.38903561030315592</v>
      </c>
      <c r="BP72" s="22">
        <f>INDEX('Activity data'!BP$24:BP$39,MATCH(Emissions!$D72,'Activity data'!$D$24:$D$39,0))*INDEX(EF!$H$84:$H$99,MATCH(Emissions!$D72,EF!$D$84:$D$99,0))*INDEX(EF!$H$100:$H$115,MATCH(Emissions!$D72,EF!$D$100:$D$115,0))*INDEX(EF!$H$132:$H$147,MATCH(Emissions!$D72,EF!$D$132:$D$147,0))*kgtoGg</f>
        <v>0.38557700209895263</v>
      </c>
    </row>
    <row r="73" spans="1:68" x14ac:dyDescent="0.25">
      <c r="A73" t="str">
        <f t="shared" si="19"/>
        <v>3C Aggregated and non-CO2 emissions on land</v>
      </c>
      <c r="B73" t="str">
        <f t="shared" si="26"/>
        <v>3C1 Biomass burning (N2O)</v>
      </c>
      <c r="C73" t="str">
        <f t="shared" si="25"/>
        <v>3C1a Biomass burning in forest land</v>
      </c>
      <c r="D73" t="str">
        <f>EF!D103</f>
        <v>Plantations</v>
      </c>
      <c r="E73" t="s">
        <v>644</v>
      </c>
      <c r="F73" t="str">
        <f t="shared" si="27"/>
        <v>N2O</v>
      </c>
      <c r="G73" t="str">
        <f t="shared" si="28"/>
        <v>Gg N2O</v>
      </c>
      <c r="H73" s="22">
        <f>INDEX('Activity data'!H$24:H$39,MATCH(Emissions!$D73,'Activity data'!$D$24:$D$39,0))*INDEX(EF!$H$84:$H$99,MATCH(Emissions!$D73,EF!$D$84:$D$99,0))*INDEX(EF!$H$100:$H$115,MATCH(Emissions!$D73,EF!$D$100:$D$115,0))*INDEX(EF!$H$132:$H$147,MATCH(Emissions!$D73,EF!$D$132:$D$147,0))*kgtoGg</f>
        <v>0.41734182049814844</v>
      </c>
      <c r="I73" s="22">
        <f>INDEX('Activity data'!I$24:I$39,MATCH(Emissions!$D73,'Activity data'!$D$24:$D$39,0))*INDEX(EF!$H$84:$H$99,MATCH(Emissions!$D73,EF!$D$84:$D$99,0))*INDEX(EF!$H$100:$H$115,MATCH(Emissions!$D73,EF!$D$100:$D$115,0))*INDEX(EF!$H$132:$H$147,MATCH(Emissions!$D73,EF!$D$132:$D$147,0))*kgtoGg</f>
        <v>0.41734182049814844</v>
      </c>
      <c r="J73" s="22">
        <f>INDEX('Activity data'!J$24:J$39,MATCH(Emissions!$D73,'Activity data'!$D$24:$D$39,0))*INDEX(EF!$H$84:$H$99,MATCH(Emissions!$D73,EF!$D$84:$D$99,0))*INDEX(EF!$H$100:$H$115,MATCH(Emissions!$D73,EF!$D$100:$D$115,0))*INDEX(EF!$H$132:$H$147,MATCH(Emissions!$D73,EF!$D$132:$D$147,0))*kgtoGg</f>
        <v>0.41734182049814844</v>
      </c>
      <c r="K73" s="22">
        <f>INDEX('Activity data'!K$24:K$39,MATCH(Emissions!$D73,'Activity data'!$D$24:$D$39,0))*INDEX(EF!$H$84:$H$99,MATCH(Emissions!$D73,EF!$D$84:$D$99,0))*INDEX(EF!$H$100:$H$115,MATCH(Emissions!$D73,EF!$D$100:$D$115,0))*INDEX(EF!$H$132:$H$147,MATCH(Emissions!$D73,EF!$D$132:$D$147,0))*kgtoGg</f>
        <v>0.41734182049814844</v>
      </c>
      <c r="L73" s="22">
        <f>INDEX('Activity data'!L$24:L$39,MATCH(Emissions!$D73,'Activity data'!$D$24:$D$39,0))*INDEX(EF!$H$84:$H$99,MATCH(Emissions!$D73,EF!$D$84:$D$99,0))*INDEX(EF!$H$100:$H$115,MATCH(Emissions!$D73,EF!$D$100:$D$115,0))*INDEX(EF!$H$132:$H$147,MATCH(Emissions!$D73,EF!$D$132:$D$147,0))*kgtoGg</f>
        <v>0.41734182049814844</v>
      </c>
      <c r="M73" s="22">
        <f>INDEX('Activity data'!M$24:M$39,MATCH(Emissions!$D73,'Activity data'!$D$24:$D$39,0))*INDEX(EF!$H$84:$H$99,MATCH(Emissions!$D73,EF!$D$84:$D$99,0))*INDEX(EF!$H$100:$H$115,MATCH(Emissions!$D73,EF!$D$100:$D$115,0))*INDEX(EF!$H$132:$H$147,MATCH(Emissions!$D73,EF!$D$132:$D$147,0))*kgtoGg</f>
        <v>0.41734182049814844</v>
      </c>
      <c r="N73" s="22">
        <f>INDEX('Activity data'!N$24:N$39,MATCH(Emissions!$D73,'Activity data'!$D$24:$D$39,0))*INDEX(EF!$H$84:$H$99,MATCH(Emissions!$D73,EF!$D$84:$D$99,0))*INDEX(EF!$H$100:$H$115,MATCH(Emissions!$D73,EF!$D$100:$D$115,0))*INDEX(EF!$H$132:$H$147,MATCH(Emissions!$D73,EF!$D$132:$D$147,0))*kgtoGg</f>
        <v>0.41734182049814844</v>
      </c>
      <c r="O73" s="22">
        <f>INDEX('Activity data'!O$24:O$39,MATCH(Emissions!$D73,'Activity data'!$D$24:$D$39,0))*INDEX(EF!$H$84:$H$99,MATCH(Emissions!$D73,EF!$D$84:$D$99,0))*INDEX(EF!$H$100:$H$115,MATCH(Emissions!$D73,EF!$D$100:$D$115,0))*INDEX(EF!$H$132:$H$147,MATCH(Emissions!$D73,EF!$D$132:$D$147,0))*kgtoGg</f>
        <v>0.41734182049814844</v>
      </c>
      <c r="P73" s="22">
        <f>INDEX('Activity data'!P$24:P$39,MATCH(Emissions!$D73,'Activity data'!$D$24:$D$39,0))*INDEX(EF!$H$84:$H$99,MATCH(Emissions!$D73,EF!$D$84:$D$99,0))*INDEX(EF!$H$100:$H$115,MATCH(Emissions!$D73,EF!$D$100:$D$115,0))*INDEX(EF!$H$132:$H$147,MATCH(Emissions!$D73,EF!$D$132:$D$147,0))*kgtoGg</f>
        <v>0.41734182049814844</v>
      </c>
      <c r="Q73" s="22">
        <f>INDEX('Activity data'!Q$24:Q$39,MATCH(Emissions!$D73,'Activity data'!$D$24:$D$39,0))*INDEX(EF!$H$84:$H$99,MATCH(Emissions!$D73,EF!$D$84:$D$99,0))*INDEX(EF!$H$100:$H$115,MATCH(Emissions!$D73,EF!$D$100:$D$115,0))*INDEX(EF!$H$132:$H$147,MATCH(Emissions!$D73,EF!$D$132:$D$147,0))*kgtoGg</f>
        <v>0.41734182049814844</v>
      </c>
      <c r="R73" s="22">
        <f>INDEX('Activity data'!R$24:R$39,MATCH(Emissions!$D73,'Activity data'!$D$24:$D$39,0))*INDEX(EF!$H$84:$H$99,MATCH(Emissions!$D73,EF!$D$84:$D$99,0))*INDEX(EF!$H$100:$H$115,MATCH(Emissions!$D73,EF!$D$100:$D$115,0))*INDEX(EF!$H$132:$H$147,MATCH(Emissions!$D73,EF!$D$132:$D$147,0))*kgtoGg</f>
        <v>0.38057445764127906</v>
      </c>
      <c r="S73" s="22">
        <f>INDEX('Activity data'!S$24:S$39,MATCH(Emissions!$D73,'Activity data'!$D$24:$D$39,0))*INDEX(EF!$H$84:$H$99,MATCH(Emissions!$D73,EF!$D$84:$D$99,0))*INDEX(EF!$H$100:$H$115,MATCH(Emissions!$D73,EF!$D$100:$D$115,0))*INDEX(EF!$H$132:$H$147,MATCH(Emissions!$D73,EF!$D$132:$D$147,0))*kgtoGg</f>
        <v>0.46846135569826935</v>
      </c>
      <c r="T73" s="22">
        <f>INDEX('Activity data'!T$24:T$39,MATCH(Emissions!$D73,'Activity data'!$D$24:$D$39,0))*INDEX(EF!$H$84:$H$99,MATCH(Emissions!$D73,EF!$D$84:$D$99,0))*INDEX(EF!$H$100:$H$115,MATCH(Emissions!$D73,EF!$D$100:$D$115,0))*INDEX(EF!$H$132:$H$147,MATCH(Emissions!$D73,EF!$D$132:$D$147,0))*kgtoGg</f>
        <v>0.41826906758774046</v>
      </c>
      <c r="U73" s="22">
        <f>INDEX('Activity data'!U$24:U$39,MATCH(Emissions!$D73,'Activity data'!$D$24:$D$39,0))*INDEX(EF!$H$84:$H$99,MATCH(Emissions!$D73,EF!$D$84:$D$99,0))*INDEX(EF!$H$100:$H$115,MATCH(Emissions!$D73,EF!$D$100:$D$115,0))*INDEX(EF!$H$132:$H$147,MATCH(Emissions!$D73,EF!$D$132:$D$147,0))*kgtoGg</f>
        <v>0.48559526931029728</v>
      </c>
      <c r="V73" s="22">
        <f>INDEX('Activity data'!V$24:V$39,MATCH(Emissions!$D73,'Activity data'!$D$24:$D$39,0))*INDEX(EF!$H$84:$H$99,MATCH(Emissions!$D73,EF!$D$84:$D$99,0))*INDEX(EF!$H$100:$H$115,MATCH(Emissions!$D73,EF!$D$100:$D$115,0))*INDEX(EF!$H$132:$H$147,MATCH(Emissions!$D73,EF!$D$132:$D$147,0))*kgtoGg</f>
        <v>0.33380895225315582</v>
      </c>
      <c r="W73" s="22">
        <f>INDEX('Activity data'!W$24:W$39,MATCH(Emissions!$D73,'Activity data'!$D$24:$D$39,0))*INDEX(EF!$H$84:$H$99,MATCH(Emissions!$D73,EF!$D$84:$D$99,0))*INDEX(EF!$H$100:$H$115,MATCH(Emissions!$D73,EF!$D$100:$D$115,0))*INDEX(EF!$H$132:$H$147,MATCH(Emissions!$D73,EF!$D$132:$D$147,0))*kgtoGg</f>
        <v>0.48922362748696191</v>
      </c>
      <c r="X73" s="22">
        <f>INDEX('Activity data'!X$24:X$39,MATCH(Emissions!$D73,'Activity data'!$D$24:$D$39,0))*INDEX(EF!$H$84:$H$99,MATCH(Emissions!$D73,EF!$D$84:$D$99,0))*INDEX(EF!$H$100:$H$115,MATCH(Emissions!$D73,EF!$D$100:$D$115,0))*INDEX(EF!$H$132:$H$147,MATCH(Emissions!$D73,EF!$D$132:$D$147,0))*kgtoGg</f>
        <v>0.38238863672961138</v>
      </c>
      <c r="Y73" s="22">
        <f>INDEX('Activity data'!Y$24:Y$39,MATCH(Emissions!$D73,'Activity data'!$D$24:$D$39,0))*INDEX(EF!$H$84:$H$99,MATCH(Emissions!$D73,EF!$D$84:$D$99,0))*INDEX(EF!$H$100:$H$115,MATCH(Emissions!$D73,EF!$D$100:$D$115,0))*INDEX(EF!$H$132:$H$147,MATCH(Emissions!$D73,EF!$D$132:$D$147,0))*kgtoGg</f>
        <v>0.71196450444332493</v>
      </c>
      <c r="Z73" s="22">
        <f>INDEX('Activity data'!Z$24:Z$39,MATCH(Emissions!$D73,'Activity data'!$D$24:$D$39,0))*INDEX(EF!$H$84:$H$99,MATCH(Emissions!$D73,EF!$D$84:$D$99,0))*INDEX(EF!$H$100:$H$115,MATCH(Emissions!$D73,EF!$D$100:$D$115,0))*INDEX(EF!$H$132:$H$147,MATCH(Emissions!$D73,EF!$D$132:$D$147,0))*kgtoGg</f>
        <v>0.45999518661938493</v>
      </c>
      <c r="AA73" s="22">
        <f>INDEX('Activity data'!AA$24:AA$39,MATCH(Emissions!$D73,'Activity data'!$D$24:$D$39,0))*INDEX(EF!$H$84:$H$99,MATCH(Emissions!$D73,EF!$D$84:$D$99,0))*INDEX(EF!$H$100:$H$115,MATCH(Emissions!$D73,EF!$D$100:$D$115,0))*INDEX(EF!$H$132:$H$147,MATCH(Emissions!$D73,EF!$D$132:$D$147,0))*kgtoGg</f>
        <v>0.39186268307979161</v>
      </c>
      <c r="AB73" s="22">
        <f>INDEX('Activity data'!AB$24:AB$39,MATCH(Emissions!$D73,'Activity data'!$D$24:$D$39,0))*INDEX(EF!$H$84:$H$99,MATCH(Emissions!$D73,EF!$D$84:$D$99,0))*INDEX(EF!$H$100:$H$115,MATCH(Emissions!$D73,EF!$D$100:$D$115,0))*INDEX(EF!$H$132:$H$147,MATCH(Emissions!$D73,EF!$D$132:$D$147,0))*kgtoGg</f>
        <v>0.33076409184</v>
      </c>
      <c r="AC73" s="22">
        <f>INDEX('Activity data'!AC$24:AC$39,MATCH(Emissions!$D73,'Activity data'!$D$24:$D$39,0))*INDEX(EF!$H$84:$H$99,MATCH(Emissions!$D73,EF!$D$84:$D$99,0))*INDEX(EF!$H$100:$H$115,MATCH(Emissions!$D73,EF!$D$100:$D$115,0))*INDEX(EF!$H$132:$H$147,MATCH(Emissions!$D73,EF!$D$132:$D$147,0))*kgtoGg</f>
        <v>0.37630311264000005</v>
      </c>
      <c r="AD73" s="22">
        <f>INDEX('Activity data'!AD$24:AD$39,MATCH(Emissions!$D73,'Activity data'!$D$24:$D$39,0))*INDEX(EF!$H$84:$H$99,MATCH(Emissions!$D73,EF!$D$84:$D$99,0))*INDEX(EF!$H$100:$H$115,MATCH(Emissions!$D73,EF!$D$100:$D$115,0))*INDEX(EF!$H$132:$H$147,MATCH(Emissions!$D73,EF!$D$132:$D$147,0))*kgtoGg</f>
        <v>0.11606648834006898</v>
      </c>
      <c r="AE73" s="22">
        <f>INDEX('Activity data'!AE$24:AE$39,MATCH(Emissions!$D73,'Activity data'!$D$24:$D$39,0))*INDEX(EF!$H$84:$H$99,MATCH(Emissions!$D73,EF!$D$84:$D$99,0))*INDEX(EF!$H$100:$H$115,MATCH(Emissions!$D73,EF!$D$100:$D$115,0))*INDEX(EF!$H$132:$H$147,MATCH(Emissions!$D73,EF!$D$132:$D$147,0))*kgtoGg</f>
        <v>0.21826021634006895</v>
      </c>
      <c r="AF73" s="22">
        <f>INDEX('Activity data'!AF$24:AF$39,MATCH(Emissions!$D73,'Activity data'!$D$24:$D$39,0))*INDEX(EF!$H$84:$H$99,MATCH(Emissions!$D73,EF!$D$84:$D$99,0))*INDEX(EF!$H$100:$H$115,MATCH(Emissions!$D73,EF!$D$100:$D$115,0))*INDEX(EF!$H$132:$H$147,MATCH(Emissions!$D73,EF!$D$132:$D$147,0))*kgtoGg</f>
        <v>0.17623132034006897</v>
      </c>
      <c r="AG73" s="22">
        <f>INDEX('Activity data'!AG$24:AG$39,MATCH(Emissions!$D73,'Activity data'!$D$24:$D$39,0))*INDEX(EF!$H$84:$H$99,MATCH(Emissions!$D73,EF!$D$84:$D$99,0))*INDEX(EF!$H$100:$H$115,MATCH(Emissions!$D73,EF!$D$100:$D$115,0))*INDEX(EF!$H$132:$H$147,MATCH(Emissions!$D73,EF!$D$132:$D$147,0))*kgtoGg</f>
        <v>0.13670965634006899</v>
      </c>
      <c r="AH73" s="22">
        <f>INDEX('Activity data'!AH$24:AH$39,MATCH(Emissions!$D73,'Activity data'!$D$24:$D$39,0))*INDEX(EF!$H$84:$H$99,MATCH(Emissions!$D73,EF!$D$84:$D$99,0))*INDEX(EF!$H$100:$H$115,MATCH(Emissions!$D73,EF!$D$100:$D$115,0))*INDEX(EF!$H$132:$H$147,MATCH(Emissions!$D73,EF!$D$132:$D$147,0))*kgtoGg</f>
        <v>0.15645301634006897</v>
      </c>
      <c r="AI73" s="22">
        <f>INDEX('Activity data'!AI$24:AI$39,MATCH(Emissions!$D73,'Activity data'!$D$24:$D$39,0))*INDEX(EF!$H$84:$H$99,MATCH(Emissions!$D73,EF!$D$84:$D$99,0))*INDEX(EF!$H$100:$H$115,MATCH(Emissions!$D73,EF!$D$100:$D$115,0))*INDEX(EF!$H$132:$H$147,MATCH(Emissions!$D73,EF!$D$132:$D$147,0))*kgtoGg</f>
        <v>0.17325234434006898</v>
      </c>
      <c r="AJ73" s="22">
        <f>INDEX('Activity data'!AJ$24:AJ$39,MATCH(Emissions!$D73,'Activity data'!$D$24:$D$39,0))*INDEX(EF!$H$84:$H$99,MATCH(Emissions!$D73,EF!$D$84:$D$99,0))*INDEX(EF!$H$100:$H$115,MATCH(Emissions!$D73,EF!$D$100:$D$115,0))*INDEX(EF!$H$132:$H$147,MATCH(Emissions!$D73,EF!$D$132:$D$147,0))*kgtoGg</f>
        <v>0.17325234434006898</v>
      </c>
      <c r="AK73" s="22">
        <f>INDEX('Activity data'!AK$24:AK$39,MATCH(Emissions!$D73,'Activity data'!$D$24:$D$39,0))*INDEX(EF!$H$84:$H$99,MATCH(Emissions!$D73,EF!$D$84:$D$99,0))*INDEX(EF!$H$100:$H$115,MATCH(Emissions!$D73,EF!$D$100:$D$115,0))*INDEX(EF!$H$132:$H$147,MATCH(Emissions!$D73,EF!$D$132:$D$147,0))*kgtoGg</f>
        <v>0.17400449885772937</v>
      </c>
      <c r="AL73" s="22">
        <f>INDEX('Activity data'!AL$24:AL$39,MATCH(Emissions!$D73,'Activity data'!$D$24:$D$39,0))*INDEX(EF!$H$84:$H$99,MATCH(Emissions!$D73,EF!$D$84:$D$99,0))*INDEX(EF!$H$100:$H$115,MATCH(Emissions!$D73,EF!$D$100:$D$115,0))*INDEX(EF!$H$132:$H$147,MATCH(Emissions!$D73,EF!$D$132:$D$147,0))*kgtoGg</f>
        <v>0.17475665337538968</v>
      </c>
      <c r="AM73" s="22">
        <f>INDEX('Activity data'!AM$24:AM$39,MATCH(Emissions!$D73,'Activity data'!$D$24:$D$39,0))*INDEX(EF!$H$84:$H$99,MATCH(Emissions!$D73,EF!$D$84:$D$99,0))*INDEX(EF!$H$100:$H$115,MATCH(Emissions!$D73,EF!$D$100:$D$115,0))*INDEX(EF!$H$132:$H$147,MATCH(Emissions!$D73,EF!$D$132:$D$147,0))*kgtoGg</f>
        <v>0.17550880789305007</v>
      </c>
      <c r="AN73" s="22">
        <f>INDEX('Activity data'!AN$24:AN$39,MATCH(Emissions!$D73,'Activity data'!$D$24:$D$39,0))*INDEX(EF!$H$84:$H$99,MATCH(Emissions!$D73,EF!$D$84:$D$99,0))*INDEX(EF!$H$100:$H$115,MATCH(Emissions!$D73,EF!$D$100:$D$115,0))*INDEX(EF!$H$132:$H$147,MATCH(Emissions!$D73,EF!$D$132:$D$147,0))*kgtoGg</f>
        <v>0.17626096241071046</v>
      </c>
      <c r="AO73" s="22">
        <f>INDEX('Activity data'!AO$24:AO$39,MATCH(Emissions!$D73,'Activity data'!$D$24:$D$39,0))*INDEX(EF!$H$84:$H$99,MATCH(Emissions!$D73,EF!$D$84:$D$99,0))*INDEX(EF!$H$100:$H$115,MATCH(Emissions!$D73,EF!$D$100:$D$115,0))*INDEX(EF!$H$132:$H$147,MATCH(Emissions!$D73,EF!$D$132:$D$147,0))*kgtoGg</f>
        <v>0.17701311692837082</v>
      </c>
      <c r="AP73" s="22">
        <f>INDEX('Activity data'!AP$24:AP$39,MATCH(Emissions!$D73,'Activity data'!$D$24:$D$39,0))*INDEX(EF!$H$84:$H$99,MATCH(Emissions!$D73,EF!$D$84:$D$99,0))*INDEX(EF!$H$100:$H$115,MATCH(Emissions!$D73,EF!$D$100:$D$115,0))*INDEX(EF!$H$132:$H$147,MATCH(Emissions!$D73,EF!$D$132:$D$147,0))*kgtoGg</f>
        <v>0.17776527144603119</v>
      </c>
      <c r="AQ73" s="22">
        <f>INDEX('Activity data'!AQ$24:AQ$39,MATCH(Emissions!$D73,'Activity data'!$D$24:$D$39,0))*INDEX(EF!$H$84:$H$99,MATCH(Emissions!$D73,EF!$D$84:$D$99,0))*INDEX(EF!$H$100:$H$115,MATCH(Emissions!$D73,EF!$D$100:$D$115,0))*INDEX(EF!$H$132:$H$147,MATCH(Emissions!$D73,EF!$D$132:$D$147,0))*kgtoGg</f>
        <v>0.17851742596369158</v>
      </c>
      <c r="AR73" s="22">
        <f>INDEX('Activity data'!AR$24:AR$39,MATCH(Emissions!$D73,'Activity data'!$D$24:$D$39,0))*INDEX(EF!$H$84:$H$99,MATCH(Emissions!$D73,EF!$D$84:$D$99,0))*INDEX(EF!$H$100:$H$115,MATCH(Emissions!$D73,EF!$D$100:$D$115,0))*INDEX(EF!$H$132:$H$147,MATCH(Emissions!$D73,EF!$D$132:$D$147,0))*kgtoGg</f>
        <v>0.17926958048135197</v>
      </c>
      <c r="AS73" s="22">
        <f>INDEX('Activity data'!AS$24:AS$39,MATCH(Emissions!$D73,'Activity data'!$D$24:$D$39,0))*INDEX(EF!$H$84:$H$99,MATCH(Emissions!$D73,EF!$D$84:$D$99,0))*INDEX(EF!$H$100:$H$115,MATCH(Emissions!$D73,EF!$D$100:$D$115,0))*INDEX(EF!$H$132:$H$147,MATCH(Emissions!$D73,EF!$D$132:$D$147,0))*kgtoGg</f>
        <v>0.18002173499901231</v>
      </c>
      <c r="AT73" s="22">
        <f>INDEX('Activity data'!AT$24:AT$39,MATCH(Emissions!$D73,'Activity data'!$D$24:$D$39,0))*INDEX(EF!$H$84:$H$99,MATCH(Emissions!$D73,EF!$D$84:$D$99,0))*INDEX(EF!$H$100:$H$115,MATCH(Emissions!$D73,EF!$D$100:$D$115,0))*INDEX(EF!$H$132:$H$147,MATCH(Emissions!$D73,EF!$D$132:$D$147,0))*kgtoGg</f>
        <v>0.18077388951667267</v>
      </c>
      <c r="AU73" s="22">
        <f>INDEX('Activity data'!AU$24:AU$39,MATCH(Emissions!$D73,'Activity data'!$D$24:$D$39,0))*INDEX(EF!$H$84:$H$99,MATCH(Emissions!$D73,EF!$D$84:$D$99,0))*INDEX(EF!$H$100:$H$115,MATCH(Emissions!$D73,EF!$D$100:$D$115,0))*INDEX(EF!$H$132:$H$147,MATCH(Emissions!$D73,EF!$D$132:$D$147,0))*kgtoGg</f>
        <v>0.18152604403433303</v>
      </c>
      <c r="AV73" s="22">
        <f>INDEX('Activity data'!AV$24:AV$39,MATCH(Emissions!$D73,'Activity data'!$D$24:$D$39,0))*INDEX(EF!$H$84:$H$99,MATCH(Emissions!$D73,EF!$D$84:$D$99,0))*INDEX(EF!$H$100:$H$115,MATCH(Emissions!$D73,EF!$D$100:$D$115,0))*INDEX(EF!$H$132:$H$147,MATCH(Emissions!$D73,EF!$D$132:$D$147,0))*kgtoGg</f>
        <v>0.18227819855199343</v>
      </c>
      <c r="AW73" s="22">
        <f>INDEX('Activity data'!AW$24:AW$39,MATCH(Emissions!$D73,'Activity data'!$D$24:$D$39,0))*INDEX(EF!$H$84:$H$99,MATCH(Emissions!$D73,EF!$D$84:$D$99,0))*INDEX(EF!$H$100:$H$115,MATCH(Emissions!$D73,EF!$D$100:$D$115,0))*INDEX(EF!$H$132:$H$147,MATCH(Emissions!$D73,EF!$D$132:$D$147,0))*kgtoGg</f>
        <v>0.18227819855199343</v>
      </c>
      <c r="AX73" s="22">
        <f>INDEX('Activity data'!AX$24:AX$39,MATCH(Emissions!$D73,'Activity data'!$D$24:$D$39,0))*INDEX(EF!$H$84:$H$99,MATCH(Emissions!$D73,EF!$D$84:$D$99,0))*INDEX(EF!$H$100:$H$115,MATCH(Emissions!$D73,EF!$D$100:$D$115,0))*INDEX(EF!$H$132:$H$147,MATCH(Emissions!$D73,EF!$D$132:$D$147,0))*kgtoGg</f>
        <v>0.18227819855199343</v>
      </c>
      <c r="AY73" s="22">
        <f>INDEX('Activity data'!AY$24:AY$39,MATCH(Emissions!$D73,'Activity data'!$D$24:$D$39,0))*INDEX(EF!$H$84:$H$99,MATCH(Emissions!$D73,EF!$D$84:$D$99,0))*INDEX(EF!$H$100:$H$115,MATCH(Emissions!$D73,EF!$D$100:$D$115,0))*INDEX(EF!$H$132:$H$147,MATCH(Emissions!$D73,EF!$D$132:$D$147,0))*kgtoGg</f>
        <v>0.18227819855199343</v>
      </c>
      <c r="AZ73" s="22">
        <f>INDEX('Activity data'!AZ$24:AZ$39,MATCH(Emissions!$D73,'Activity data'!$D$24:$D$39,0))*INDEX(EF!$H$84:$H$99,MATCH(Emissions!$D73,EF!$D$84:$D$99,0))*INDEX(EF!$H$100:$H$115,MATCH(Emissions!$D73,EF!$D$100:$D$115,0))*INDEX(EF!$H$132:$H$147,MATCH(Emissions!$D73,EF!$D$132:$D$147,0))*kgtoGg</f>
        <v>0.18227819855199343</v>
      </c>
      <c r="BA73" s="22">
        <f>INDEX('Activity data'!BA$24:BA$39,MATCH(Emissions!$D73,'Activity data'!$D$24:$D$39,0))*INDEX(EF!$H$84:$H$99,MATCH(Emissions!$D73,EF!$D$84:$D$99,0))*INDEX(EF!$H$100:$H$115,MATCH(Emissions!$D73,EF!$D$100:$D$115,0))*INDEX(EF!$H$132:$H$147,MATCH(Emissions!$D73,EF!$D$132:$D$147,0))*kgtoGg</f>
        <v>0.18227819855199343</v>
      </c>
      <c r="BB73" s="22">
        <f>INDEX('Activity data'!BB$24:BB$39,MATCH(Emissions!$D73,'Activity data'!$D$24:$D$39,0))*INDEX(EF!$H$84:$H$99,MATCH(Emissions!$D73,EF!$D$84:$D$99,0))*INDEX(EF!$H$100:$H$115,MATCH(Emissions!$D73,EF!$D$100:$D$115,0))*INDEX(EF!$H$132:$H$147,MATCH(Emissions!$D73,EF!$D$132:$D$147,0))*kgtoGg</f>
        <v>0.18227819855199343</v>
      </c>
      <c r="BC73" s="22">
        <f>INDEX('Activity data'!BC$24:BC$39,MATCH(Emissions!$D73,'Activity data'!$D$24:$D$39,0))*INDEX(EF!$H$84:$H$99,MATCH(Emissions!$D73,EF!$D$84:$D$99,0))*INDEX(EF!$H$100:$H$115,MATCH(Emissions!$D73,EF!$D$100:$D$115,0))*INDEX(EF!$H$132:$H$147,MATCH(Emissions!$D73,EF!$D$132:$D$147,0))*kgtoGg</f>
        <v>0.18227819855199343</v>
      </c>
      <c r="BD73" s="22">
        <f>INDEX('Activity data'!BD$24:BD$39,MATCH(Emissions!$D73,'Activity data'!$D$24:$D$39,0))*INDEX(EF!$H$84:$H$99,MATCH(Emissions!$D73,EF!$D$84:$D$99,0))*INDEX(EF!$H$100:$H$115,MATCH(Emissions!$D73,EF!$D$100:$D$115,0))*INDEX(EF!$H$132:$H$147,MATCH(Emissions!$D73,EF!$D$132:$D$147,0))*kgtoGg</f>
        <v>0.18227819855199343</v>
      </c>
      <c r="BE73" s="22">
        <f>INDEX('Activity data'!BE$24:BE$39,MATCH(Emissions!$D73,'Activity data'!$D$24:$D$39,0))*INDEX(EF!$H$84:$H$99,MATCH(Emissions!$D73,EF!$D$84:$D$99,0))*INDEX(EF!$H$100:$H$115,MATCH(Emissions!$D73,EF!$D$100:$D$115,0))*INDEX(EF!$H$132:$H$147,MATCH(Emissions!$D73,EF!$D$132:$D$147,0))*kgtoGg</f>
        <v>0.18152604403433303</v>
      </c>
      <c r="BF73" s="22">
        <f>INDEX('Activity data'!BF$24:BF$39,MATCH(Emissions!$D73,'Activity data'!$D$24:$D$39,0))*INDEX(EF!$H$84:$H$99,MATCH(Emissions!$D73,EF!$D$84:$D$99,0))*INDEX(EF!$H$100:$H$115,MATCH(Emissions!$D73,EF!$D$100:$D$115,0))*INDEX(EF!$H$132:$H$147,MATCH(Emissions!$D73,EF!$D$132:$D$147,0))*kgtoGg</f>
        <v>0.18077388951667267</v>
      </c>
      <c r="BG73" s="22">
        <f>INDEX('Activity data'!BG$24:BG$39,MATCH(Emissions!$D73,'Activity data'!$D$24:$D$39,0))*INDEX(EF!$H$84:$H$99,MATCH(Emissions!$D73,EF!$D$84:$D$99,0))*INDEX(EF!$H$100:$H$115,MATCH(Emissions!$D73,EF!$D$100:$D$115,0))*INDEX(EF!$H$132:$H$147,MATCH(Emissions!$D73,EF!$D$132:$D$147,0))*kgtoGg</f>
        <v>0.18002173499901231</v>
      </c>
      <c r="BH73" s="22">
        <f>INDEX('Activity data'!BH$24:BH$39,MATCH(Emissions!$D73,'Activity data'!$D$24:$D$39,0))*INDEX(EF!$H$84:$H$99,MATCH(Emissions!$D73,EF!$D$84:$D$99,0))*INDEX(EF!$H$100:$H$115,MATCH(Emissions!$D73,EF!$D$100:$D$115,0))*INDEX(EF!$H$132:$H$147,MATCH(Emissions!$D73,EF!$D$132:$D$147,0))*kgtoGg</f>
        <v>0.17926958048135197</v>
      </c>
      <c r="BI73" s="22">
        <f>INDEX('Activity data'!BI$24:BI$39,MATCH(Emissions!$D73,'Activity data'!$D$24:$D$39,0))*INDEX(EF!$H$84:$H$99,MATCH(Emissions!$D73,EF!$D$84:$D$99,0))*INDEX(EF!$H$100:$H$115,MATCH(Emissions!$D73,EF!$D$100:$D$115,0))*INDEX(EF!$H$132:$H$147,MATCH(Emissions!$D73,EF!$D$132:$D$147,0))*kgtoGg</f>
        <v>0.17851742596369158</v>
      </c>
      <c r="BJ73" s="22">
        <f>INDEX('Activity data'!BJ$24:BJ$39,MATCH(Emissions!$D73,'Activity data'!$D$24:$D$39,0))*INDEX(EF!$H$84:$H$99,MATCH(Emissions!$D73,EF!$D$84:$D$99,0))*INDEX(EF!$H$100:$H$115,MATCH(Emissions!$D73,EF!$D$100:$D$115,0))*INDEX(EF!$H$132:$H$147,MATCH(Emissions!$D73,EF!$D$132:$D$147,0))*kgtoGg</f>
        <v>0.17776527144603119</v>
      </c>
      <c r="BK73" s="22">
        <f>INDEX('Activity data'!BK$24:BK$39,MATCH(Emissions!$D73,'Activity data'!$D$24:$D$39,0))*INDEX(EF!$H$84:$H$99,MATCH(Emissions!$D73,EF!$D$84:$D$99,0))*INDEX(EF!$H$100:$H$115,MATCH(Emissions!$D73,EF!$D$100:$D$115,0))*INDEX(EF!$H$132:$H$147,MATCH(Emissions!$D73,EF!$D$132:$D$147,0))*kgtoGg</f>
        <v>0.17701311692837082</v>
      </c>
      <c r="BL73" s="22">
        <f>INDEX('Activity data'!BL$24:BL$39,MATCH(Emissions!$D73,'Activity data'!$D$24:$D$39,0))*INDEX(EF!$H$84:$H$99,MATCH(Emissions!$D73,EF!$D$84:$D$99,0))*INDEX(EF!$H$100:$H$115,MATCH(Emissions!$D73,EF!$D$100:$D$115,0))*INDEX(EF!$H$132:$H$147,MATCH(Emissions!$D73,EF!$D$132:$D$147,0))*kgtoGg</f>
        <v>0.17626096241071046</v>
      </c>
      <c r="BM73" s="22">
        <f>INDEX('Activity data'!BM$24:BM$39,MATCH(Emissions!$D73,'Activity data'!$D$24:$D$39,0))*INDEX(EF!$H$84:$H$99,MATCH(Emissions!$D73,EF!$D$84:$D$99,0))*INDEX(EF!$H$100:$H$115,MATCH(Emissions!$D73,EF!$D$100:$D$115,0))*INDEX(EF!$H$132:$H$147,MATCH(Emissions!$D73,EF!$D$132:$D$147,0))*kgtoGg</f>
        <v>0.17550880789305007</v>
      </c>
      <c r="BN73" s="22">
        <f>INDEX('Activity data'!BN$24:BN$39,MATCH(Emissions!$D73,'Activity data'!$D$24:$D$39,0))*INDEX(EF!$H$84:$H$99,MATCH(Emissions!$D73,EF!$D$84:$D$99,0))*INDEX(EF!$H$100:$H$115,MATCH(Emissions!$D73,EF!$D$100:$D$115,0))*INDEX(EF!$H$132:$H$147,MATCH(Emissions!$D73,EF!$D$132:$D$147,0))*kgtoGg</f>
        <v>0.17475665337538968</v>
      </c>
      <c r="BO73" s="22">
        <f>INDEX('Activity data'!BO$24:BO$39,MATCH(Emissions!$D73,'Activity data'!$D$24:$D$39,0))*INDEX(EF!$H$84:$H$99,MATCH(Emissions!$D73,EF!$D$84:$D$99,0))*INDEX(EF!$H$100:$H$115,MATCH(Emissions!$D73,EF!$D$100:$D$115,0))*INDEX(EF!$H$132:$H$147,MATCH(Emissions!$D73,EF!$D$132:$D$147,0))*kgtoGg</f>
        <v>0.17400449885772937</v>
      </c>
      <c r="BP73" s="22">
        <f>INDEX('Activity data'!BP$24:BP$39,MATCH(Emissions!$D73,'Activity data'!$D$24:$D$39,0))*INDEX(EF!$H$84:$H$99,MATCH(Emissions!$D73,EF!$D$84:$D$99,0))*INDEX(EF!$H$100:$H$115,MATCH(Emissions!$D73,EF!$D$100:$D$115,0))*INDEX(EF!$H$132:$H$147,MATCH(Emissions!$D73,EF!$D$132:$D$147,0))*kgtoGg</f>
        <v>0.17325234434006898</v>
      </c>
    </row>
    <row r="74" spans="1:68" x14ac:dyDescent="0.25">
      <c r="A74" t="str">
        <f t="shared" si="19"/>
        <v>3C Aggregated and non-CO2 emissions on land</v>
      </c>
      <c r="B74" t="str">
        <f t="shared" si="26"/>
        <v>3C1 Biomass burning (N2O)</v>
      </c>
      <c r="C74" t="str">
        <f t="shared" si="25"/>
        <v>3C1b Biomass burning in Croplands</v>
      </c>
      <c r="D74" t="str">
        <f>EF!D104</f>
        <v>Annual non-pivot</v>
      </c>
      <c r="E74" t="s">
        <v>645</v>
      </c>
      <c r="F74" t="str">
        <f t="shared" si="27"/>
        <v>N2O</v>
      </c>
      <c r="G74" t="str">
        <f t="shared" si="28"/>
        <v>Gg N2O</v>
      </c>
      <c r="H74" s="22">
        <f>INDEX('Activity data'!H$24:H$39,MATCH(Emissions!$D74,'Activity data'!$D$24:$D$39,0))*INDEX(EF!$H$84:$H$99,MATCH(Emissions!$D74,EF!$D$84:$D$99,0))*INDEX(EF!$H$100:$H$115,MATCH(Emissions!$D74,EF!$D$100:$D$115,0))*INDEX(EF!$H$132:$H$147,MATCH(Emissions!$D74,EF!$D$132:$D$147,0))*kgtoGg</f>
        <v>1.4723084100591942E-2</v>
      </c>
      <c r="I74" s="22">
        <f>INDEX('Activity data'!I$24:I$39,MATCH(Emissions!$D74,'Activity data'!$D$24:$D$39,0))*INDEX(EF!$H$84:$H$99,MATCH(Emissions!$D74,EF!$D$84:$D$99,0))*INDEX(EF!$H$100:$H$115,MATCH(Emissions!$D74,EF!$D$100:$D$115,0))*INDEX(EF!$H$132:$H$147,MATCH(Emissions!$D74,EF!$D$132:$D$147,0))*kgtoGg</f>
        <v>1.4723084100591942E-2</v>
      </c>
      <c r="J74" s="22">
        <f>INDEX('Activity data'!J$24:J$39,MATCH(Emissions!$D74,'Activity data'!$D$24:$D$39,0))*INDEX(EF!$H$84:$H$99,MATCH(Emissions!$D74,EF!$D$84:$D$99,0))*INDEX(EF!$H$100:$H$115,MATCH(Emissions!$D74,EF!$D$100:$D$115,0))*INDEX(EF!$H$132:$H$147,MATCH(Emissions!$D74,EF!$D$132:$D$147,0))*kgtoGg</f>
        <v>1.4723084100591942E-2</v>
      </c>
      <c r="K74" s="22">
        <f>INDEX('Activity data'!K$24:K$39,MATCH(Emissions!$D74,'Activity data'!$D$24:$D$39,0))*INDEX(EF!$H$84:$H$99,MATCH(Emissions!$D74,EF!$D$84:$D$99,0))*INDEX(EF!$H$100:$H$115,MATCH(Emissions!$D74,EF!$D$100:$D$115,0))*INDEX(EF!$H$132:$H$147,MATCH(Emissions!$D74,EF!$D$132:$D$147,0))*kgtoGg</f>
        <v>1.4723084100591942E-2</v>
      </c>
      <c r="L74" s="22">
        <f>INDEX('Activity data'!L$24:L$39,MATCH(Emissions!$D74,'Activity data'!$D$24:$D$39,0))*INDEX(EF!$H$84:$H$99,MATCH(Emissions!$D74,EF!$D$84:$D$99,0))*INDEX(EF!$H$100:$H$115,MATCH(Emissions!$D74,EF!$D$100:$D$115,0))*INDEX(EF!$H$132:$H$147,MATCH(Emissions!$D74,EF!$D$132:$D$147,0))*kgtoGg</f>
        <v>1.4723084100591942E-2</v>
      </c>
      <c r="M74" s="22">
        <f>INDEX('Activity data'!M$24:M$39,MATCH(Emissions!$D74,'Activity data'!$D$24:$D$39,0))*INDEX(EF!$H$84:$H$99,MATCH(Emissions!$D74,EF!$D$84:$D$99,0))*INDEX(EF!$H$100:$H$115,MATCH(Emissions!$D74,EF!$D$100:$D$115,0))*INDEX(EF!$H$132:$H$147,MATCH(Emissions!$D74,EF!$D$132:$D$147,0))*kgtoGg</f>
        <v>1.4723084100591942E-2</v>
      </c>
      <c r="N74" s="22">
        <f>INDEX('Activity data'!N$24:N$39,MATCH(Emissions!$D74,'Activity data'!$D$24:$D$39,0))*INDEX(EF!$H$84:$H$99,MATCH(Emissions!$D74,EF!$D$84:$D$99,0))*INDEX(EF!$H$100:$H$115,MATCH(Emissions!$D74,EF!$D$100:$D$115,0))*INDEX(EF!$H$132:$H$147,MATCH(Emissions!$D74,EF!$D$132:$D$147,0))*kgtoGg</f>
        <v>1.4723084100591942E-2</v>
      </c>
      <c r="O74" s="22">
        <f>INDEX('Activity data'!O$24:O$39,MATCH(Emissions!$D74,'Activity data'!$D$24:$D$39,0))*INDEX(EF!$H$84:$H$99,MATCH(Emissions!$D74,EF!$D$84:$D$99,0))*INDEX(EF!$H$100:$H$115,MATCH(Emissions!$D74,EF!$D$100:$D$115,0))*INDEX(EF!$H$132:$H$147,MATCH(Emissions!$D74,EF!$D$132:$D$147,0))*kgtoGg</f>
        <v>1.4723084100591942E-2</v>
      </c>
      <c r="P74" s="22">
        <f>INDEX('Activity data'!P$24:P$39,MATCH(Emissions!$D74,'Activity data'!$D$24:$D$39,0))*INDEX(EF!$H$84:$H$99,MATCH(Emissions!$D74,EF!$D$84:$D$99,0))*INDEX(EF!$H$100:$H$115,MATCH(Emissions!$D74,EF!$D$100:$D$115,0))*INDEX(EF!$H$132:$H$147,MATCH(Emissions!$D74,EF!$D$132:$D$147,0))*kgtoGg</f>
        <v>1.4723084100591942E-2</v>
      </c>
      <c r="Q74" s="22">
        <f>INDEX('Activity data'!Q$24:Q$39,MATCH(Emissions!$D74,'Activity data'!$D$24:$D$39,0))*INDEX(EF!$H$84:$H$99,MATCH(Emissions!$D74,EF!$D$84:$D$99,0))*INDEX(EF!$H$100:$H$115,MATCH(Emissions!$D74,EF!$D$100:$D$115,0))*INDEX(EF!$H$132:$H$147,MATCH(Emissions!$D74,EF!$D$132:$D$147,0))*kgtoGg</f>
        <v>1.4723084100591942E-2</v>
      </c>
      <c r="R74" s="22">
        <f>INDEX('Activity data'!R$24:R$39,MATCH(Emissions!$D74,'Activity data'!$D$24:$D$39,0))*INDEX(EF!$H$84:$H$99,MATCH(Emissions!$D74,EF!$D$84:$D$99,0))*INDEX(EF!$H$100:$H$115,MATCH(Emissions!$D74,EF!$D$100:$D$115,0))*INDEX(EF!$H$132:$H$147,MATCH(Emissions!$D74,EF!$D$132:$D$147,0))*kgtoGg</f>
        <v>1.496956177943767E-2</v>
      </c>
      <c r="S74" s="22">
        <f>INDEX('Activity data'!S$24:S$39,MATCH(Emissions!$D74,'Activity data'!$D$24:$D$39,0))*INDEX(EF!$H$84:$H$99,MATCH(Emissions!$D74,EF!$D$84:$D$99,0))*INDEX(EF!$H$100:$H$115,MATCH(Emissions!$D74,EF!$D$100:$D$115,0))*INDEX(EF!$H$132:$H$147,MATCH(Emissions!$D74,EF!$D$132:$D$147,0))*kgtoGg</f>
        <v>1.1679423956313528E-2</v>
      </c>
      <c r="T74" s="22">
        <f>INDEX('Activity data'!T$24:T$39,MATCH(Emissions!$D74,'Activity data'!$D$24:$D$39,0))*INDEX(EF!$H$84:$H$99,MATCH(Emissions!$D74,EF!$D$84:$D$99,0))*INDEX(EF!$H$100:$H$115,MATCH(Emissions!$D74,EF!$D$100:$D$115,0))*INDEX(EF!$H$132:$H$147,MATCH(Emissions!$D74,EF!$D$132:$D$147,0))*kgtoGg</f>
        <v>1.5184381774761928E-2</v>
      </c>
      <c r="U74" s="22">
        <f>INDEX('Activity data'!U$24:U$39,MATCH(Emissions!$D74,'Activity data'!$D$24:$D$39,0))*INDEX(EF!$H$84:$H$99,MATCH(Emissions!$D74,EF!$D$84:$D$99,0))*INDEX(EF!$H$100:$H$115,MATCH(Emissions!$D74,EF!$D$100:$D$115,0))*INDEX(EF!$H$132:$H$147,MATCH(Emissions!$D74,EF!$D$132:$D$147,0))*kgtoGg</f>
        <v>1.4065056535967114E-2</v>
      </c>
      <c r="V74" s="22">
        <f>INDEX('Activity data'!V$24:V$39,MATCH(Emissions!$D74,'Activity data'!$D$24:$D$39,0))*INDEX(EF!$H$84:$H$99,MATCH(Emissions!$D74,EF!$D$84:$D$99,0))*INDEX(EF!$H$100:$H$115,MATCH(Emissions!$D74,EF!$D$100:$D$115,0))*INDEX(EF!$H$132:$H$147,MATCH(Emissions!$D74,EF!$D$132:$D$147,0))*kgtoGg</f>
        <v>1.7716996456479478E-2</v>
      </c>
      <c r="W74" s="22">
        <f>INDEX('Activity data'!W$24:W$39,MATCH(Emissions!$D74,'Activity data'!$D$24:$D$39,0))*INDEX(EF!$H$84:$H$99,MATCH(Emissions!$D74,EF!$D$84:$D$99,0))*INDEX(EF!$H$100:$H$115,MATCH(Emissions!$D74,EF!$D$100:$D$115,0))*INDEX(EF!$H$132:$H$147,MATCH(Emissions!$D74,EF!$D$132:$D$147,0))*kgtoGg</f>
        <v>1.9458169050160297E-2</v>
      </c>
      <c r="X74" s="22">
        <f>INDEX('Activity data'!X$24:X$39,MATCH(Emissions!$D74,'Activity data'!$D$24:$D$39,0))*INDEX(EF!$H$84:$H$99,MATCH(Emissions!$D74,EF!$D$84:$D$99,0))*INDEX(EF!$H$100:$H$115,MATCH(Emissions!$D74,EF!$D$100:$D$115,0))*INDEX(EF!$H$132:$H$147,MATCH(Emissions!$D74,EF!$D$132:$D$147,0))*kgtoGg</f>
        <v>1.4585147050962685E-2</v>
      </c>
      <c r="Y74" s="22">
        <f>INDEX('Activity data'!Y$24:Y$39,MATCH(Emissions!$D74,'Activity data'!$D$24:$D$39,0))*INDEX(EF!$H$84:$H$99,MATCH(Emissions!$D74,EF!$D$84:$D$99,0))*INDEX(EF!$H$100:$H$115,MATCH(Emissions!$D74,EF!$D$100:$D$115,0))*INDEX(EF!$H$132:$H$147,MATCH(Emissions!$D74,EF!$D$132:$D$147,0))*kgtoGg</f>
        <v>1.4630372313136211E-2</v>
      </c>
      <c r="Z74" s="22">
        <f>INDEX('Activity data'!Z$24:Z$39,MATCH(Emissions!$D74,'Activity data'!$D$24:$D$39,0))*INDEX(EF!$H$84:$H$99,MATCH(Emissions!$D74,EF!$D$84:$D$99,0))*INDEX(EF!$H$100:$H$115,MATCH(Emissions!$D74,EF!$D$100:$D$115,0))*INDEX(EF!$H$132:$H$147,MATCH(Emissions!$D74,EF!$D$132:$D$147,0))*kgtoGg</f>
        <v>1.0333972406651079E-2</v>
      </c>
      <c r="AA74" s="22">
        <f>INDEX('Activity data'!AA$24:AA$39,MATCH(Emissions!$D74,'Activity data'!$D$24:$D$39,0))*INDEX(EF!$H$84:$H$99,MATCH(Emissions!$D74,EF!$D$84:$D$99,0))*INDEX(EF!$H$100:$H$115,MATCH(Emissions!$D74,EF!$D$100:$D$115,0))*INDEX(EF!$H$132:$H$147,MATCH(Emissions!$D74,EF!$D$132:$D$147,0))*kgtoGg</f>
        <v>1.0729693450669446E-2</v>
      </c>
      <c r="AB74" s="22">
        <f>INDEX('Activity data'!AB$24:AB$39,MATCH(Emissions!$D74,'Activity data'!$D$24:$D$39,0))*INDEX(EF!$H$84:$H$99,MATCH(Emissions!$D74,EF!$D$84:$D$99,0))*INDEX(EF!$H$100:$H$115,MATCH(Emissions!$D74,EF!$D$100:$D$115,0))*INDEX(EF!$H$132:$H$147,MATCH(Emissions!$D74,EF!$D$132:$D$147,0))*kgtoGg</f>
        <v>1.5161139000000001E-2</v>
      </c>
      <c r="AC74" s="22">
        <f>INDEX('Activity data'!AC$24:AC$39,MATCH(Emissions!$D74,'Activity data'!$D$24:$D$39,0))*INDEX(EF!$H$84:$H$99,MATCH(Emissions!$D74,EF!$D$84:$D$99,0))*INDEX(EF!$H$100:$H$115,MATCH(Emissions!$D74,EF!$D$100:$D$115,0))*INDEX(EF!$H$132:$H$147,MATCH(Emissions!$D74,EF!$D$132:$D$147,0))*kgtoGg</f>
        <v>1.5150334500000001E-2</v>
      </c>
      <c r="AD74" s="22">
        <f>INDEX('Activity data'!AD$24:AD$39,MATCH(Emissions!$D74,'Activity data'!$D$24:$D$39,0))*INDEX(EF!$H$84:$H$99,MATCH(Emissions!$D74,EF!$D$84:$D$99,0))*INDEX(EF!$H$100:$H$115,MATCH(Emissions!$D74,EF!$D$100:$D$115,0))*INDEX(EF!$H$132:$H$147,MATCH(Emissions!$D74,EF!$D$132:$D$147,0))*kgtoGg</f>
        <v>0.16151123227013586</v>
      </c>
      <c r="AE74" s="22">
        <f>INDEX('Activity data'!AE$24:AE$39,MATCH(Emissions!$D74,'Activity data'!$D$24:$D$39,0))*INDEX(EF!$H$84:$H$99,MATCH(Emissions!$D74,EF!$D$84:$D$99,0))*INDEX(EF!$H$100:$H$115,MATCH(Emissions!$D74,EF!$D$100:$D$115,0))*INDEX(EF!$H$132:$H$147,MATCH(Emissions!$D74,EF!$D$132:$D$147,0))*kgtoGg</f>
        <v>0.16106846886532766</v>
      </c>
      <c r="AF74" s="22">
        <f>INDEX('Activity data'!AF$24:AF$39,MATCH(Emissions!$D74,'Activity data'!$D$24:$D$39,0))*INDEX(EF!$H$84:$H$99,MATCH(Emissions!$D74,EF!$D$84:$D$99,0))*INDEX(EF!$H$100:$H$115,MATCH(Emissions!$D74,EF!$D$100:$D$115,0))*INDEX(EF!$H$132:$H$147,MATCH(Emissions!$D74,EF!$D$132:$D$147,0))*kgtoGg</f>
        <v>0.16062570546051952</v>
      </c>
      <c r="AG74" s="22">
        <f>INDEX('Activity data'!AG$24:AG$39,MATCH(Emissions!$D74,'Activity data'!$D$24:$D$39,0))*INDEX(EF!$H$84:$H$99,MATCH(Emissions!$D74,EF!$D$84:$D$99,0))*INDEX(EF!$H$100:$H$115,MATCH(Emissions!$D74,EF!$D$100:$D$115,0))*INDEX(EF!$H$132:$H$147,MATCH(Emissions!$D74,EF!$D$132:$D$147,0))*kgtoGg</f>
        <v>0.16018294205571132</v>
      </c>
      <c r="AH74" s="22">
        <f>INDEX('Activity data'!AH$24:AH$39,MATCH(Emissions!$D74,'Activity data'!$D$24:$D$39,0))*INDEX(EF!$H$84:$H$99,MATCH(Emissions!$D74,EF!$D$84:$D$99,0))*INDEX(EF!$H$100:$H$115,MATCH(Emissions!$D74,EF!$D$100:$D$115,0))*INDEX(EF!$H$132:$H$147,MATCH(Emissions!$D74,EF!$D$132:$D$147,0))*kgtoGg</f>
        <v>0.15974017865090312</v>
      </c>
      <c r="AI74" s="22">
        <f>INDEX('Activity data'!AI$24:AI$39,MATCH(Emissions!$D74,'Activity data'!$D$24:$D$39,0))*INDEX(EF!$H$84:$H$99,MATCH(Emissions!$D74,EF!$D$84:$D$99,0))*INDEX(EF!$H$100:$H$115,MATCH(Emissions!$D74,EF!$D$100:$D$115,0))*INDEX(EF!$H$132:$H$147,MATCH(Emissions!$D74,EF!$D$132:$D$147,0))*kgtoGg</f>
        <v>0.15929741524609498</v>
      </c>
      <c r="AJ74" s="22">
        <f>INDEX('Activity data'!AJ$24:AJ$39,MATCH(Emissions!$D74,'Activity data'!$D$24:$D$39,0))*INDEX(EF!$H$84:$H$99,MATCH(Emissions!$D74,EF!$D$84:$D$99,0))*INDEX(EF!$H$100:$H$115,MATCH(Emissions!$D74,EF!$D$100:$D$115,0))*INDEX(EF!$H$132:$H$147,MATCH(Emissions!$D74,EF!$D$132:$D$147,0))*kgtoGg</f>
        <v>0.15885465184128675</v>
      </c>
      <c r="AK74" s="22">
        <f>INDEX('Activity data'!AK$24:AK$39,MATCH(Emissions!$D74,'Activity data'!$D$24:$D$39,0))*INDEX(EF!$H$84:$H$99,MATCH(Emissions!$D74,EF!$D$84:$D$99,0))*INDEX(EF!$H$100:$H$115,MATCH(Emissions!$D74,EF!$D$100:$D$115,0))*INDEX(EF!$H$132:$H$147,MATCH(Emissions!$D74,EF!$D$132:$D$147,0))*kgtoGg</f>
        <v>0.15841188843647858</v>
      </c>
      <c r="AL74" s="22">
        <f>INDEX('Activity data'!AL$24:AL$39,MATCH(Emissions!$D74,'Activity data'!$D$24:$D$39,0))*INDEX(EF!$H$84:$H$99,MATCH(Emissions!$D74,EF!$D$84:$D$99,0))*INDEX(EF!$H$100:$H$115,MATCH(Emissions!$D74,EF!$D$100:$D$115,0))*INDEX(EF!$H$132:$H$147,MATCH(Emissions!$D74,EF!$D$132:$D$147,0))*kgtoGg</f>
        <v>0.1579691250316704</v>
      </c>
      <c r="AM74" s="22">
        <f>INDEX('Activity data'!AM$24:AM$39,MATCH(Emissions!$D74,'Activity data'!$D$24:$D$39,0))*INDEX(EF!$H$84:$H$99,MATCH(Emissions!$D74,EF!$D$84:$D$99,0))*INDEX(EF!$H$100:$H$115,MATCH(Emissions!$D74,EF!$D$100:$D$115,0))*INDEX(EF!$H$132:$H$147,MATCH(Emissions!$D74,EF!$D$132:$D$147,0))*kgtoGg</f>
        <v>0.15752636162686223</v>
      </c>
      <c r="AN74" s="22">
        <f>INDEX('Activity data'!AN$24:AN$39,MATCH(Emissions!$D74,'Activity data'!$D$24:$D$39,0))*INDEX(EF!$H$84:$H$99,MATCH(Emissions!$D74,EF!$D$84:$D$99,0))*INDEX(EF!$H$100:$H$115,MATCH(Emissions!$D74,EF!$D$100:$D$115,0))*INDEX(EF!$H$132:$H$147,MATCH(Emissions!$D74,EF!$D$132:$D$147,0))*kgtoGg</f>
        <v>0.15708359822205403</v>
      </c>
      <c r="AO74" s="22">
        <f>INDEX('Activity data'!AO$24:AO$39,MATCH(Emissions!$D74,'Activity data'!$D$24:$D$39,0))*INDEX(EF!$H$84:$H$99,MATCH(Emissions!$D74,EF!$D$84:$D$99,0))*INDEX(EF!$H$100:$H$115,MATCH(Emissions!$D74,EF!$D$100:$D$115,0))*INDEX(EF!$H$132:$H$147,MATCH(Emissions!$D74,EF!$D$132:$D$147,0))*kgtoGg</f>
        <v>0.15664083481724586</v>
      </c>
      <c r="AP74" s="22">
        <f>INDEX('Activity data'!AP$24:AP$39,MATCH(Emissions!$D74,'Activity data'!$D$24:$D$39,0))*INDEX(EF!$H$84:$H$99,MATCH(Emissions!$D74,EF!$D$84:$D$99,0))*INDEX(EF!$H$100:$H$115,MATCH(Emissions!$D74,EF!$D$100:$D$115,0))*INDEX(EF!$H$132:$H$147,MATCH(Emissions!$D74,EF!$D$132:$D$147,0))*kgtoGg</f>
        <v>0.15619807141243769</v>
      </c>
      <c r="AQ74" s="22">
        <f>INDEX('Activity data'!AQ$24:AQ$39,MATCH(Emissions!$D74,'Activity data'!$D$24:$D$39,0))*INDEX(EF!$H$84:$H$99,MATCH(Emissions!$D74,EF!$D$84:$D$99,0))*INDEX(EF!$H$100:$H$115,MATCH(Emissions!$D74,EF!$D$100:$D$115,0))*INDEX(EF!$H$132:$H$147,MATCH(Emissions!$D74,EF!$D$132:$D$147,0))*kgtoGg</f>
        <v>0.15575530800762949</v>
      </c>
      <c r="AR74" s="22">
        <f>INDEX('Activity data'!AR$24:AR$39,MATCH(Emissions!$D74,'Activity data'!$D$24:$D$39,0))*INDEX(EF!$H$84:$H$99,MATCH(Emissions!$D74,EF!$D$84:$D$99,0))*INDEX(EF!$H$100:$H$115,MATCH(Emissions!$D74,EF!$D$100:$D$115,0))*INDEX(EF!$H$132:$H$147,MATCH(Emissions!$D74,EF!$D$132:$D$147,0))*kgtoGg</f>
        <v>0.15531254460282132</v>
      </c>
      <c r="AS74" s="22">
        <f>INDEX('Activity data'!AS$24:AS$39,MATCH(Emissions!$D74,'Activity data'!$D$24:$D$39,0))*INDEX(EF!$H$84:$H$99,MATCH(Emissions!$D74,EF!$D$84:$D$99,0))*INDEX(EF!$H$100:$H$115,MATCH(Emissions!$D74,EF!$D$100:$D$115,0))*INDEX(EF!$H$132:$H$147,MATCH(Emissions!$D74,EF!$D$132:$D$147,0))*kgtoGg</f>
        <v>0.15486978119801315</v>
      </c>
      <c r="AT74" s="22">
        <f>INDEX('Activity data'!AT$24:AT$39,MATCH(Emissions!$D74,'Activity data'!$D$24:$D$39,0))*INDEX(EF!$H$84:$H$99,MATCH(Emissions!$D74,EF!$D$84:$D$99,0))*INDEX(EF!$H$100:$H$115,MATCH(Emissions!$D74,EF!$D$100:$D$115,0))*INDEX(EF!$H$132:$H$147,MATCH(Emissions!$D74,EF!$D$132:$D$147,0))*kgtoGg</f>
        <v>0.15442701779320495</v>
      </c>
      <c r="AU74" s="22">
        <f>INDEX('Activity data'!AU$24:AU$39,MATCH(Emissions!$D74,'Activity data'!$D$24:$D$39,0))*INDEX(EF!$H$84:$H$99,MATCH(Emissions!$D74,EF!$D$84:$D$99,0))*INDEX(EF!$H$100:$H$115,MATCH(Emissions!$D74,EF!$D$100:$D$115,0))*INDEX(EF!$H$132:$H$147,MATCH(Emissions!$D74,EF!$D$132:$D$147,0))*kgtoGg</f>
        <v>0.1539842543883968</v>
      </c>
      <c r="AV74" s="22">
        <f>INDEX('Activity data'!AV$24:AV$39,MATCH(Emissions!$D74,'Activity data'!$D$24:$D$39,0))*INDEX(EF!$H$84:$H$99,MATCH(Emissions!$D74,EF!$D$84:$D$99,0))*INDEX(EF!$H$100:$H$115,MATCH(Emissions!$D74,EF!$D$100:$D$115,0))*INDEX(EF!$H$132:$H$147,MATCH(Emissions!$D74,EF!$D$132:$D$147,0))*kgtoGg</f>
        <v>0.1535414909835886</v>
      </c>
      <c r="AW74" s="22">
        <f>INDEX('Activity data'!AW$24:AW$39,MATCH(Emissions!$D74,'Activity data'!$D$24:$D$39,0))*INDEX(EF!$H$84:$H$99,MATCH(Emissions!$D74,EF!$D$84:$D$99,0))*INDEX(EF!$H$100:$H$115,MATCH(Emissions!$D74,EF!$D$100:$D$115,0))*INDEX(EF!$H$132:$H$147,MATCH(Emissions!$D74,EF!$D$132:$D$147,0))*kgtoGg</f>
        <v>0.15309872757878043</v>
      </c>
      <c r="AX74" s="22">
        <f>INDEX('Activity data'!AX$24:AX$39,MATCH(Emissions!$D74,'Activity data'!$D$24:$D$39,0))*INDEX(EF!$H$84:$H$99,MATCH(Emissions!$D74,EF!$D$84:$D$99,0))*INDEX(EF!$H$100:$H$115,MATCH(Emissions!$D74,EF!$D$100:$D$115,0))*INDEX(EF!$H$132:$H$147,MATCH(Emissions!$D74,EF!$D$132:$D$147,0))*kgtoGg</f>
        <v>0.15265596417397226</v>
      </c>
      <c r="AY74" s="22">
        <f>INDEX('Activity data'!AY$24:AY$39,MATCH(Emissions!$D74,'Activity data'!$D$24:$D$39,0))*INDEX(EF!$H$84:$H$99,MATCH(Emissions!$D74,EF!$D$84:$D$99,0))*INDEX(EF!$H$100:$H$115,MATCH(Emissions!$D74,EF!$D$100:$D$115,0))*INDEX(EF!$H$132:$H$147,MATCH(Emissions!$D74,EF!$D$132:$D$147,0))*kgtoGg</f>
        <v>0.15221320076916403</v>
      </c>
      <c r="AZ74" s="22">
        <f>INDEX('Activity data'!AZ$24:AZ$39,MATCH(Emissions!$D74,'Activity data'!$D$24:$D$39,0))*INDEX(EF!$H$84:$H$99,MATCH(Emissions!$D74,EF!$D$84:$D$99,0))*INDEX(EF!$H$100:$H$115,MATCH(Emissions!$D74,EF!$D$100:$D$115,0))*INDEX(EF!$H$132:$H$147,MATCH(Emissions!$D74,EF!$D$132:$D$147,0))*kgtoGg</f>
        <v>0.15177043736435586</v>
      </c>
      <c r="BA74" s="22">
        <f>INDEX('Activity data'!BA$24:BA$39,MATCH(Emissions!$D74,'Activity data'!$D$24:$D$39,0))*INDEX(EF!$H$84:$H$99,MATCH(Emissions!$D74,EF!$D$84:$D$99,0))*INDEX(EF!$H$100:$H$115,MATCH(Emissions!$D74,EF!$D$100:$D$115,0))*INDEX(EF!$H$132:$H$147,MATCH(Emissions!$D74,EF!$D$132:$D$147,0))*kgtoGg</f>
        <v>0.15132767395954769</v>
      </c>
      <c r="BB74" s="22">
        <f>INDEX('Activity data'!BB$24:BB$39,MATCH(Emissions!$D74,'Activity data'!$D$24:$D$39,0))*INDEX(EF!$H$84:$H$99,MATCH(Emissions!$D74,EF!$D$84:$D$99,0))*INDEX(EF!$H$100:$H$115,MATCH(Emissions!$D74,EF!$D$100:$D$115,0))*INDEX(EF!$H$132:$H$147,MATCH(Emissions!$D74,EF!$D$132:$D$147,0))*kgtoGg</f>
        <v>0.15088491055473952</v>
      </c>
      <c r="BC74" s="22">
        <f>INDEX('Activity data'!BC$24:BC$39,MATCH(Emissions!$D74,'Activity data'!$D$24:$D$39,0))*INDEX(EF!$H$84:$H$99,MATCH(Emissions!$D74,EF!$D$84:$D$99,0))*INDEX(EF!$H$100:$H$115,MATCH(Emissions!$D74,EF!$D$100:$D$115,0))*INDEX(EF!$H$132:$H$147,MATCH(Emissions!$D74,EF!$D$132:$D$147,0))*kgtoGg</f>
        <v>0.15044214714993132</v>
      </c>
      <c r="BD74" s="22">
        <f>INDEX('Activity data'!BD$24:BD$39,MATCH(Emissions!$D74,'Activity data'!$D$24:$D$39,0))*INDEX(EF!$H$84:$H$99,MATCH(Emissions!$D74,EF!$D$84:$D$99,0))*INDEX(EF!$H$100:$H$115,MATCH(Emissions!$D74,EF!$D$100:$D$115,0))*INDEX(EF!$H$132:$H$147,MATCH(Emissions!$D74,EF!$D$132:$D$147,0))*kgtoGg</f>
        <v>0.14999938374512317</v>
      </c>
      <c r="BE74" s="22">
        <f>INDEX('Activity data'!BE$24:BE$39,MATCH(Emissions!$D74,'Activity data'!$D$24:$D$39,0))*INDEX(EF!$H$84:$H$99,MATCH(Emissions!$D74,EF!$D$84:$D$99,0))*INDEX(EF!$H$100:$H$115,MATCH(Emissions!$D74,EF!$D$100:$D$115,0))*INDEX(EF!$H$132:$H$147,MATCH(Emissions!$D74,EF!$D$132:$D$147,0))*kgtoGg</f>
        <v>0.14955662034031497</v>
      </c>
      <c r="BF74" s="22">
        <f>INDEX('Activity data'!BF$24:BF$39,MATCH(Emissions!$D74,'Activity data'!$D$24:$D$39,0))*INDEX(EF!$H$84:$H$99,MATCH(Emissions!$D74,EF!$D$84:$D$99,0))*INDEX(EF!$H$100:$H$115,MATCH(Emissions!$D74,EF!$D$100:$D$115,0))*INDEX(EF!$H$132:$H$147,MATCH(Emissions!$D74,EF!$D$132:$D$147,0))*kgtoGg</f>
        <v>0.14911385693550677</v>
      </c>
      <c r="BG74" s="22">
        <f>INDEX('Activity data'!BG$24:BG$39,MATCH(Emissions!$D74,'Activity data'!$D$24:$D$39,0))*INDEX(EF!$H$84:$H$99,MATCH(Emissions!$D74,EF!$D$84:$D$99,0))*INDEX(EF!$H$100:$H$115,MATCH(Emissions!$D74,EF!$D$100:$D$115,0))*INDEX(EF!$H$132:$H$147,MATCH(Emissions!$D74,EF!$D$132:$D$147,0))*kgtoGg</f>
        <v>0.14867109353069863</v>
      </c>
      <c r="BH74" s="22">
        <f>INDEX('Activity data'!BH$24:BH$39,MATCH(Emissions!$D74,'Activity data'!$D$24:$D$39,0))*INDEX(EF!$H$84:$H$99,MATCH(Emissions!$D74,EF!$D$84:$D$99,0))*INDEX(EF!$H$100:$H$115,MATCH(Emissions!$D74,EF!$D$100:$D$115,0))*INDEX(EF!$H$132:$H$147,MATCH(Emissions!$D74,EF!$D$132:$D$147,0))*kgtoGg</f>
        <v>0.14822833012589043</v>
      </c>
      <c r="BI74" s="22">
        <f>INDEX('Activity data'!BI$24:BI$39,MATCH(Emissions!$D74,'Activity data'!$D$24:$D$39,0))*INDEX(EF!$H$84:$H$99,MATCH(Emissions!$D74,EF!$D$84:$D$99,0))*INDEX(EF!$H$100:$H$115,MATCH(Emissions!$D74,EF!$D$100:$D$115,0))*INDEX(EF!$H$132:$H$147,MATCH(Emissions!$D74,EF!$D$132:$D$147,0))*kgtoGg</f>
        <v>0.14778556672108226</v>
      </c>
      <c r="BJ74" s="22">
        <f>INDEX('Activity data'!BJ$24:BJ$39,MATCH(Emissions!$D74,'Activity data'!$D$24:$D$39,0))*INDEX(EF!$H$84:$H$99,MATCH(Emissions!$D74,EF!$D$84:$D$99,0))*INDEX(EF!$H$100:$H$115,MATCH(Emissions!$D74,EF!$D$100:$D$115,0))*INDEX(EF!$H$132:$H$147,MATCH(Emissions!$D74,EF!$D$132:$D$147,0))*kgtoGg</f>
        <v>0.14734280331627406</v>
      </c>
      <c r="BK74" s="22">
        <f>INDEX('Activity data'!BK$24:BK$39,MATCH(Emissions!$D74,'Activity data'!$D$24:$D$39,0))*INDEX(EF!$H$84:$H$99,MATCH(Emissions!$D74,EF!$D$84:$D$99,0))*INDEX(EF!$H$100:$H$115,MATCH(Emissions!$D74,EF!$D$100:$D$115,0))*INDEX(EF!$H$132:$H$147,MATCH(Emissions!$D74,EF!$D$132:$D$147,0))*kgtoGg</f>
        <v>0.14690003991146589</v>
      </c>
      <c r="BL74" s="22">
        <f>INDEX('Activity data'!BL$24:BL$39,MATCH(Emissions!$D74,'Activity data'!$D$24:$D$39,0))*INDEX(EF!$H$84:$H$99,MATCH(Emissions!$D74,EF!$D$84:$D$99,0))*INDEX(EF!$H$100:$H$115,MATCH(Emissions!$D74,EF!$D$100:$D$115,0))*INDEX(EF!$H$132:$H$147,MATCH(Emissions!$D74,EF!$D$132:$D$147,0))*kgtoGg</f>
        <v>0.14645727650665771</v>
      </c>
      <c r="BM74" s="22">
        <f>INDEX('Activity data'!BM$24:BM$39,MATCH(Emissions!$D74,'Activity data'!$D$24:$D$39,0))*INDEX(EF!$H$84:$H$99,MATCH(Emissions!$D74,EF!$D$84:$D$99,0))*INDEX(EF!$H$100:$H$115,MATCH(Emissions!$D74,EF!$D$100:$D$115,0))*INDEX(EF!$H$132:$H$147,MATCH(Emissions!$D74,EF!$D$132:$D$147,0))*kgtoGg</f>
        <v>0.14601451310184949</v>
      </c>
      <c r="BN74" s="22">
        <f>INDEX('Activity data'!BN$24:BN$39,MATCH(Emissions!$D74,'Activity data'!$D$24:$D$39,0))*INDEX(EF!$H$84:$H$99,MATCH(Emissions!$D74,EF!$D$84:$D$99,0))*INDEX(EF!$H$100:$H$115,MATCH(Emissions!$D74,EF!$D$100:$D$115,0))*INDEX(EF!$H$132:$H$147,MATCH(Emissions!$D74,EF!$D$132:$D$147,0))*kgtoGg</f>
        <v>0.14557174969704134</v>
      </c>
      <c r="BO74" s="22">
        <f>INDEX('Activity data'!BO$24:BO$39,MATCH(Emissions!$D74,'Activity data'!$D$24:$D$39,0))*INDEX(EF!$H$84:$H$99,MATCH(Emissions!$D74,EF!$D$84:$D$99,0))*INDEX(EF!$H$100:$H$115,MATCH(Emissions!$D74,EF!$D$100:$D$115,0))*INDEX(EF!$H$132:$H$147,MATCH(Emissions!$D74,EF!$D$132:$D$147,0))*kgtoGg</f>
        <v>0.14512898629223317</v>
      </c>
      <c r="BP74" s="22">
        <f>INDEX('Activity data'!BP$24:BP$39,MATCH(Emissions!$D74,'Activity data'!$D$24:$D$39,0))*INDEX(EF!$H$84:$H$99,MATCH(Emissions!$D74,EF!$D$84:$D$99,0))*INDEX(EF!$H$100:$H$115,MATCH(Emissions!$D74,EF!$D$100:$D$115,0))*INDEX(EF!$H$132:$H$147,MATCH(Emissions!$D74,EF!$D$132:$D$147,0))*kgtoGg</f>
        <v>0.14468622288742497</v>
      </c>
    </row>
    <row r="75" spans="1:68" x14ac:dyDescent="0.25">
      <c r="A75" t="str">
        <f t="shared" si="19"/>
        <v>3C Aggregated and non-CO2 emissions on land</v>
      </c>
      <c r="B75" t="str">
        <f t="shared" si="26"/>
        <v>3C1 Biomass burning (N2O)</v>
      </c>
      <c r="C75" t="str">
        <f t="shared" si="25"/>
        <v>3C1b Biomass burning in Croplands</v>
      </c>
      <c r="D75" t="str">
        <f>EF!D105</f>
        <v>Annual pivot</v>
      </c>
      <c r="E75" t="s">
        <v>646</v>
      </c>
      <c r="F75" t="str">
        <f t="shared" si="27"/>
        <v>N2O</v>
      </c>
      <c r="G75" t="str">
        <f t="shared" si="28"/>
        <v>Gg N2O</v>
      </c>
      <c r="H75" s="22">
        <f>INDEX('Activity data'!H$24:H$39,MATCH(Emissions!$D75,'Activity data'!$D$24:$D$39,0))*INDEX(EF!$H$84:$H$99,MATCH(Emissions!$D75,EF!$D$84:$D$99,0))*INDEX(EF!$H$100:$H$115,MATCH(Emissions!$D75,EF!$D$100:$D$115,0))*INDEX(EF!$H$132:$H$147,MATCH(Emissions!$D75,EF!$D$132:$D$147,0))*kgtoGg</f>
        <v>0.18638235046954238</v>
      </c>
      <c r="I75" s="22">
        <f>INDEX('Activity data'!I$24:I$39,MATCH(Emissions!$D75,'Activity data'!$D$24:$D$39,0))*INDEX(EF!$H$84:$H$99,MATCH(Emissions!$D75,EF!$D$84:$D$99,0))*INDEX(EF!$H$100:$H$115,MATCH(Emissions!$D75,EF!$D$100:$D$115,0))*INDEX(EF!$H$132:$H$147,MATCH(Emissions!$D75,EF!$D$132:$D$147,0))*kgtoGg</f>
        <v>0.18638235046954238</v>
      </c>
      <c r="J75" s="22">
        <f>INDEX('Activity data'!J$24:J$39,MATCH(Emissions!$D75,'Activity data'!$D$24:$D$39,0))*INDEX(EF!$H$84:$H$99,MATCH(Emissions!$D75,EF!$D$84:$D$99,0))*INDEX(EF!$H$100:$H$115,MATCH(Emissions!$D75,EF!$D$100:$D$115,0))*INDEX(EF!$H$132:$H$147,MATCH(Emissions!$D75,EF!$D$132:$D$147,0))*kgtoGg</f>
        <v>0.18638235046954238</v>
      </c>
      <c r="K75" s="22">
        <f>INDEX('Activity data'!K$24:K$39,MATCH(Emissions!$D75,'Activity data'!$D$24:$D$39,0))*INDEX(EF!$H$84:$H$99,MATCH(Emissions!$D75,EF!$D$84:$D$99,0))*INDEX(EF!$H$100:$H$115,MATCH(Emissions!$D75,EF!$D$100:$D$115,0))*INDEX(EF!$H$132:$H$147,MATCH(Emissions!$D75,EF!$D$132:$D$147,0))*kgtoGg</f>
        <v>0.18638235046954238</v>
      </c>
      <c r="L75" s="22">
        <f>INDEX('Activity data'!L$24:L$39,MATCH(Emissions!$D75,'Activity data'!$D$24:$D$39,0))*INDEX(EF!$H$84:$H$99,MATCH(Emissions!$D75,EF!$D$84:$D$99,0))*INDEX(EF!$H$100:$H$115,MATCH(Emissions!$D75,EF!$D$100:$D$115,0))*INDEX(EF!$H$132:$H$147,MATCH(Emissions!$D75,EF!$D$132:$D$147,0))*kgtoGg</f>
        <v>0.18638235046954238</v>
      </c>
      <c r="M75" s="22">
        <f>INDEX('Activity data'!M$24:M$39,MATCH(Emissions!$D75,'Activity data'!$D$24:$D$39,0))*INDEX(EF!$H$84:$H$99,MATCH(Emissions!$D75,EF!$D$84:$D$99,0))*INDEX(EF!$H$100:$H$115,MATCH(Emissions!$D75,EF!$D$100:$D$115,0))*INDEX(EF!$H$132:$H$147,MATCH(Emissions!$D75,EF!$D$132:$D$147,0))*kgtoGg</f>
        <v>0.18638235046954238</v>
      </c>
      <c r="N75" s="22">
        <f>INDEX('Activity data'!N$24:N$39,MATCH(Emissions!$D75,'Activity data'!$D$24:$D$39,0))*INDEX(EF!$H$84:$H$99,MATCH(Emissions!$D75,EF!$D$84:$D$99,0))*INDEX(EF!$H$100:$H$115,MATCH(Emissions!$D75,EF!$D$100:$D$115,0))*INDEX(EF!$H$132:$H$147,MATCH(Emissions!$D75,EF!$D$132:$D$147,0))*kgtoGg</f>
        <v>0.18638235046954238</v>
      </c>
      <c r="O75" s="22">
        <f>INDEX('Activity data'!O$24:O$39,MATCH(Emissions!$D75,'Activity data'!$D$24:$D$39,0))*INDEX(EF!$H$84:$H$99,MATCH(Emissions!$D75,EF!$D$84:$D$99,0))*INDEX(EF!$H$100:$H$115,MATCH(Emissions!$D75,EF!$D$100:$D$115,0))*INDEX(EF!$H$132:$H$147,MATCH(Emissions!$D75,EF!$D$132:$D$147,0))*kgtoGg</f>
        <v>0.18638235046954238</v>
      </c>
      <c r="P75" s="22">
        <f>INDEX('Activity data'!P$24:P$39,MATCH(Emissions!$D75,'Activity data'!$D$24:$D$39,0))*INDEX(EF!$H$84:$H$99,MATCH(Emissions!$D75,EF!$D$84:$D$99,0))*INDEX(EF!$H$100:$H$115,MATCH(Emissions!$D75,EF!$D$100:$D$115,0))*INDEX(EF!$H$132:$H$147,MATCH(Emissions!$D75,EF!$D$132:$D$147,0))*kgtoGg</f>
        <v>0.18638235046954238</v>
      </c>
      <c r="Q75" s="22">
        <f>INDEX('Activity data'!Q$24:Q$39,MATCH(Emissions!$D75,'Activity data'!$D$24:$D$39,0))*INDEX(EF!$H$84:$H$99,MATCH(Emissions!$D75,EF!$D$84:$D$99,0))*INDEX(EF!$H$100:$H$115,MATCH(Emissions!$D75,EF!$D$100:$D$115,0))*INDEX(EF!$H$132:$H$147,MATCH(Emissions!$D75,EF!$D$132:$D$147,0))*kgtoGg</f>
        <v>0.18638235046954238</v>
      </c>
      <c r="R75" s="22">
        <f>INDEX('Activity data'!R$24:R$39,MATCH(Emissions!$D75,'Activity data'!$D$24:$D$39,0))*INDEX(EF!$H$84:$H$99,MATCH(Emissions!$D75,EF!$D$84:$D$99,0))*INDEX(EF!$H$100:$H$115,MATCH(Emissions!$D75,EF!$D$100:$D$115,0))*INDEX(EF!$H$132:$H$147,MATCH(Emissions!$D75,EF!$D$132:$D$147,0))*kgtoGg</f>
        <v>0.20162552508512988</v>
      </c>
      <c r="S75" s="22">
        <f>INDEX('Activity data'!S$24:S$39,MATCH(Emissions!$D75,'Activity data'!$D$24:$D$39,0))*INDEX(EF!$H$84:$H$99,MATCH(Emissions!$D75,EF!$D$84:$D$99,0))*INDEX(EF!$H$100:$H$115,MATCH(Emissions!$D75,EF!$D$100:$D$115,0))*INDEX(EF!$H$132:$H$147,MATCH(Emissions!$D75,EF!$D$132:$D$147,0))*kgtoGg</f>
        <v>0.18678033277666942</v>
      </c>
      <c r="T75" s="22">
        <f>INDEX('Activity data'!T$24:T$39,MATCH(Emissions!$D75,'Activity data'!$D$24:$D$39,0))*INDEX(EF!$H$84:$H$99,MATCH(Emissions!$D75,EF!$D$84:$D$99,0))*INDEX(EF!$H$100:$H$115,MATCH(Emissions!$D75,EF!$D$100:$D$115,0))*INDEX(EF!$H$132:$H$147,MATCH(Emissions!$D75,EF!$D$132:$D$147,0))*kgtoGg</f>
        <v>0.2287267634426163</v>
      </c>
      <c r="U75" s="22">
        <f>INDEX('Activity data'!U$24:U$39,MATCH(Emissions!$D75,'Activity data'!$D$24:$D$39,0))*INDEX(EF!$H$84:$H$99,MATCH(Emissions!$D75,EF!$D$84:$D$99,0))*INDEX(EF!$H$100:$H$115,MATCH(Emissions!$D75,EF!$D$100:$D$115,0))*INDEX(EF!$H$132:$H$147,MATCH(Emissions!$D75,EF!$D$132:$D$147,0))*kgtoGg</f>
        <v>0.17075928365169724</v>
      </c>
      <c r="V75" s="22">
        <f>INDEX('Activity data'!V$24:V$39,MATCH(Emissions!$D75,'Activity data'!$D$24:$D$39,0))*INDEX(EF!$H$84:$H$99,MATCH(Emissions!$D75,EF!$D$84:$D$99,0))*INDEX(EF!$H$100:$H$115,MATCH(Emissions!$D75,EF!$D$100:$D$115,0))*INDEX(EF!$H$132:$H$147,MATCH(Emissions!$D75,EF!$D$132:$D$147,0))*kgtoGg</f>
        <v>0.14401984739159893</v>
      </c>
      <c r="W75" s="22">
        <f>INDEX('Activity data'!W$24:W$39,MATCH(Emissions!$D75,'Activity data'!$D$24:$D$39,0))*INDEX(EF!$H$84:$H$99,MATCH(Emissions!$D75,EF!$D$84:$D$99,0))*INDEX(EF!$H$100:$H$115,MATCH(Emissions!$D75,EF!$D$100:$D$115,0))*INDEX(EF!$H$132:$H$147,MATCH(Emissions!$D75,EF!$D$132:$D$147,0))*kgtoGg</f>
        <v>0.24379808206194442</v>
      </c>
      <c r="X75" s="22">
        <f>INDEX('Activity data'!X$24:X$39,MATCH(Emissions!$D75,'Activity data'!$D$24:$D$39,0))*INDEX(EF!$H$84:$H$99,MATCH(Emissions!$D75,EF!$D$84:$D$99,0))*INDEX(EF!$H$100:$H$115,MATCH(Emissions!$D75,EF!$D$100:$D$115,0))*INDEX(EF!$H$132:$H$147,MATCH(Emissions!$D75,EF!$D$132:$D$147,0))*kgtoGg</f>
        <v>0.24850150932799131</v>
      </c>
      <c r="Y75" s="22">
        <f>INDEX('Activity data'!Y$24:Y$39,MATCH(Emissions!$D75,'Activity data'!$D$24:$D$39,0))*INDEX(EF!$H$84:$H$99,MATCH(Emissions!$D75,EF!$D$84:$D$99,0))*INDEX(EF!$H$100:$H$115,MATCH(Emissions!$D75,EF!$D$100:$D$115,0))*INDEX(EF!$H$132:$H$147,MATCH(Emissions!$D75,EF!$D$132:$D$147,0))*kgtoGg</f>
        <v>0.14049227694206379</v>
      </c>
      <c r="Z75" s="22">
        <f>INDEX('Activity data'!Z$24:Z$39,MATCH(Emissions!$D75,'Activity data'!$D$24:$D$39,0))*INDEX(EF!$H$84:$H$99,MATCH(Emissions!$D75,EF!$D$84:$D$99,0))*INDEX(EF!$H$100:$H$115,MATCH(Emissions!$D75,EF!$D$100:$D$115,0))*INDEX(EF!$H$132:$H$147,MATCH(Emissions!$D75,EF!$D$132:$D$147,0))*kgtoGg</f>
        <v>0.16253959225165854</v>
      </c>
      <c r="AA75" s="22">
        <f>INDEX('Activity data'!AA$24:AA$39,MATCH(Emissions!$D75,'Activity data'!$D$24:$D$39,0))*INDEX(EF!$H$84:$H$99,MATCH(Emissions!$D75,EF!$D$84:$D$99,0))*INDEX(EF!$H$100:$H$115,MATCH(Emissions!$D75,EF!$D$100:$D$115,0))*INDEX(EF!$H$132:$H$147,MATCH(Emissions!$D75,EF!$D$132:$D$147,0))*kgtoGg</f>
        <v>0.16079841965797775</v>
      </c>
      <c r="AB75" s="22">
        <f>INDEX('Activity data'!AB$24:AB$39,MATCH(Emissions!$D75,'Activity data'!$D$24:$D$39,0))*INDEX(EF!$H$84:$H$99,MATCH(Emissions!$D75,EF!$D$84:$D$99,0))*INDEX(EF!$H$100:$H$115,MATCH(Emissions!$D75,EF!$D$100:$D$115,0))*INDEX(EF!$H$132:$H$147,MATCH(Emissions!$D75,EF!$D$132:$D$147,0))*kgtoGg</f>
        <v>0.18131878170000001</v>
      </c>
      <c r="AC75" s="22">
        <f>INDEX('Activity data'!AC$24:AC$39,MATCH(Emissions!$D75,'Activity data'!$D$24:$D$39,0))*INDEX(EF!$H$84:$H$99,MATCH(Emissions!$D75,EF!$D$84:$D$99,0))*INDEX(EF!$H$100:$H$115,MATCH(Emissions!$D75,EF!$D$100:$D$115,0))*INDEX(EF!$H$132:$H$147,MATCH(Emissions!$D75,EF!$D$132:$D$147,0))*kgtoGg</f>
        <v>0.1894221126</v>
      </c>
      <c r="AD75" s="22">
        <f>INDEX('Activity data'!AD$24:AD$39,MATCH(Emissions!$D75,'Activity data'!$D$24:$D$39,0))*INDEX(EF!$H$84:$H$99,MATCH(Emissions!$D75,EF!$D$84:$D$99,0))*INDEX(EF!$H$100:$H$115,MATCH(Emissions!$D75,EF!$D$100:$D$115,0))*INDEX(EF!$H$132:$H$147,MATCH(Emissions!$D75,EF!$D$132:$D$147,0))*kgtoGg</f>
        <v>1.3363672472411908E-2</v>
      </c>
      <c r="AE75" s="22">
        <f>INDEX('Activity data'!AE$24:AE$39,MATCH(Emissions!$D75,'Activity data'!$D$24:$D$39,0))*INDEX(EF!$H$84:$H$99,MATCH(Emissions!$D75,EF!$D$84:$D$99,0))*INDEX(EF!$H$100:$H$115,MATCH(Emissions!$D75,EF!$D$100:$D$115,0))*INDEX(EF!$H$132:$H$147,MATCH(Emissions!$D75,EF!$D$132:$D$147,0))*kgtoGg</f>
        <v>1.3770022882720941E-2</v>
      </c>
      <c r="AF75" s="22">
        <f>INDEX('Activity data'!AF$24:AF$39,MATCH(Emissions!$D75,'Activity data'!$D$24:$D$39,0))*INDEX(EF!$H$84:$H$99,MATCH(Emissions!$D75,EF!$D$84:$D$99,0))*INDEX(EF!$H$100:$H$115,MATCH(Emissions!$D75,EF!$D$100:$D$115,0))*INDEX(EF!$H$132:$H$147,MATCH(Emissions!$D75,EF!$D$132:$D$147,0))*kgtoGg</f>
        <v>1.4176373293029969E-2</v>
      </c>
      <c r="AG75" s="22">
        <f>INDEX('Activity data'!AG$24:AG$39,MATCH(Emissions!$D75,'Activity data'!$D$24:$D$39,0))*INDEX(EF!$H$84:$H$99,MATCH(Emissions!$D75,EF!$D$84:$D$99,0))*INDEX(EF!$H$100:$H$115,MATCH(Emissions!$D75,EF!$D$100:$D$115,0))*INDEX(EF!$H$132:$H$147,MATCH(Emissions!$D75,EF!$D$132:$D$147,0))*kgtoGg</f>
        <v>1.4582723703339006E-2</v>
      </c>
      <c r="AH75" s="22">
        <f>INDEX('Activity data'!AH$24:AH$39,MATCH(Emissions!$D75,'Activity data'!$D$24:$D$39,0))*INDEX(EF!$H$84:$H$99,MATCH(Emissions!$D75,EF!$D$84:$D$99,0))*INDEX(EF!$H$100:$H$115,MATCH(Emissions!$D75,EF!$D$100:$D$115,0))*INDEX(EF!$H$132:$H$147,MATCH(Emissions!$D75,EF!$D$132:$D$147,0))*kgtoGg</f>
        <v>1.4989074113648037E-2</v>
      </c>
      <c r="AI75" s="22">
        <f>INDEX('Activity data'!AI$24:AI$39,MATCH(Emissions!$D75,'Activity data'!$D$24:$D$39,0))*INDEX(EF!$H$84:$H$99,MATCH(Emissions!$D75,EF!$D$84:$D$99,0))*INDEX(EF!$H$100:$H$115,MATCH(Emissions!$D75,EF!$D$100:$D$115,0))*INDEX(EF!$H$132:$H$147,MATCH(Emissions!$D75,EF!$D$132:$D$147,0))*kgtoGg</f>
        <v>1.5395424523957073E-2</v>
      </c>
      <c r="AJ75" s="22">
        <f>INDEX('Activity data'!AJ$24:AJ$39,MATCH(Emissions!$D75,'Activity data'!$D$24:$D$39,0))*INDEX(EF!$H$84:$H$99,MATCH(Emissions!$D75,EF!$D$84:$D$99,0))*INDEX(EF!$H$100:$H$115,MATCH(Emissions!$D75,EF!$D$100:$D$115,0))*INDEX(EF!$H$132:$H$147,MATCH(Emissions!$D75,EF!$D$132:$D$147,0))*kgtoGg</f>
        <v>1.58017749342661E-2</v>
      </c>
      <c r="AK75" s="22">
        <f>INDEX('Activity data'!AK$24:AK$39,MATCH(Emissions!$D75,'Activity data'!$D$24:$D$39,0))*INDEX(EF!$H$84:$H$99,MATCH(Emissions!$D75,EF!$D$84:$D$99,0))*INDEX(EF!$H$100:$H$115,MATCH(Emissions!$D75,EF!$D$100:$D$115,0))*INDEX(EF!$H$132:$H$147,MATCH(Emissions!$D75,EF!$D$132:$D$147,0))*kgtoGg</f>
        <v>1.6208125344575129E-2</v>
      </c>
      <c r="AL75" s="22">
        <f>INDEX('Activity data'!AL$24:AL$39,MATCH(Emissions!$D75,'Activity data'!$D$24:$D$39,0))*INDEX(EF!$H$84:$H$99,MATCH(Emissions!$D75,EF!$D$84:$D$99,0))*INDEX(EF!$H$100:$H$115,MATCH(Emissions!$D75,EF!$D$100:$D$115,0))*INDEX(EF!$H$132:$H$147,MATCH(Emissions!$D75,EF!$D$132:$D$147,0))*kgtoGg</f>
        <v>1.6614475754884166E-2</v>
      </c>
      <c r="AM75" s="22">
        <f>INDEX('Activity data'!AM$24:AM$39,MATCH(Emissions!$D75,'Activity data'!$D$24:$D$39,0))*INDEX(EF!$H$84:$H$99,MATCH(Emissions!$D75,EF!$D$84:$D$99,0))*INDEX(EF!$H$100:$H$115,MATCH(Emissions!$D75,EF!$D$100:$D$115,0))*INDEX(EF!$H$132:$H$147,MATCH(Emissions!$D75,EF!$D$132:$D$147,0))*kgtoGg</f>
        <v>1.7020826165193202E-2</v>
      </c>
      <c r="AN75" s="22">
        <f>INDEX('Activity data'!AN$24:AN$39,MATCH(Emissions!$D75,'Activity data'!$D$24:$D$39,0))*INDEX(EF!$H$84:$H$99,MATCH(Emissions!$D75,EF!$D$84:$D$99,0))*INDEX(EF!$H$100:$H$115,MATCH(Emissions!$D75,EF!$D$100:$D$115,0))*INDEX(EF!$H$132:$H$147,MATCH(Emissions!$D75,EF!$D$132:$D$147,0))*kgtoGg</f>
        <v>1.7427176575502232E-2</v>
      </c>
      <c r="AO75" s="22">
        <f>INDEX('Activity data'!AO$24:AO$39,MATCH(Emissions!$D75,'Activity data'!$D$24:$D$39,0))*INDEX(EF!$H$84:$H$99,MATCH(Emissions!$D75,EF!$D$84:$D$99,0))*INDEX(EF!$H$100:$H$115,MATCH(Emissions!$D75,EF!$D$100:$D$115,0))*INDEX(EF!$H$132:$H$147,MATCH(Emissions!$D75,EF!$D$132:$D$147,0))*kgtoGg</f>
        <v>1.7833526985811265E-2</v>
      </c>
      <c r="AP75" s="22">
        <f>INDEX('Activity data'!AP$24:AP$39,MATCH(Emissions!$D75,'Activity data'!$D$24:$D$39,0))*INDEX(EF!$H$84:$H$99,MATCH(Emissions!$D75,EF!$D$84:$D$99,0))*INDEX(EF!$H$100:$H$115,MATCH(Emissions!$D75,EF!$D$100:$D$115,0))*INDEX(EF!$H$132:$H$147,MATCH(Emissions!$D75,EF!$D$132:$D$147,0))*kgtoGg</f>
        <v>1.8239877396120294E-2</v>
      </c>
      <c r="AQ75" s="22">
        <f>INDEX('Activity data'!AQ$24:AQ$39,MATCH(Emissions!$D75,'Activity data'!$D$24:$D$39,0))*INDEX(EF!$H$84:$H$99,MATCH(Emissions!$D75,EF!$D$84:$D$99,0))*INDEX(EF!$H$100:$H$115,MATCH(Emissions!$D75,EF!$D$100:$D$115,0))*INDEX(EF!$H$132:$H$147,MATCH(Emissions!$D75,EF!$D$132:$D$147,0))*kgtoGg</f>
        <v>1.8646227806429327E-2</v>
      </c>
      <c r="AR75" s="22">
        <f>INDEX('Activity data'!AR$24:AR$39,MATCH(Emissions!$D75,'Activity data'!$D$24:$D$39,0))*INDEX(EF!$H$84:$H$99,MATCH(Emissions!$D75,EF!$D$84:$D$99,0))*INDEX(EF!$H$100:$H$115,MATCH(Emissions!$D75,EF!$D$100:$D$115,0))*INDEX(EF!$H$132:$H$147,MATCH(Emissions!$D75,EF!$D$132:$D$147,0))*kgtoGg</f>
        <v>1.9052578216738364E-2</v>
      </c>
      <c r="AS75" s="22">
        <f>INDEX('Activity data'!AS$24:AS$39,MATCH(Emissions!$D75,'Activity data'!$D$24:$D$39,0))*INDEX(EF!$H$84:$H$99,MATCH(Emissions!$D75,EF!$D$84:$D$99,0))*INDEX(EF!$H$100:$H$115,MATCH(Emissions!$D75,EF!$D$100:$D$115,0))*INDEX(EF!$H$132:$H$147,MATCH(Emissions!$D75,EF!$D$132:$D$147,0))*kgtoGg</f>
        <v>1.9458928627047394E-2</v>
      </c>
      <c r="AT75" s="22">
        <f>INDEX('Activity data'!AT$24:AT$39,MATCH(Emissions!$D75,'Activity data'!$D$24:$D$39,0))*INDEX(EF!$H$84:$H$99,MATCH(Emissions!$D75,EF!$D$84:$D$99,0))*INDEX(EF!$H$100:$H$115,MATCH(Emissions!$D75,EF!$D$100:$D$115,0))*INDEX(EF!$H$132:$H$147,MATCH(Emissions!$D75,EF!$D$132:$D$147,0))*kgtoGg</f>
        <v>1.986527903735643E-2</v>
      </c>
      <c r="AU75" s="22">
        <f>INDEX('Activity data'!AU$24:AU$39,MATCH(Emissions!$D75,'Activity data'!$D$24:$D$39,0))*INDEX(EF!$H$84:$H$99,MATCH(Emissions!$D75,EF!$D$84:$D$99,0))*INDEX(EF!$H$100:$H$115,MATCH(Emissions!$D75,EF!$D$100:$D$115,0))*INDEX(EF!$H$132:$H$147,MATCH(Emissions!$D75,EF!$D$132:$D$147,0))*kgtoGg</f>
        <v>2.027162944766546E-2</v>
      </c>
      <c r="AV75" s="22">
        <f>INDEX('Activity data'!AV$24:AV$39,MATCH(Emissions!$D75,'Activity data'!$D$24:$D$39,0))*INDEX(EF!$H$84:$H$99,MATCH(Emissions!$D75,EF!$D$84:$D$99,0))*INDEX(EF!$H$100:$H$115,MATCH(Emissions!$D75,EF!$D$100:$D$115,0))*INDEX(EF!$H$132:$H$147,MATCH(Emissions!$D75,EF!$D$132:$D$147,0))*kgtoGg</f>
        <v>2.0677979857974496E-2</v>
      </c>
      <c r="AW75" s="22">
        <f>INDEX('Activity data'!AW$24:AW$39,MATCH(Emissions!$D75,'Activity data'!$D$24:$D$39,0))*INDEX(EF!$H$84:$H$99,MATCH(Emissions!$D75,EF!$D$84:$D$99,0))*INDEX(EF!$H$100:$H$115,MATCH(Emissions!$D75,EF!$D$100:$D$115,0))*INDEX(EF!$H$132:$H$147,MATCH(Emissions!$D75,EF!$D$132:$D$147,0))*kgtoGg</f>
        <v>2.1084330268283526E-2</v>
      </c>
      <c r="AX75" s="22">
        <f>INDEX('Activity data'!AX$24:AX$39,MATCH(Emissions!$D75,'Activity data'!$D$24:$D$39,0))*INDEX(EF!$H$84:$H$99,MATCH(Emissions!$D75,EF!$D$84:$D$99,0))*INDEX(EF!$H$100:$H$115,MATCH(Emissions!$D75,EF!$D$100:$D$115,0))*INDEX(EF!$H$132:$H$147,MATCH(Emissions!$D75,EF!$D$132:$D$147,0))*kgtoGg</f>
        <v>2.1490680678592562E-2</v>
      </c>
      <c r="AY75" s="22">
        <f>INDEX('Activity data'!AY$24:AY$39,MATCH(Emissions!$D75,'Activity data'!$D$24:$D$39,0))*INDEX(EF!$H$84:$H$99,MATCH(Emissions!$D75,EF!$D$84:$D$99,0))*INDEX(EF!$H$100:$H$115,MATCH(Emissions!$D75,EF!$D$100:$D$115,0))*INDEX(EF!$H$132:$H$147,MATCH(Emissions!$D75,EF!$D$132:$D$147,0))*kgtoGg</f>
        <v>2.1897031088901588E-2</v>
      </c>
      <c r="AZ75" s="22">
        <f>INDEX('Activity data'!AZ$24:AZ$39,MATCH(Emissions!$D75,'Activity data'!$D$24:$D$39,0))*INDEX(EF!$H$84:$H$99,MATCH(Emissions!$D75,EF!$D$84:$D$99,0))*INDEX(EF!$H$100:$H$115,MATCH(Emissions!$D75,EF!$D$100:$D$115,0))*INDEX(EF!$H$132:$H$147,MATCH(Emissions!$D75,EF!$D$132:$D$147,0))*kgtoGg</f>
        <v>2.2303381499210621E-2</v>
      </c>
      <c r="BA75" s="22">
        <f>INDEX('Activity data'!BA$24:BA$39,MATCH(Emissions!$D75,'Activity data'!$D$24:$D$39,0))*INDEX(EF!$H$84:$H$99,MATCH(Emissions!$D75,EF!$D$84:$D$99,0))*INDEX(EF!$H$100:$H$115,MATCH(Emissions!$D75,EF!$D$100:$D$115,0))*INDEX(EF!$H$132:$H$147,MATCH(Emissions!$D75,EF!$D$132:$D$147,0))*kgtoGg</f>
        <v>2.2709731909519658E-2</v>
      </c>
      <c r="BB75" s="22">
        <f>INDEX('Activity data'!BB$24:BB$39,MATCH(Emissions!$D75,'Activity data'!$D$24:$D$39,0))*INDEX(EF!$H$84:$H$99,MATCH(Emissions!$D75,EF!$D$84:$D$99,0))*INDEX(EF!$H$100:$H$115,MATCH(Emissions!$D75,EF!$D$100:$D$115,0))*INDEX(EF!$H$132:$H$147,MATCH(Emissions!$D75,EF!$D$132:$D$147,0))*kgtoGg</f>
        <v>2.3116082319828691E-2</v>
      </c>
      <c r="BC75" s="22">
        <f>INDEX('Activity data'!BC$24:BC$39,MATCH(Emissions!$D75,'Activity data'!$D$24:$D$39,0))*INDEX(EF!$H$84:$H$99,MATCH(Emissions!$D75,EF!$D$84:$D$99,0))*INDEX(EF!$H$100:$H$115,MATCH(Emissions!$D75,EF!$D$100:$D$115,0))*INDEX(EF!$H$132:$H$147,MATCH(Emissions!$D75,EF!$D$132:$D$147,0))*kgtoGg</f>
        <v>2.3522432730137724E-2</v>
      </c>
      <c r="BD75" s="22">
        <f>INDEX('Activity data'!BD$24:BD$39,MATCH(Emissions!$D75,'Activity data'!$D$24:$D$39,0))*INDEX(EF!$H$84:$H$99,MATCH(Emissions!$D75,EF!$D$84:$D$99,0))*INDEX(EF!$H$100:$H$115,MATCH(Emissions!$D75,EF!$D$100:$D$115,0))*INDEX(EF!$H$132:$H$147,MATCH(Emissions!$D75,EF!$D$132:$D$147,0))*kgtoGg</f>
        <v>2.392878314044675E-2</v>
      </c>
      <c r="BE75" s="22">
        <f>INDEX('Activity data'!BE$24:BE$39,MATCH(Emissions!$D75,'Activity data'!$D$24:$D$39,0))*INDEX(EF!$H$84:$H$99,MATCH(Emissions!$D75,EF!$D$84:$D$99,0))*INDEX(EF!$H$100:$H$115,MATCH(Emissions!$D75,EF!$D$100:$D$115,0))*INDEX(EF!$H$132:$H$147,MATCH(Emissions!$D75,EF!$D$132:$D$147,0))*kgtoGg</f>
        <v>2.433513355075579E-2</v>
      </c>
      <c r="BF75" s="22">
        <f>INDEX('Activity data'!BF$24:BF$39,MATCH(Emissions!$D75,'Activity data'!$D$24:$D$39,0))*INDEX(EF!$H$84:$H$99,MATCH(Emissions!$D75,EF!$D$84:$D$99,0))*INDEX(EF!$H$100:$H$115,MATCH(Emissions!$D75,EF!$D$100:$D$115,0))*INDEX(EF!$H$132:$H$147,MATCH(Emissions!$D75,EF!$D$132:$D$147,0))*kgtoGg</f>
        <v>2.4741483961064823E-2</v>
      </c>
      <c r="BG75" s="22">
        <f>INDEX('Activity data'!BG$24:BG$39,MATCH(Emissions!$D75,'Activity data'!$D$24:$D$39,0))*INDEX(EF!$H$84:$H$99,MATCH(Emissions!$D75,EF!$D$84:$D$99,0))*INDEX(EF!$H$100:$H$115,MATCH(Emissions!$D75,EF!$D$100:$D$115,0))*INDEX(EF!$H$132:$H$147,MATCH(Emissions!$D75,EF!$D$132:$D$147,0))*kgtoGg</f>
        <v>2.5147834371373849E-2</v>
      </c>
      <c r="BH75" s="22">
        <f>INDEX('Activity data'!BH$24:BH$39,MATCH(Emissions!$D75,'Activity data'!$D$24:$D$39,0))*INDEX(EF!$H$84:$H$99,MATCH(Emissions!$D75,EF!$D$84:$D$99,0))*INDEX(EF!$H$100:$H$115,MATCH(Emissions!$D75,EF!$D$100:$D$115,0))*INDEX(EF!$H$132:$H$147,MATCH(Emissions!$D75,EF!$D$132:$D$147,0))*kgtoGg</f>
        <v>2.5554184781682879E-2</v>
      </c>
      <c r="BI75" s="22">
        <f>INDEX('Activity data'!BI$24:BI$39,MATCH(Emissions!$D75,'Activity data'!$D$24:$D$39,0))*INDEX(EF!$H$84:$H$99,MATCH(Emissions!$D75,EF!$D$84:$D$99,0))*INDEX(EF!$H$100:$H$115,MATCH(Emissions!$D75,EF!$D$100:$D$115,0))*INDEX(EF!$H$132:$H$147,MATCH(Emissions!$D75,EF!$D$132:$D$147,0))*kgtoGg</f>
        <v>2.5960535191991915E-2</v>
      </c>
      <c r="BJ75" s="22">
        <f>INDEX('Activity data'!BJ$24:BJ$39,MATCH(Emissions!$D75,'Activity data'!$D$24:$D$39,0))*INDEX(EF!$H$84:$H$99,MATCH(Emissions!$D75,EF!$D$84:$D$99,0))*INDEX(EF!$H$100:$H$115,MATCH(Emissions!$D75,EF!$D$100:$D$115,0))*INDEX(EF!$H$132:$H$147,MATCH(Emissions!$D75,EF!$D$132:$D$147,0))*kgtoGg</f>
        <v>2.6366885602300948E-2</v>
      </c>
      <c r="BK75" s="22">
        <f>INDEX('Activity data'!BK$24:BK$39,MATCH(Emissions!$D75,'Activity data'!$D$24:$D$39,0))*INDEX(EF!$H$84:$H$99,MATCH(Emissions!$D75,EF!$D$84:$D$99,0))*INDEX(EF!$H$100:$H$115,MATCH(Emissions!$D75,EF!$D$100:$D$115,0))*INDEX(EF!$H$132:$H$147,MATCH(Emissions!$D75,EF!$D$132:$D$147,0))*kgtoGg</f>
        <v>2.6773236012609978E-2</v>
      </c>
      <c r="BL75" s="22">
        <f>INDEX('Activity data'!BL$24:BL$39,MATCH(Emissions!$D75,'Activity data'!$D$24:$D$39,0))*INDEX(EF!$H$84:$H$99,MATCH(Emissions!$D75,EF!$D$84:$D$99,0))*INDEX(EF!$H$100:$H$115,MATCH(Emissions!$D75,EF!$D$100:$D$115,0))*INDEX(EF!$H$132:$H$147,MATCH(Emissions!$D75,EF!$D$132:$D$147,0))*kgtoGg</f>
        <v>2.7179586422919014E-2</v>
      </c>
      <c r="BM75" s="22">
        <f>INDEX('Activity data'!BM$24:BM$39,MATCH(Emissions!$D75,'Activity data'!$D$24:$D$39,0))*INDEX(EF!$H$84:$H$99,MATCH(Emissions!$D75,EF!$D$84:$D$99,0))*INDEX(EF!$H$100:$H$115,MATCH(Emissions!$D75,EF!$D$100:$D$115,0))*INDEX(EF!$H$132:$H$147,MATCH(Emissions!$D75,EF!$D$132:$D$147,0))*kgtoGg</f>
        <v>2.7585936833228034E-2</v>
      </c>
      <c r="BN75" s="22">
        <f>INDEX('Activity data'!BN$24:BN$39,MATCH(Emissions!$D75,'Activity data'!$D$24:$D$39,0))*INDEX(EF!$H$84:$H$99,MATCH(Emissions!$D75,EF!$D$84:$D$99,0))*INDEX(EF!$H$100:$H$115,MATCH(Emissions!$D75,EF!$D$100:$D$115,0))*INDEX(EF!$H$132:$H$147,MATCH(Emissions!$D75,EF!$D$132:$D$147,0))*kgtoGg</f>
        <v>2.7992287243537067E-2</v>
      </c>
      <c r="BO75" s="22">
        <f>INDEX('Activity data'!BO$24:BO$39,MATCH(Emissions!$D75,'Activity data'!$D$24:$D$39,0))*INDEX(EF!$H$84:$H$99,MATCH(Emissions!$D75,EF!$D$84:$D$99,0))*INDEX(EF!$H$100:$H$115,MATCH(Emissions!$D75,EF!$D$100:$D$115,0))*INDEX(EF!$H$132:$H$147,MATCH(Emissions!$D75,EF!$D$132:$D$147,0))*kgtoGg</f>
        <v>2.8398637653846096E-2</v>
      </c>
      <c r="BP75" s="22">
        <f>INDEX('Activity data'!BP$24:BP$39,MATCH(Emissions!$D75,'Activity data'!$D$24:$D$39,0))*INDEX(EF!$H$84:$H$99,MATCH(Emissions!$D75,EF!$D$84:$D$99,0))*INDEX(EF!$H$100:$H$115,MATCH(Emissions!$D75,EF!$D$100:$D$115,0))*INDEX(EF!$H$132:$H$147,MATCH(Emissions!$D75,EF!$D$132:$D$147,0))*kgtoGg</f>
        <v>2.8804988064155126E-2</v>
      </c>
    </row>
    <row r="76" spans="1:68" x14ac:dyDescent="0.25">
      <c r="A76" t="str">
        <f t="shared" si="19"/>
        <v>3C Aggregated and non-CO2 emissions on land</v>
      </c>
      <c r="B76" t="str">
        <f t="shared" si="26"/>
        <v>3C1 Biomass burning (N2O)</v>
      </c>
      <c r="C76" t="str">
        <f t="shared" si="25"/>
        <v>3C1b Biomass burning in Croplands</v>
      </c>
      <c r="D76" t="str">
        <f>EF!D106</f>
        <v>Perennial orchards</v>
      </c>
      <c r="E76" t="s">
        <v>647</v>
      </c>
      <c r="F76" t="str">
        <f t="shared" si="27"/>
        <v>N2O</v>
      </c>
      <c r="G76" t="str">
        <f t="shared" si="28"/>
        <v>Gg N2O</v>
      </c>
      <c r="H76" s="22">
        <f>INDEX('Activity data'!H$24:H$39,MATCH(Emissions!$D76,'Activity data'!$D$24:$D$39,0))*INDEX(EF!$H$84:$H$99,MATCH(Emissions!$D76,EF!$D$84:$D$99,0))*INDEX(EF!$H$100:$H$115,MATCH(Emissions!$D76,EF!$D$100:$D$115,0))*INDEX(EF!$H$132:$H$147,MATCH(Emissions!$D76,EF!$D$132:$D$147,0))*kgtoGg</f>
        <v>1.3318839710103907E-3</v>
      </c>
      <c r="I76" s="22">
        <f>INDEX('Activity data'!I$24:I$39,MATCH(Emissions!$D76,'Activity data'!$D$24:$D$39,0))*INDEX(EF!$H$84:$H$99,MATCH(Emissions!$D76,EF!$D$84:$D$99,0))*INDEX(EF!$H$100:$H$115,MATCH(Emissions!$D76,EF!$D$100:$D$115,0))*INDEX(EF!$H$132:$H$147,MATCH(Emissions!$D76,EF!$D$132:$D$147,0))*kgtoGg</f>
        <v>1.3318839710103907E-3</v>
      </c>
      <c r="J76" s="22">
        <f>INDEX('Activity data'!J$24:J$39,MATCH(Emissions!$D76,'Activity data'!$D$24:$D$39,0))*INDEX(EF!$H$84:$H$99,MATCH(Emissions!$D76,EF!$D$84:$D$99,0))*INDEX(EF!$H$100:$H$115,MATCH(Emissions!$D76,EF!$D$100:$D$115,0))*INDEX(EF!$H$132:$H$147,MATCH(Emissions!$D76,EF!$D$132:$D$147,0))*kgtoGg</f>
        <v>1.3318839710103907E-3</v>
      </c>
      <c r="K76" s="22">
        <f>INDEX('Activity data'!K$24:K$39,MATCH(Emissions!$D76,'Activity data'!$D$24:$D$39,0))*INDEX(EF!$H$84:$H$99,MATCH(Emissions!$D76,EF!$D$84:$D$99,0))*INDEX(EF!$H$100:$H$115,MATCH(Emissions!$D76,EF!$D$100:$D$115,0))*INDEX(EF!$H$132:$H$147,MATCH(Emissions!$D76,EF!$D$132:$D$147,0))*kgtoGg</f>
        <v>1.3318839710103907E-3</v>
      </c>
      <c r="L76" s="22">
        <f>INDEX('Activity data'!L$24:L$39,MATCH(Emissions!$D76,'Activity data'!$D$24:$D$39,0))*INDEX(EF!$H$84:$H$99,MATCH(Emissions!$D76,EF!$D$84:$D$99,0))*INDEX(EF!$H$100:$H$115,MATCH(Emissions!$D76,EF!$D$100:$D$115,0))*INDEX(EF!$H$132:$H$147,MATCH(Emissions!$D76,EF!$D$132:$D$147,0))*kgtoGg</f>
        <v>1.3318839710103907E-3</v>
      </c>
      <c r="M76" s="22">
        <f>INDEX('Activity data'!M$24:M$39,MATCH(Emissions!$D76,'Activity data'!$D$24:$D$39,0))*INDEX(EF!$H$84:$H$99,MATCH(Emissions!$D76,EF!$D$84:$D$99,0))*INDEX(EF!$H$100:$H$115,MATCH(Emissions!$D76,EF!$D$100:$D$115,0))*INDEX(EF!$H$132:$H$147,MATCH(Emissions!$D76,EF!$D$132:$D$147,0))*kgtoGg</f>
        <v>1.3318839710103907E-3</v>
      </c>
      <c r="N76" s="22">
        <f>INDEX('Activity data'!N$24:N$39,MATCH(Emissions!$D76,'Activity data'!$D$24:$D$39,0))*INDEX(EF!$H$84:$H$99,MATCH(Emissions!$D76,EF!$D$84:$D$99,0))*INDEX(EF!$H$100:$H$115,MATCH(Emissions!$D76,EF!$D$100:$D$115,0))*INDEX(EF!$H$132:$H$147,MATCH(Emissions!$D76,EF!$D$132:$D$147,0))*kgtoGg</f>
        <v>1.3318839710103907E-3</v>
      </c>
      <c r="O76" s="22">
        <f>INDEX('Activity data'!O$24:O$39,MATCH(Emissions!$D76,'Activity data'!$D$24:$D$39,0))*INDEX(EF!$H$84:$H$99,MATCH(Emissions!$D76,EF!$D$84:$D$99,0))*INDEX(EF!$H$100:$H$115,MATCH(Emissions!$D76,EF!$D$100:$D$115,0))*INDEX(EF!$H$132:$H$147,MATCH(Emissions!$D76,EF!$D$132:$D$147,0))*kgtoGg</f>
        <v>1.3318839710103907E-3</v>
      </c>
      <c r="P76" s="22">
        <f>INDEX('Activity data'!P$24:P$39,MATCH(Emissions!$D76,'Activity data'!$D$24:$D$39,0))*INDEX(EF!$H$84:$H$99,MATCH(Emissions!$D76,EF!$D$84:$D$99,0))*INDEX(EF!$H$100:$H$115,MATCH(Emissions!$D76,EF!$D$100:$D$115,0))*INDEX(EF!$H$132:$H$147,MATCH(Emissions!$D76,EF!$D$132:$D$147,0))*kgtoGg</f>
        <v>1.3318839710103907E-3</v>
      </c>
      <c r="Q76" s="22">
        <f>INDEX('Activity data'!Q$24:Q$39,MATCH(Emissions!$D76,'Activity data'!$D$24:$D$39,0))*INDEX(EF!$H$84:$H$99,MATCH(Emissions!$D76,EF!$D$84:$D$99,0))*INDEX(EF!$H$100:$H$115,MATCH(Emissions!$D76,EF!$D$100:$D$115,0))*INDEX(EF!$H$132:$H$147,MATCH(Emissions!$D76,EF!$D$132:$D$147,0))*kgtoGg</f>
        <v>1.3318839710103907E-3</v>
      </c>
      <c r="R76" s="22">
        <f>INDEX('Activity data'!R$24:R$39,MATCH(Emissions!$D76,'Activity data'!$D$24:$D$39,0))*INDEX(EF!$H$84:$H$99,MATCH(Emissions!$D76,EF!$D$84:$D$99,0))*INDEX(EF!$H$100:$H$115,MATCH(Emissions!$D76,EF!$D$100:$D$115,0))*INDEX(EF!$H$132:$H$147,MATCH(Emissions!$D76,EF!$D$132:$D$147,0))*kgtoGg</f>
        <v>1.0175683989043735E-3</v>
      </c>
      <c r="S76" s="22">
        <f>INDEX('Activity data'!S$24:S$39,MATCH(Emissions!$D76,'Activity data'!$D$24:$D$39,0))*INDEX(EF!$H$84:$H$99,MATCH(Emissions!$D76,EF!$D$84:$D$99,0))*INDEX(EF!$H$100:$H$115,MATCH(Emissions!$D76,EF!$D$100:$D$115,0))*INDEX(EF!$H$132:$H$147,MATCH(Emissions!$D76,EF!$D$132:$D$147,0))*kgtoGg</f>
        <v>1.9559925890050732E-3</v>
      </c>
      <c r="T76" s="22">
        <f>INDEX('Activity data'!T$24:T$39,MATCH(Emissions!$D76,'Activity data'!$D$24:$D$39,0))*INDEX(EF!$H$84:$H$99,MATCH(Emissions!$D76,EF!$D$84:$D$99,0))*INDEX(EF!$H$100:$H$115,MATCH(Emissions!$D76,EF!$D$100:$D$115,0))*INDEX(EF!$H$132:$H$147,MATCH(Emissions!$D76,EF!$D$132:$D$147,0))*kgtoGg</f>
        <v>1.4245957584661227E-3</v>
      </c>
      <c r="U76" s="22">
        <f>INDEX('Activity data'!U$24:U$39,MATCH(Emissions!$D76,'Activity data'!$D$24:$D$39,0))*INDEX(EF!$H$84:$H$99,MATCH(Emissions!$D76,EF!$D$84:$D$99,0))*INDEX(EF!$H$100:$H$115,MATCH(Emissions!$D76,EF!$D$100:$D$115,0))*INDEX(EF!$H$132:$H$147,MATCH(Emissions!$D76,EF!$D$132:$D$147,0))*kgtoGg</f>
        <v>1.4585147050962684E-3</v>
      </c>
      <c r="V76" s="22">
        <f>INDEX('Activity data'!V$24:V$39,MATCH(Emissions!$D76,'Activity data'!$D$24:$D$39,0))*INDEX(EF!$H$84:$H$99,MATCH(Emissions!$D76,EF!$D$84:$D$99,0))*INDEX(EF!$H$100:$H$115,MATCH(Emissions!$D76,EF!$D$100:$D$115,0))*INDEX(EF!$H$132:$H$147,MATCH(Emissions!$D76,EF!$D$132:$D$147,0))*kgtoGg</f>
        <v>8.0274840358011664E-4</v>
      </c>
      <c r="W76" s="22">
        <f>INDEX('Activity data'!W$24:W$39,MATCH(Emissions!$D76,'Activity data'!$D$24:$D$39,0))*INDEX(EF!$H$84:$H$99,MATCH(Emissions!$D76,EF!$D$84:$D$99,0))*INDEX(EF!$H$100:$H$115,MATCH(Emissions!$D76,EF!$D$100:$D$115,0))*INDEX(EF!$H$132:$H$147,MATCH(Emissions!$D76,EF!$D$132:$D$147,0))*kgtoGg</f>
        <v>1.8090104869411081E-3</v>
      </c>
      <c r="X76" s="22">
        <f>INDEX('Activity data'!X$24:X$39,MATCH(Emissions!$D76,'Activity data'!$D$24:$D$39,0))*INDEX(EF!$H$84:$H$99,MATCH(Emissions!$D76,EF!$D$84:$D$99,0))*INDEX(EF!$H$100:$H$115,MATCH(Emissions!$D76,EF!$D$100:$D$115,0))*INDEX(EF!$H$132:$H$147,MATCH(Emissions!$D76,EF!$D$132:$D$147,0))*kgtoGg</f>
        <v>1.2550010253153938E-3</v>
      </c>
      <c r="Y76" s="22">
        <f>INDEX('Activity data'!Y$24:Y$39,MATCH(Emissions!$D76,'Activity data'!$D$24:$D$39,0))*INDEX(EF!$H$84:$H$99,MATCH(Emissions!$D76,EF!$D$84:$D$99,0))*INDEX(EF!$H$100:$H$115,MATCH(Emissions!$D76,EF!$D$100:$D$115,0))*INDEX(EF!$H$132:$H$147,MATCH(Emissions!$D76,EF!$D$132:$D$147,0))*kgtoGg</f>
        <v>2.1821188998727113E-3</v>
      </c>
      <c r="Z76" s="22">
        <f>INDEX('Activity data'!Z$24:Z$39,MATCH(Emissions!$D76,'Activity data'!$D$24:$D$39,0))*INDEX(EF!$H$84:$H$99,MATCH(Emissions!$D76,EF!$D$84:$D$99,0))*INDEX(EF!$H$100:$H$115,MATCH(Emissions!$D76,EF!$D$100:$D$115,0))*INDEX(EF!$H$132:$H$147,MATCH(Emissions!$D76,EF!$D$132:$D$147,0))*kgtoGg</f>
        <v>2.7813536236719538E-3</v>
      </c>
      <c r="AA76" s="22">
        <f>INDEX('Activity data'!AA$24:AA$39,MATCH(Emissions!$D76,'Activity data'!$D$24:$D$39,0))*INDEX(EF!$H$84:$H$99,MATCH(Emissions!$D76,EF!$D$84:$D$99,0))*INDEX(EF!$H$100:$H$115,MATCH(Emissions!$D76,EF!$D$100:$D$115,0))*INDEX(EF!$H$132:$H$147,MATCH(Emissions!$D76,EF!$D$132:$D$147,0))*kgtoGg</f>
        <v>1.1871631320551021E-3</v>
      </c>
      <c r="AB76" s="22">
        <f>INDEX('Activity data'!AB$24:AB$39,MATCH(Emissions!$D76,'Activity data'!$D$24:$D$39,0))*INDEX(EF!$H$84:$H$99,MATCH(Emissions!$D76,EF!$D$84:$D$99,0))*INDEX(EF!$H$100:$H$115,MATCH(Emissions!$D76,EF!$D$100:$D$115,0))*INDEX(EF!$H$132:$H$147,MATCH(Emissions!$D76,EF!$D$132:$D$147,0))*kgtoGg</f>
        <v>1.9954808999999999E-3</v>
      </c>
      <c r="AC76" s="22">
        <f>INDEX('Activity data'!AC$24:AC$39,MATCH(Emissions!$D76,'Activity data'!$D$24:$D$39,0))*INDEX(EF!$H$84:$H$99,MATCH(Emissions!$D76,EF!$D$84:$D$99,0))*INDEX(EF!$H$100:$H$115,MATCH(Emissions!$D76,EF!$D$100:$D$115,0))*INDEX(EF!$H$132:$H$147,MATCH(Emissions!$D76,EF!$D$132:$D$147,0))*kgtoGg</f>
        <v>1.5262569E-3</v>
      </c>
      <c r="AD76" s="22">
        <f>INDEX('Activity data'!AD$24:AD$39,MATCH(Emissions!$D76,'Activity data'!$D$24:$D$39,0))*INDEX(EF!$H$84:$H$99,MATCH(Emissions!$D76,EF!$D$84:$D$99,0))*INDEX(EF!$H$100:$H$115,MATCH(Emissions!$D76,EF!$D$100:$D$115,0))*INDEX(EF!$H$132:$H$147,MATCH(Emissions!$D76,EF!$D$132:$D$147,0))*kgtoGg</f>
        <v>1.5816881190357272E-3</v>
      </c>
      <c r="AE76" s="22">
        <f>INDEX('Activity data'!AE$24:AE$39,MATCH(Emissions!$D76,'Activity data'!$D$24:$D$39,0))*INDEX(EF!$H$84:$H$99,MATCH(Emissions!$D76,EF!$D$84:$D$99,0))*INDEX(EF!$H$100:$H$115,MATCH(Emissions!$D76,EF!$D$100:$D$115,0))*INDEX(EF!$H$132:$H$147,MATCH(Emissions!$D76,EF!$D$132:$D$147,0))*kgtoGg</f>
        <v>1.5951964157097593E-3</v>
      </c>
      <c r="AF76" s="22">
        <f>INDEX('Activity data'!AF$24:AF$39,MATCH(Emissions!$D76,'Activity data'!$D$24:$D$39,0))*INDEX(EF!$H$84:$H$99,MATCH(Emissions!$D76,EF!$D$84:$D$99,0))*INDEX(EF!$H$100:$H$115,MATCH(Emissions!$D76,EF!$D$100:$D$115,0))*INDEX(EF!$H$132:$H$147,MATCH(Emissions!$D76,EF!$D$132:$D$147,0))*kgtoGg</f>
        <v>1.6087047123837911E-3</v>
      </c>
      <c r="AG76" s="22">
        <f>INDEX('Activity data'!AG$24:AG$39,MATCH(Emissions!$D76,'Activity data'!$D$24:$D$39,0))*INDEX(EF!$H$84:$H$99,MATCH(Emissions!$D76,EF!$D$84:$D$99,0))*INDEX(EF!$H$100:$H$115,MATCH(Emissions!$D76,EF!$D$100:$D$115,0))*INDEX(EF!$H$132:$H$147,MATCH(Emissions!$D76,EF!$D$132:$D$147,0))*kgtoGg</f>
        <v>1.6222130090578235E-3</v>
      </c>
      <c r="AH76" s="22">
        <f>INDEX('Activity data'!AH$24:AH$39,MATCH(Emissions!$D76,'Activity data'!$D$24:$D$39,0))*INDEX(EF!$H$84:$H$99,MATCH(Emissions!$D76,EF!$D$84:$D$99,0))*INDEX(EF!$H$100:$H$115,MATCH(Emissions!$D76,EF!$D$100:$D$115,0))*INDEX(EF!$H$132:$H$147,MATCH(Emissions!$D76,EF!$D$132:$D$147,0))*kgtoGg</f>
        <v>1.6357213057318551E-3</v>
      </c>
      <c r="AI76" s="22">
        <f>INDEX('Activity data'!AI$24:AI$39,MATCH(Emissions!$D76,'Activity data'!$D$24:$D$39,0))*INDEX(EF!$H$84:$H$99,MATCH(Emissions!$D76,EF!$D$84:$D$99,0))*INDEX(EF!$H$100:$H$115,MATCH(Emissions!$D76,EF!$D$100:$D$115,0))*INDEX(EF!$H$132:$H$147,MATCH(Emissions!$D76,EF!$D$132:$D$147,0))*kgtoGg</f>
        <v>1.6492296024058872E-3</v>
      </c>
      <c r="AJ76" s="22">
        <f>INDEX('Activity data'!AJ$24:AJ$39,MATCH(Emissions!$D76,'Activity data'!$D$24:$D$39,0))*INDEX(EF!$H$84:$H$99,MATCH(Emissions!$D76,EF!$D$84:$D$99,0))*INDEX(EF!$H$100:$H$115,MATCH(Emissions!$D76,EF!$D$100:$D$115,0))*INDEX(EF!$H$132:$H$147,MATCH(Emissions!$D76,EF!$D$132:$D$147,0))*kgtoGg</f>
        <v>1.6627378990799191E-3</v>
      </c>
      <c r="AK76" s="22">
        <f>INDEX('Activity data'!AK$24:AK$39,MATCH(Emissions!$D76,'Activity data'!$D$24:$D$39,0))*INDEX(EF!$H$84:$H$99,MATCH(Emissions!$D76,EF!$D$84:$D$99,0))*INDEX(EF!$H$100:$H$115,MATCH(Emissions!$D76,EF!$D$100:$D$115,0))*INDEX(EF!$H$132:$H$147,MATCH(Emissions!$D76,EF!$D$132:$D$147,0))*kgtoGg</f>
        <v>1.6762461957539514E-3</v>
      </c>
      <c r="AL76" s="22">
        <f>INDEX('Activity data'!AL$24:AL$39,MATCH(Emissions!$D76,'Activity data'!$D$24:$D$39,0))*INDEX(EF!$H$84:$H$99,MATCH(Emissions!$D76,EF!$D$84:$D$99,0))*INDEX(EF!$H$100:$H$115,MATCH(Emissions!$D76,EF!$D$100:$D$115,0))*INDEX(EF!$H$132:$H$147,MATCH(Emissions!$D76,EF!$D$132:$D$147,0))*kgtoGg</f>
        <v>1.6897544924279831E-3</v>
      </c>
      <c r="AM76" s="22">
        <f>INDEX('Activity data'!AM$24:AM$39,MATCH(Emissions!$D76,'Activity data'!$D$24:$D$39,0))*INDEX(EF!$H$84:$H$99,MATCH(Emissions!$D76,EF!$D$84:$D$99,0))*INDEX(EF!$H$100:$H$115,MATCH(Emissions!$D76,EF!$D$100:$D$115,0))*INDEX(EF!$H$132:$H$147,MATCH(Emissions!$D76,EF!$D$132:$D$147,0))*kgtoGg</f>
        <v>1.7032627891020152E-3</v>
      </c>
      <c r="AN76" s="22">
        <f>INDEX('Activity data'!AN$24:AN$39,MATCH(Emissions!$D76,'Activity data'!$D$24:$D$39,0))*INDEX(EF!$H$84:$H$99,MATCH(Emissions!$D76,EF!$D$84:$D$99,0))*INDEX(EF!$H$100:$H$115,MATCH(Emissions!$D76,EF!$D$100:$D$115,0))*INDEX(EF!$H$132:$H$147,MATCH(Emissions!$D76,EF!$D$132:$D$147,0))*kgtoGg</f>
        <v>1.716771085776047E-3</v>
      </c>
      <c r="AO76" s="22">
        <f>INDEX('Activity data'!AO$24:AO$39,MATCH(Emissions!$D76,'Activity data'!$D$24:$D$39,0))*INDEX(EF!$H$84:$H$99,MATCH(Emissions!$D76,EF!$D$84:$D$99,0))*INDEX(EF!$H$100:$H$115,MATCH(Emissions!$D76,EF!$D$100:$D$115,0))*INDEX(EF!$H$132:$H$147,MATCH(Emissions!$D76,EF!$D$132:$D$147,0))*kgtoGg</f>
        <v>1.7302793824500789E-3</v>
      </c>
      <c r="AP76" s="22">
        <f>INDEX('Activity data'!AP$24:AP$39,MATCH(Emissions!$D76,'Activity data'!$D$24:$D$39,0))*INDEX(EF!$H$84:$H$99,MATCH(Emissions!$D76,EF!$D$84:$D$99,0))*INDEX(EF!$H$100:$H$115,MATCH(Emissions!$D76,EF!$D$100:$D$115,0))*INDEX(EF!$H$132:$H$147,MATCH(Emissions!$D76,EF!$D$132:$D$147,0))*kgtoGg</f>
        <v>1.7437876791241112E-3</v>
      </c>
      <c r="AQ76" s="22">
        <f>INDEX('Activity data'!AQ$24:AQ$39,MATCH(Emissions!$D76,'Activity data'!$D$24:$D$39,0))*INDEX(EF!$H$84:$H$99,MATCH(Emissions!$D76,EF!$D$84:$D$99,0))*INDEX(EF!$H$100:$H$115,MATCH(Emissions!$D76,EF!$D$100:$D$115,0))*INDEX(EF!$H$132:$H$147,MATCH(Emissions!$D76,EF!$D$132:$D$147,0))*kgtoGg</f>
        <v>1.7572959757981431E-3</v>
      </c>
      <c r="AR76" s="22">
        <f>INDEX('Activity data'!AR$24:AR$39,MATCH(Emissions!$D76,'Activity data'!$D$24:$D$39,0))*INDEX(EF!$H$84:$H$99,MATCH(Emissions!$D76,EF!$D$84:$D$99,0))*INDEX(EF!$H$100:$H$115,MATCH(Emissions!$D76,EF!$D$100:$D$115,0))*INDEX(EF!$H$132:$H$147,MATCH(Emissions!$D76,EF!$D$132:$D$147,0))*kgtoGg</f>
        <v>1.7708042724721754E-3</v>
      </c>
      <c r="AS76" s="22">
        <f>INDEX('Activity data'!AS$24:AS$39,MATCH(Emissions!$D76,'Activity data'!$D$24:$D$39,0))*INDEX(EF!$H$84:$H$99,MATCH(Emissions!$D76,EF!$D$84:$D$99,0))*INDEX(EF!$H$100:$H$115,MATCH(Emissions!$D76,EF!$D$100:$D$115,0))*INDEX(EF!$H$132:$H$147,MATCH(Emissions!$D76,EF!$D$132:$D$147,0))*kgtoGg</f>
        <v>1.7843125691462071E-3</v>
      </c>
      <c r="AT76" s="22">
        <f>INDEX('Activity data'!AT$24:AT$39,MATCH(Emissions!$D76,'Activity data'!$D$24:$D$39,0))*INDEX(EF!$H$84:$H$99,MATCH(Emissions!$D76,EF!$D$84:$D$99,0))*INDEX(EF!$H$100:$H$115,MATCH(Emissions!$D76,EF!$D$100:$D$115,0))*INDEX(EF!$H$132:$H$147,MATCH(Emissions!$D76,EF!$D$132:$D$147,0))*kgtoGg</f>
        <v>1.7978208658202392E-3</v>
      </c>
      <c r="AU76" s="22">
        <f>INDEX('Activity data'!AU$24:AU$39,MATCH(Emissions!$D76,'Activity data'!$D$24:$D$39,0))*INDEX(EF!$H$84:$H$99,MATCH(Emissions!$D76,EF!$D$84:$D$99,0))*INDEX(EF!$H$100:$H$115,MATCH(Emissions!$D76,EF!$D$100:$D$115,0))*INDEX(EF!$H$132:$H$147,MATCH(Emissions!$D76,EF!$D$132:$D$147,0))*kgtoGg</f>
        <v>1.8113291624942711E-3</v>
      </c>
      <c r="AV76" s="22">
        <f>INDEX('Activity data'!AV$24:AV$39,MATCH(Emissions!$D76,'Activity data'!$D$24:$D$39,0))*INDEX(EF!$H$84:$H$99,MATCH(Emissions!$D76,EF!$D$84:$D$99,0))*INDEX(EF!$H$100:$H$115,MATCH(Emissions!$D76,EF!$D$100:$D$115,0))*INDEX(EF!$H$132:$H$147,MATCH(Emissions!$D76,EF!$D$132:$D$147,0))*kgtoGg</f>
        <v>1.8248374591683034E-3</v>
      </c>
      <c r="AW76" s="22">
        <f>INDEX('Activity data'!AW$24:AW$39,MATCH(Emissions!$D76,'Activity data'!$D$24:$D$39,0))*INDEX(EF!$H$84:$H$99,MATCH(Emissions!$D76,EF!$D$84:$D$99,0))*INDEX(EF!$H$100:$H$115,MATCH(Emissions!$D76,EF!$D$100:$D$115,0))*INDEX(EF!$H$132:$H$147,MATCH(Emissions!$D76,EF!$D$132:$D$147,0))*kgtoGg</f>
        <v>1.838345755842335E-3</v>
      </c>
      <c r="AX76" s="22">
        <f>INDEX('Activity data'!AX$24:AX$39,MATCH(Emissions!$D76,'Activity data'!$D$24:$D$39,0))*INDEX(EF!$H$84:$H$99,MATCH(Emissions!$D76,EF!$D$84:$D$99,0))*INDEX(EF!$H$100:$H$115,MATCH(Emissions!$D76,EF!$D$100:$D$115,0))*INDEX(EF!$H$132:$H$147,MATCH(Emissions!$D76,EF!$D$132:$D$147,0))*kgtoGg</f>
        <v>1.8518540525163671E-3</v>
      </c>
      <c r="AY76" s="22">
        <f>INDEX('Activity data'!AY$24:AY$39,MATCH(Emissions!$D76,'Activity data'!$D$24:$D$39,0))*INDEX(EF!$H$84:$H$99,MATCH(Emissions!$D76,EF!$D$84:$D$99,0))*INDEX(EF!$H$100:$H$115,MATCH(Emissions!$D76,EF!$D$100:$D$115,0))*INDEX(EF!$H$132:$H$147,MATCH(Emissions!$D76,EF!$D$132:$D$147,0))*kgtoGg</f>
        <v>1.865362349190399E-3</v>
      </c>
      <c r="AZ76" s="22">
        <f>INDEX('Activity data'!AZ$24:AZ$39,MATCH(Emissions!$D76,'Activity data'!$D$24:$D$39,0))*INDEX(EF!$H$84:$H$99,MATCH(Emissions!$D76,EF!$D$84:$D$99,0))*INDEX(EF!$H$100:$H$115,MATCH(Emissions!$D76,EF!$D$100:$D$115,0))*INDEX(EF!$H$132:$H$147,MATCH(Emissions!$D76,EF!$D$132:$D$147,0))*kgtoGg</f>
        <v>1.8788706458644309E-3</v>
      </c>
      <c r="BA76" s="22">
        <f>INDEX('Activity data'!BA$24:BA$39,MATCH(Emissions!$D76,'Activity data'!$D$24:$D$39,0))*INDEX(EF!$H$84:$H$99,MATCH(Emissions!$D76,EF!$D$84:$D$99,0))*INDEX(EF!$H$100:$H$115,MATCH(Emissions!$D76,EF!$D$100:$D$115,0))*INDEX(EF!$H$132:$H$147,MATCH(Emissions!$D76,EF!$D$132:$D$147,0))*kgtoGg</f>
        <v>1.892378942538463E-3</v>
      </c>
      <c r="BB76" s="22">
        <f>INDEX('Activity data'!BB$24:BB$39,MATCH(Emissions!$D76,'Activity data'!$D$24:$D$39,0))*INDEX(EF!$H$84:$H$99,MATCH(Emissions!$D76,EF!$D$84:$D$99,0))*INDEX(EF!$H$100:$H$115,MATCH(Emissions!$D76,EF!$D$100:$D$115,0))*INDEX(EF!$H$132:$H$147,MATCH(Emissions!$D76,EF!$D$132:$D$147,0))*kgtoGg</f>
        <v>1.9058872392124951E-3</v>
      </c>
      <c r="BC76" s="22">
        <f>INDEX('Activity data'!BC$24:BC$39,MATCH(Emissions!$D76,'Activity data'!$D$24:$D$39,0))*INDEX(EF!$H$84:$H$99,MATCH(Emissions!$D76,EF!$D$84:$D$99,0))*INDEX(EF!$H$100:$H$115,MATCH(Emissions!$D76,EF!$D$100:$D$115,0))*INDEX(EF!$H$132:$H$147,MATCH(Emissions!$D76,EF!$D$132:$D$147,0))*kgtoGg</f>
        <v>1.9193955358865269E-3</v>
      </c>
      <c r="BD76" s="22">
        <f>INDEX('Activity data'!BD$24:BD$39,MATCH(Emissions!$D76,'Activity data'!$D$24:$D$39,0))*INDEX(EF!$H$84:$H$99,MATCH(Emissions!$D76,EF!$D$84:$D$99,0))*INDEX(EF!$H$100:$H$115,MATCH(Emissions!$D76,EF!$D$100:$D$115,0))*INDEX(EF!$H$132:$H$147,MATCH(Emissions!$D76,EF!$D$132:$D$147,0))*kgtoGg</f>
        <v>1.932903832560559E-3</v>
      </c>
      <c r="BE76" s="22">
        <f>INDEX('Activity data'!BE$24:BE$39,MATCH(Emissions!$D76,'Activity data'!$D$24:$D$39,0))*INDEX(EF!$H$84:$H$99,MATCH(Emissions!$D76,EF!$D$84:$D$99,0))*INDEX(EF!$H$100:$H$115,MATCH(Emissions!$D76,EF!$D$100:$D$115,0))*INDEX(EF!$H$132:$H$147,MATCH(Emissions!$D76,EF!$D$132:$D$147,0))*kgtoGg</f>
        <v>1.9464121292345907E-3</v>
      </c>
      <c r="BF76" s="22">
        <f>INDEX('Activity data'!BF$24:BF$39,MATCH(Emissions!$D76,'Activity data'!$D$24:$D$39,0))*INDEX(EF!$H$84:$H$99,MATCH(Emissions!$D76,EF!$D$84:$D$99,0))*INDEX(EF!$H$100:$H$115,MATCH(Emissions!$D76,EF!$D$100:$D$115,0))*INDEX(EF!$H$132:$H$147,MATCH(Emissions!$D76,EF!$D$132:$D$147,0))*kgtoGg</f>
        <v>1.959920425908623E-3</v>
      </c>
      <c r="BG76" s="22">
        <f>INDEX('Activity data'!BG$24:BG$39,MATCH(Emissions!$D76,'Activity data'!$D$24:$D$39,0))*INDEX(EF!$H$84:$H$99,MATCH(Emissions!$D76,EF!$D$84:$D$99,0))*INDEX(EF!$H$100:$H$115,MATCH(Emissions!$D76,EF!$D$100:$D$115,0))*INDEX(EF!$H$132:$H$147,MATCH(Emissions!$D76,EF!$D$132:$D$147,0))*kgtoGg</f>
        <v>1.9734287225826549E-3</v>
      </c>
      <c r="BH76" s="22">
        <f>INDEX('Activity data'!BH$24:BH$39,MATCH(Emissions!$D76,'Activity data'!$D$24:$D$39,0))*INDEX(EF!$H$84:$H$99,MATCH(Emissions!$D76,EF!$D$84:$D$99,0))*INDEX(EF!$H$100:$H$115,MATCH(Emissions!$D76,EF!$D$100:$D$115,0))*INDEX(EF!$H$132:$H$147,MATCH(Emissions!$D76,EF!$D$132:$D$147,0))*kgtoGg</f>
        <v>1.9869370192566872E-3</v>
      </c>
      <c r="BI76" s="22">
        <f>INDEX('Activity data'!BI$24:BI$39,MATCH(Emissions!$D76,'Activity data'!$D$24:$D$39,0))*INDEX(EF!$H$84:$H$99,MATCH(Emissions!$D76,EF!$D$84:$D$99,0))*INDEX(EF!$H$100:$H$115,MATCH(Emissions!$D76,EF!$D$100:$D$115,0))*INDEX(EF!$H$132:$H$147,MATCH(Emissions!$D76,EF!$D$132:$D$147,0))*kgtoGg</f>
        <v>2.0004453159307187E-3</v>
      </c>
      <c r="BJ76" s="22">
        <f>INDEX('Activity data'!BJ$24:BJ$39,MATCH(Emissions!$D76,'Activity data'!$D$24:$D$39,0))*INDEX(EF!$H$84:$H$99,MATCH(Emissions!$D76,EF!$D$84:$D$99,0))*INDEX(EF!$H$100:$H$115,MATCH(Emissions!$D76,EF!$D$100:$D$115,0))*INDEX(EF!$H$132:$H$147,MATCH(Emissions!$D76,EF!$D$132:$D$147,0))*kgtoGg</f>
        <v>2.013953612604751E-3</v>
      </c>
      <c r="BK76" s="22">
        <f>INDEX('Activity data'!BK$24:BK$39,MATCH(Emissions!$D76,'Activity data'!$D$24:$D$39,0))*INDEX(EF!$H$84:$H$99,MATCH(Emissions!$D76,EF!$D$84:$D$99,0))*INDEX(EF!$H$100:$H$115,MATCH(Emissions!$D76,EF!$D$100:$D$115,0))*INDEX(EF!$H$132:$H$147,MATCH(Emissions!$D76,EF!$D$132:$D$147,0))*kgtoGg</f>
        <v>2.0274619092787828E-3</v>
      </c>
      <c r="BL76" s="22">
        <f>INDEX('Activity data'!BL$24:BL$39,MATCH(Emissions!$D76,'Activity data'!$D$24:$D$39,0))*INDEX(EF!$H$84:$H$99,MATCH(Emissions!$D76,EF!$D$84:$D$99,0))*INDEX(EF!$H$100:$H$115,MATCH(Emissions!$D76,EF!$D$100:$D$115,0))*INDEX(EF!$H$132:$H$147,MATCH(Emissions!$D76,EF!$D$132:$D$147,0))*kgtoGg</f>
        <v>2.0409702059528147E-3</v>
      </c>
      <c r="BM76" s="22">
        <f>INDEX('Activity data'!BM$24:BM$39,MATCH(Emissions!$D76,'Activity data'!$D$24:$D$39,0))*INDEX(EF!$H$84:$H$99,MATCH(Emissions!$D76,EF!$D$84:$D$99,0))*INDEX(EF!$H$100:$H$115,MATCH(Emissions!$D76,EF!$D$100:$D$115,0))*INDEX(EF!$H$132:$H$147,MATCH(Emissions!$D76,EF!$D$132:$D$147,0))*kgtoGg</f>
        <v>2.0544785026268466E-3</v>
      </c>
      <c r="BN76" s="22">
        <f>INDEX('Activity data'!BN$24:BN$39,MATCH(Emissions!$D76,'Activity data'!$D$24:$D$39,0))*INDEX(EF!$H$84:$H$99,MATCH(Emissions!$D76,EF!$D$84:$D$99,0))*INDEX(EF!$H$100:$H$115,MATCH(Emissions!$D76,EF!$D$100:$D$115,0))*INDEX(EF!$H$132:$H$147,MATCH(Emissions!$D76,EF!$D$132:$D$147,0))*kgtoGg</f>
        <v>2.0679867993008789E-3</v>
      </c>
      <c r="BO76" s="22">
        <f>INDEX('Activity data'!BO$24:BO$39,MATCH(Emissions!$D76,'Activity data'!$D$24:$D$39,0))*INDEX(EF!$H$84:$H$99,MATCH(Emissions!$D76,EF!$D$84:$D$99,0))*INDEX(EF!$H$100:$H$115,MATCH(Emissions!$D76,EF!$D$100:$D$115,0))*INDEX(EF!$H$132:$H$147,MATCH(Emissions!$D76,EF!$D$132:$D$147,0))*kgtoGg</f>
        <v>2.0814950959749112E-3</v>
      </c>
      <c r="BP76" s="22">
        <f>INDEX('Activity data'!BP$24:BP$39,MATCH(Emissions!$D76,'Activity data'!$D$24:$D$39,0))*INDEX(EF!$H$84:$H$99,MATCH(Emissions!$D76,EF!$D$84:$D$99,0))*INDEX(EF!$H$100:$H$115,MATCH(Emissions!$D76,EF!$D$100:$D$115,0))*INDEX(EF!$H$132:$H$147,MATCH(Emissions!$D76,EF!$D$132:$D$147,0))*kgtoGg</f>
        <v>2.0950033926489427E-3</v>
      </c>
    </row>
    <row r="77" spans="1:68" x14ac:dyDescent="0.25">
      <c r="A77" t="str">
        <f t="shared" si="19"/>
        <v>3C Aggregated and non-CO2 emissions on land</v>
      </c>
      <c r="B77" t="str">
        <f t="shared" si="26"/>
        <v>3C1 Biomass burning (N2O)</v>
      </c>
      <c r="C77" t="str">
        <f t="shared" si="25"/>
        <v>3C1b Biomass burning in Croplands</v>
      </c>
      <c r="D77" t="str">
        <f>EF!D107</f>
        <v>Perennial vineyards</v>
      </c>
      <c r="E77" t="s">
        <v>648</v>
      </c>
      <c r="F77" t="str">
        <f t="shared" si="27"/>
        <v>N2O</v>
      </c>
      <c r="G77" t="str">
        <f t="shared" si="28"/>
        <v>Gg N2O</v>
      </c>
      <c r="H77" s="22">
        <f>INDEX('Activity data'!H$24:H$39,MATCH(Emissions!$D77,'Activity data'!$D$24:$D$39,0))*INDEX(EF!$H$84:$H$99,MATCH(Emissions!$D77,EF!$D$84:$D$99,0))*INDEX(EF!$H$100:$H$115,MATCH(Emissions!$D77,EF!$D$100:$D$115,0))*INDEX(EF!$H$132:$H$147,MATCH(Emissions!$D77,EF!$D$132:$D$147,0))*kgtoGg</f>
        <v>3.1883809832337033E-4</v>
      </c>
      <c r="I77" s="22">
        <f>INDEX('Activity data'!I$24:I$39,MATCH(Emissions!$D77,'Activity data'!$D$24:$D$39,0))*INDEX(EF!$H$84:$H$99,MATCH(Emissions!$D77,EF!$D$84:$D$99,0))*INDEX(EF!$H$100:$H$115,MATCH(Emissions!$D77,EF!$D$100:$D$115,0))*INDEX(EF!$H$132:$H$147,MATCH(Emissions!$D77,EF!$D$132:$D$147,0))*kgtoGg</f>
        <v>3.1883809832337033E-4</v>
      </c>
      <c r="J77" s="22">
        <f>INDEX('Activity data'!J$24:J$39,MATCH(Emissions!$D77,'Activity data'!$D$24:$D$39,0))*INDEX(EF!$H$84:$H$99,MATCH(Emissions!$D77,EF!$D$84:$D$99,0))*INDEX(EF!$H$100:$H$115,MATCH(Emissions!$D77,EF!$D$100:$D$115,0))*INDEX(EF!$H$132:$H$147,MATCH(Emissions!$D77,EF!$D$132:$D$147,0))*kgtoGg</f>
        <v>3.1883809832337033E-4</v>
      </c>
      <c r="K77" s="22">
        <f>INDEX('Activity data'!K$24:K$39,MATCH(Emissions!$D77,'Activity data'!$D$24:$D$39,0))*INDEX(EF!$H$84:$H$99,MATCH(Emissions!$D77,EF!$D$84:$D$99,0))*INDEX(EF!$H$100:$H$115,MATCH(Emissions!$D77,EF!$D$100:$D$115,0))*INDEX(EF!$H$132:$H$147,MATCH(Emissions!$D77,EF!$D$132:$D$147,0))*kgtoGg</f>
        <v>3.1883809832337033E-4</v>
      </c>
      <c r="L77" s="22">
        <f>INDEX('Activity data'!L$24:L$39,MATCH(Emissions!$D77,'Activity data'!$D$24:$D$39,0))*INDEX(EF!$H$84:$H$99,MATCH(Emissions!$D77,EF!$D$84:$D$99,0))*INDEX(EF!$H$100:$H$115,MATCH(Emissions!$D77,EF!$D$100:$D$115,0))*INDEX(EF!$H$132:$H$147,MATCH(Emissions!$D77,EF!$D$132:$D$147,0))*kgtoGg</f>
        <v>3.1883809832337033E-4</v>
      </c>
      <c r="M77" s="22">
        <f>INDEX('Activity data'!M$24:M$39,MATCH(Emissions!$D77,'Activity data'!$D$24:$D$39,0))*INDEX(EF!$H$84:$H$99,MATCH(Emissions!$D77,EF!$D$84:$D$99,0))*INDEX(EF!$H$100:$H$115,MATCH(Emissions!$D77,EF!$D$100:$D$115,0))*INDEX(EF!$H$132:$H$147,MATCH(Emissions!$D77,EF!$D$132:$D$147,0))*kgtoGg</f>
        <v>3.1883809832337033E-4</v>
      </c>
      <c r="N77" s="22">
        <f>INDEX('Activity data'!N$24:N$39,MATCH(Emissions!$D77,'Activity data'!$D$24:$D$39,0))*INDEX(EF!$H$84:$H$99,MATCH(Emissions!$D77,EF!$D$84:$D$99,0))*INDEX(EF!$H$100:$H$115,MATCH(Emissions!$D77,EF!$D$100:$D$115,0))*INDEX(EF!$H$132:$H$147,MATCH(Emissions!$D77,EF!$D$132:$D$147,0))*kgtoGg</f>
        <v>3.1883809832337033E-4</v>
      </c>
      <c r="O77" s="22">
        <f>INDEX('Activity data'!O$24:O$39,MATCH(Emissions!$D77,'Activity data'!$D$24:$D$39,0))*INDEX(EF!$H$84:$H$99,MATCH(Emissions!$D77,EF!$D$84:$D$99,0))*INDEX(EF!$H$100:$H$115,MATCH(Emissions!$D77,EF!$D$100:$D$115,0))*INDEX(EF!$H$132:$H$147,MATCH(Emissions!$D77,EF!$D$132:$D$147,0))*kgtoGg</f>
        <v>3.1883809832337033E-4</v>
      </c>
      <c r="P77" s="22">
        <f>INDEX('Activity data'!P$24:P$39,MATCH(Emissions!$D77,'Activity data'!$D$24:$D$39,0))*INDEX(EF!$H$84:$H$99,MATCH(Emissions!$D77,EF!$D$84:$D$99,0))*INDEX(EF!$H$100:$H$115,MATCH(Emissions!$D77,EF!$D$100:$D$115,0))*INDEX(EF!$H$132:$H$147,MATCH(Emissions!$D77,EF!$D$132:$D$147,0))*kgtoGg</f>
        <v>3.1883809832337033E-4</v>
      </c>
      <c r="Q77" s="22">
        <f>INDEX('Activity data'!Q$24:Q$39,MATCH(Emissions!$D77,'Activity data'!$D$24:$D$39,0))*INDEX(EF!$H$84:$H$99,MATCH(Emissions!$D77,EF!$D$84:$D$99,0))*INDEX(EF!$H$100:$H$115,MATCH(Emissions!$D77,EF!$D$100:$D$115,0))*INDEX(EF!$H$132:$H$147,MATCH(Emissions!$D77,EF!$D$132:$D$147,0))*kgtoGg</f>
        <v>3.1883809832337033E-4</v>
      </c>
      <c r="R77" s="22">
        <f>INDEX('Activity data'!R$24:R$39,MATCH(Emissions!$D77,'Activity data'!$D$24:$D$39,0))*INDEX(EF!$H$84:$H$99,MATCH(Emissions!$D77,EF!$D$84:$D$99,0))*INDEX(EF!$H$100:$H$115,MATCH(Emissions!$D77,EF!$D$100:$D$115,0))*INDEX(EF!$H$132:$H$147,MATCH(Emissions!$D77,EF!$D$132:$D$147,0))*kgtoGg</f>
        <v>4.9747788390880473E-4</v>
      </c>
      <c r="S77" s="22">
        <f>INDEX('Activity data'!S$24:S$39,MATCH(Emissions!$D77,'Activity data'!$D$24:$D$39,0))*INDEX(EF!$H$84:$H$99,MATCH(Emissions!$D77,EF!$D$84:$D$99,0))*INDEX(EF!$H$100:$H$115,MATCH(Emissions!$D77,EF!$D$100:$D$115,0))*INDEX(EF!$H$132:$H$147,MATCH(Emissions!$D77,EF!$D$132:$D$147,0))*kgtoGg</f>
        <v>3.2788315075807579E-4</v>
      </c>
      <c r="T77" s="22">
        <f>INDEX('Activity data'!T$24:T$39,MATCH(Emissions!$D77,'Activity data'!$D$24:$D$39,0))*INDEX(EF!$H$84:$H$99,MATCH(Emissions!$D77,EF!$D$84:$D$99,0))*INDEX(EF!$H$100:$H$115,MATCH(Emissions!$D77,EF!$D$100:$D$115,0))*INDEX(EF!$H$132:$H$147,MATCH(Emissions!$D77,EF!$D$132:$D$147,0))*kgtoGg</f>
        <v>2.600452574977842E-4</v>
      </c>
      <c r="U77" s="22">
        <f>INDEX('Activity data'!U$24:U$39,MATCH(Emissions!$D77,'Activity data'!$D$24:$D$39,0))*INDEX(EF!$H$84:$H$99,MATCH(Emissions!$D77,EF!$D$84:$D$99,0))*INDEX(EF!$H$100:$H$115,MATCH(Emissions!$D77,EF!$D$100:$D$115,0))*INDEX(EF!$H$132:$H$147,MATCH(Emissions!$D77,EF!$D$132:$D$147,0))*kgtoGg</f>
        <v>4.0702735956174937E-4</v>
      </c>
      <c r="V77" s="22">
        <f>INDEX('Activity data'!V$24:V$39,MATCH(Emissions!$D77,'Activity data'!$D$24:$D$39,0))*INDEX(EF!$H$84:$H$99,MATCH(Emissions!$D77,EF!$D$84:$D$99,0))*INDEX(EF!$H$100:$H$115,MATCH(Emissions!$D77,EF!$D$100:$D$115,0))*INDEX(EF!$H$132:$H$147,MATCH(Emissions!$D77,EF!$D$132:$D$147,0))*kgtoGg</f>
        <v>1.0175683989043734E-4</v>
      </c>
      <c r="W77" s="22">
        <f>INDEX('Activity data'!W$24:W$39,MATCH(Emissions!$D77,'Activity data'!$D$24:$D$39,0))*INDEX(EF!$H$84:$H$99,MATCH(Emissions!$D77,EF!$D$84:$D$99,0))*INDEX(EF!$H$100:$H$115,MATCH(Emissions!$D77,EF!$D$100:$D$115,0))*INDEX(EF!$H$132:$H$147,MATCH(Emissions!$D77,EF!$D$132:$D$147,0))*kgtoGg</f>
        <v>2.8265788858454824E-4</v>
      </c>
      <c r="X77" s="22">
        <f>INDEX('Activity data'!X$24:X$39,MATCH(Emissions!$D77,'Activity data'!$D$24:$D$39,0))*INDEX(EF!$H$84:$H$99,MATCH(Emissions!$D77,EF!$D$84:$D$99,0))*INDEX(EF!$H$100:$H$115,MATCH(Emissions!$D77,EF!$D$100:$D$115,0))*INDEX(EF!$H$132:$H$147,MATCH(Emissions!$D77,EF!$D$132:$D$147,0))*kgtoGg</f>
        <v>5.6531577716909648E-4</v>
      </c>
      <c r="Y77" s="22">
        <f>INDEX('Activity data'!Y$24:Y$39,MATCH(Emissions!$D77,'Activity data'!$D$24:$D$39,0))*INDEX(EF!$H$84:$H$99,MATCH(Emissions!$D77,EF!$D$84:$D$99,0))*INDEX(EF!$H$100:$H$115,MATCH(Emissions!$D77,EF!$D$100:$D$115,0))*INDEX(EF!$H$132:$H$147,MATCH(Emissions!$D77,EF!$D$132:$D$147,0))*kgtoGg</f>
        <v>2.7135157304116619E-4</v>
      </c>
      <c r="Z77" s="22">
        <f>INDEX('Activity data'!Z$24:Z$39,MATCH(Emissions!$D77,'Activity data'!$D$24:$D$39,0))*INDEX(EF!$H$84:$H$99,MATCH(Emissions!$D77,EF!$D$84:$D$99,0))*INDEX(EF!$H$100:$H$115,MATCH(Emissions!$D77,EF!$D$100:$D$115,0))*INDEX(EF!$H$132:$H$147,MATCH(Emissions!$D77,EF!$D$132:$D$147,0))*kgtoGg</f>
        <v>2.0351367978087469E-4</v>
      </c>
      <c r="AA77" s="22">
        <f>INDEX('Activity data'!AA$24:AA$39,MATCH(Emissions!$D77,'Activity data'!$D$24:$D$39,0))*INDEX(EF!$H$84:$H$99,MATCH(Emissions!$D77,EF!$D$84:$D$99,0))*INDEX(EF!$H$100:$H$115,MATCH(Emissions!$D77,EF!$D$100:$D$115,0))*INDEX(EF!$H$132:$H$147,MATCH(Emissions!$D77,EF!$D$132:$D$147,0))*kgtoGg</f>
        <v>3.0527051967131201E-4</v>
      </c>
      <c r="AB77" s="22">
        <f>INDEX('Activity data'!AB$24:AB$39,MATCH(Emissions!$D77,'Activity data'!$D$24:$D$39,0))*INDEX(EF!$H$84:$H$99,MATCH(Emissions!$D77,EF!$D$84:$D$99,0))*INDEX(EF!$H$100:$H$115,MATCH(Emissions!$D77,EF!$D$100:$D$115,0))*INDEX(EF!$H$132:$H$147,MATCH(Emissions!$D77,EF!$D$132:$D$147,0))*kgtoGg</f>
        <v>5.0670899999999994E-4</v>
      </c>
      <c r="AC77" s="22">
        <f>INDEX('Activity data'!AC$24:AC$39,MATCH(Emissions!$D77,'Activity data'!$D$24:$D$39,0))*INDEX(EF!$H$84:$H$99,MATCH(Emissions!$D77,EF!$D$84:$D$99,0))*INDEX(EF!$H$100:$H$115,MATCH(Emissions!$D77,EF!$D$100:$D$115,0))*INDEX(EF!$H$132:$H$147,MATCH(Emissions!$D77,EF!$D$132:$D$147,0))*kgtoGg</f>
        <v>1.3369797000000003E-3</v>
      </c>
      <c r="AD77" s="22">
        <f>INDEX('Activity data'!AD$24:AD$39,MATCH(Emissions!$D77,'Activity data'!$D$24:$D$39,0))*INDEX(EF!$H$84:$H$99,MATCH(Emissions!$D77,EF!$D$84:$D$99,0))*INDEX(EF!$H$100:$H$115,MATCH(Emissions!$D77,EF!$D$100:$D$115,0))*INDEX(EF!$H$132:$H$147,MATCH(Emissions!$D77,EF!$D$132:$D$147,0))*kgtoGg</f>
        <v>4.3710094215939618E-4</v>
      </c>
      <c r="AE77" s="22">
        <f>INDEX('Activity data'!AE$24:AE$39,MATCH(Emissions!$D77,'Activity data'!$D$24:$D$39,0))*INDEX(EF!$H$84:$H$99,MATCH(Emissions!$D77,EF!$D$84:$D$99,0))*INDEX(EF!$H$100:$H$115,MATCH(Emissions!$D77,EF!$D$100:$D$115,0))*INDEX(EF!$H$132:$H$147,MATCH(Emissions!$D77,EF!$D$132:$D$147,0))*kgtoGg</f>
        <v>4.3997905246480524E-4</v>
      </c>
      <c r="AF77" s="22">
        <f>INDEX('Activity data'!AF$24:AF$39,MATCH(Emissions!$D77,'Activity data'!$D$24:$D$39,0))*INDEX(EF!$H$84:$H$99,MATCH(Emissions!$D77,EF!$D$84:$D$99,0))*INDEX(EF!$H$100:$H$115,MATCH(Emissions!$D77,EF!$D$100:$D$115,0))*INDEX(EF!$H$132:$H$147,MATCH(Emissions!$D77,EF!$D$132:$D$147,0))*kgtoGg</f>
        <v>4.4285716277021425E-4</v>
      </c>
      <c r="AG77" s="22">
        <f>INDEX('Activity data'!AG$24:AG$39,MATCH(Emissions!$D77,'Activity data'!$D$24:$D$39,0))*INDEX(EF!$H$84:$H$99,MATCH(Emissions!$D77,EF!$D$84:$D$99,0))*INDEX(EF!$H$100:$H$115,MATCH(Emissions!$D77,EF!$D$100:$D$115,0))*INDEX(EF!$H$132:$H$147,MATCH(Emissions!$D77,EF!$D$132:$D$147,0))*kgtoGg</f>
        <v>4.4573527307562326E-4</v>
      </c>
      <c r="AH77" s="22">
        <f>INDEX('Activity data'!AH$24:AH$39,MATCH(Emissions!$D77,'Activity data'!$D$24:$D$39,0))*INDEX(EF!$H$84:$H$99,MATCH(Emissions!$D77,EF!$D$84:$D$99,0))*INDEX(EF!$H$100:$H$115,MATCH(Emissions!$D77,EF!$D$100:$D$115,0))*INDEX(EF!$H$132:$H$147,MATCH(Emissions!$D77,EF!$D$132:$D$147,0))*kgtoGg</f>
        <v>4.4861338338103221E-4</v>
      </c>
      <c r="AI77" s="22">
        <f>INDEX('Activity data'!AI$24:AI$39,MATCH(Emissions!$D77,'Activity data'!$D$24:$D$39,0))*INDEX(EF!$H$84:$H$99,MATCH(Emissions!$D77,EF!$D$84:$D$99,0))*INDEX(EF!$H$100:$H$115,MATCH(Emissions!$D77,EF!$D$100:$D$115,0))*INDEX(EF!$H$132:$H$147,MATCH(Emissions!$D77,EF!$D$132:$D$147,0))*kgtoGg</f>
        <v>4.5149149368644122E-4</v>
      </c>
      <c r="AJ77" s="22">
        <f>INDEX('Activity data'!AJ$24:AJ$39,MATCH(Emissions!$D77,'Activity data'!$D$24:$D$39,0))*INDEX(EF!$H$84:$H$99,MATCH(Emissions!$D77,EF!$D$84:$D$99,0))*INDEX(EF!$H$100:$H$115,MATCH(Emissions!$D77,EF!$D$100:$D$115,0))*INDEX(EF!$H$132:$H$147,MATCH(Emissions!$D77,EF!$D$132:$D$147,0))*kgtoGg</f>
        <v>4.5436960399185023E-4</v>
      </c>
      <c r="AK77" s="22">
        <f>INDEX('Activity data'!AK$24:AK$39,MATCH(Emissions!$D77,'Activity data'!$D$24:$D$39,0))*INDEX(EF!$H$84:$H$99,MATCH(Emissions!$D77,EF!$D$84:$D$99,0))*INDEX(EF!$H$100:$H$115,MATCH(Emissions!$D77,EF!$D$100:$D$115,0))*INDEX(EF!$H$132:$H$147,MATCH(Emissions!$D77,EF!$D$132:$D$147,0))*kgtoGg</f>
        <v>4.5724771429725918E-4</v>
      </c>
      <c r="AL77" s="22">
        <f>INDEX('Activity data'!AL$24:AL$39,MATCH(Emissions!$D77,'Activity data'!$D$24:$D$39,0))*INDEX(EF!$H$84:$H$99,MATCH(Emissions!$D77,EF!$D$84:$D$99,0))*INDEX(EF!$H$100:$H$115,MATCH(Emissions!$D77,EF!$D$100:$D$115,0))*INDEX(EF!$H$132:$H$147,MATCH(Emissions!$D77,EF!$D$132:$D$147,0))*kgtoGg</f>
        <v>4.601258246026683E-4</v>
      </c>
      <c r="AM77" s="22">
        <f>INDEX('Activity data'!AM$24:AM$39,MATCH(Emissions!$D77,'Activity data'!$D$24:$D$39,0))*INDEX(EF!$H$84:$H$99,MATCH(Emissions!$D77,EF!$D$84:$D$99,0))*INDEX(EF!$H$100:$H$115,MATCH(Emissions!$D77,EF!$D$100:$D$115,0))*INDEX(EF!$H$132:$H$147,MATCH(Emissions!$D77,EF!$D$132:$D$147,0))*kgtoGg</f>
        <v>4.630039349080773E-4</v>
      </c>
      <c r="AN77" s="22">
        <f>INDEX('Activity data'!AN$24:AN$39,MATCH(Emissions!$D77,'Activity data'!$D$24:$D$39,0))*INDEX(EF!$H$84:$H$99,MATCH(Emissions!$D77,EF!$D$84:$D$99,0))*INDEX(EF!$H$100:$H$115,MATCH(Emissions!$D77,EF!$D$100:$D$115,0))*INDEX(EF!$H$132:$H$147,MATCH(Emissions!$D77,EF!$D$132:$D$147,0))*kgtoGg</f>
        <v>4.6588204521348631E-4</v>
      </c>
      <c r="AO77" s="22">
        <f>INDEX('Activity data'!AO$24:AO$39,MATCH(Emissions!$D77,'Activity data'!$D$24:$D$39,0))*INDEX(EF!$H$84:$H$99,MATCH(Emissions!$D77,EF!$D$84:$D$99,0))*INDEX(EF!$H$100:$H$115,MATCH(Emissions!$D77,EF!$D$100:$D$115,0))*INDEX(EF!$H$132:$H$147,MATCH(Emissions!$D77,EF!$D$132:$D$147,0))*kgtoGg</f>
        <v>4.6876015551889532E-4</v>
      </c>
      <c r="AP77" s="22">
        <f>INDEX('Activity data'!AP$24:AP$39,MATCH(Emissions!$D77,'Activity data'!$D$24:$D$39,0))*INDEX(EF!$H$84:$H$99,MATCH(Emissions!$D77,EF!$D$84:$D$99,0))*INDEX(EF!$H$100:$H$115,MATCH(Emissions!$D77,EF!$D$100:$D$115,0))*INDEX(EF!$H$132:$H$147,MATCH(Emissions!$D77,EF!$D$132:$D$147,0))*kgtoGg</f>
        <v>4.7163826582430438E-4</v>
      </c>
      <c r="AQ77" s="22">
        <f>INDEX('Activity data'!AQ$24:AQ$39,MATCH(Emissions!$D77,'Activity data'!$D$24:$D$39,0))*INDEX(EF!$H$84:$H$99,MATCH(Emissions!$D77,EF!$D$84:$D$99,0))*INDEX(EF!$H$100:$H$115,MATCH(Emissions!$D77,EF!$D$100:$D$115,0))*INDEX(EF!$H$132:$H$147,MATCH(Emissions!$D77,EF!$D$132:$D$147,0))*kgtoGg</f>
        <v>4.7451637612971339E-4</v>
      </c>
      <c r="AR77" s="22">
        <f>INDEX('Activity data'!AR$24:AR$39,MATCH(Emissions!$D77,'Activity data'!$D$24:$D$39,0))*INDEX(EF!$H$84:$H$99,MATCH(Emissions!$D77,EF!$D$84:$D$99,0))*INDEX(EF!$H$100:$H$115,MATCH(Emissions!$D77,EF!$D$100:$D$115,0))*INDEX(EF!$H$132:$H$147,MATCH(Emissions!$D77,EF!$D$132:$D$147,0))*kgtoGg</f>
        <v>4.773944864351224E-4</v>
      </c>
      <c r="AS77" s="22">
        <f>INDEX('Activity data'!AS$24:AS$39,MATCH(Emissions!$D77,'Activity data'!$D$24:$D$39,0))*INDEX(EF!$H$84:$H$99,MATCH(Emissions!$D77,EF!$D$84:$D$99,0))*INDEX(EF!$H$100:$H$115,MATCH(Emissions!$D77,EF!$D$100:$D$115,0))*INDEX(EF!$H$132:$H$147,MATCH(Emissions!$D77,EF!$D$132:$D$147,0))*kgtoGg</f>
        <v>4.8027259674053135E-4</v>
      </c>
      <c r="AT77" s="22">
        <f>INDEX('Activity data'!AT$24:AT$39,MATCH(Emissions!$D77,'Activity data'!$D$24:$D$39,0))*INDEX(EF!$H$84:$H$99,MATCH(Emissions!$D77,EF!$D$84:$D$99,0))*INDEX(EF!$H$100:$H$115,MATCH(Emissions!$D77,EF!$D$100:$D$115,0))*INDEX(EF!$H$132:$H$147,MATCH(Emissions!$D77,EF!$D$132:$D$147,0))*kgtoGg</f>
        <v>4.8315070704594041E-4</v>
      </c>
      <c r="AU77" s="22">
        <f>INDEX('Activity data'!AU$24:AU$39,MATCH(Emissions!$D77,'Activity data'!$D$24:$D$39,0))*INDEX(EF!$H$84:$H$99,MATCH(Emissions!$D77,EF!$D$84:$D$99,0))*INDEX(EF!$H$100:$H$115,MATCH(Emissions!$D77,EF!$D$100:$D$115,0))*INDEX(EF!$H$132:$H$147,MATCH(Emissions!$D77,EF!$D$132:$D$147,0))*kgtoGg</f>
        <v>4.8602881735134937E-4</v>
      </c>
      <c r="AV77" s="22">
        <f>INDEX('Activity data'!AV$24:AV$39,MATCH(Emissions!$D77,'Activity data'!$D$24:$D$39,0))*INDEX(EF!$H$84:$H$99,MATCH(Emissions!$D77,EF!$D$84:$D$99,0))*INDEX(EF!$H$100:$H$115,MATCH(Emissions!$D77,EF!$D$100:$D$115,0))*INDEX(EF!$H$132:$H$147,MATCH(Emissions!$D77,EF!$D$132:$D$147,0))*kgtoGg</f>
        <v>4.8890692765675837E-4</v>
      </c>
      <c r="AW77" s="22">
        <f>INDEX('Activity data'!AW$24:AW$39,MATCH(Emissions!$D77,'Activity data'!$D$24:$D$39,0))*INDEX(EF!$H$84:$H$99,MATCH(Emissions!$D77,EF!$D$84:$D$99,0))*INDEX(EF!$H$100:$H$115,MATCH(Emissions!$D77,EF!$D$100:$D$115,0))*INDEX(EF!$H$132:$H$147,MATCH(Emissions!$D77,EF!$D$132:$D$147,0))*kgtoGg</f>
        <v>4.9178503796216749E-4</v>
      </c>
      <c r="AX77" s="22">
        <f>INDEX('Activity data'!AX$24:AX$39,MATCH(Emissions!$D77,'Activity data'!$D$24:$D$39,0))*INDEX(EF!$H$84:$H$99,MATCH(Emissions!$D77,EF!$D$84:$D$99,0))*INDEX(EF!$H$100:$H$115,MATCH(Emissions!$D77,EF!$D$100:$D$115,0))*INDEX(EF!$H$132:$H$147,MATCH(Emissions!$D77,EF!$D$132:$D$147,0))*kgtoGg</f>
        <v>4.946631482675765E-4</v>
      </c>
      <c r="AY77" s="22">
        <f>INDEX('Activity data'!AY$24:AY$39,MATCH(Emissions!$D77,'Activity data'!$D$24:$D$39,0))*INDEX(EF!$H$84:$H$99,MATCH(Emissions!$D77,EF!$D$84:$D$99,0))*INDEX(EF!$H$100:$H$115,MATCH(Emissions!$D77,EF!$D$100:$D$115,0))*INDEX(EF!$H$132:$H$147,MATCH(Emissions!$D77,EF!$D$132:$D$147,0))*kgtoGg</f>
        <v>4.975412585729855E-4</v>
      </c>
      <c r="AZ77" s="22">
        <f>INDEX('Activity data'!AZ$24:AZ$39,MATCH(Emissions!$D77,'Activity data'!$D$24:$D$39,0))*INDEX(EF!$H$84:$H$99,MATCH(Emissions!$D77,EF!$D$84:$D$99,0))*INDEX(EF!$H$100:$H$115,MATCH(Emissions!$D77,EF!$D$100:$D$115,0))*INDEX(EF!$H$132:$H$147,MATCH(Emissions!$D77,EF!$D$132:$D$147,0))*kgtoGg</f>
        <v>5.0041936887839451E-4</v>
      </c>
      <c r="BA77" s="22">
        <f>INDEX('Activity data'!BA$24:BA$39,MATCH(Emissions!$D77,'Activity data'!$D$24:$D$39,0))*INDEX(EF!$H$84:$H$99,MATCH(Emissions!$D77,EF!$D$84:$D$99,0))*INDEX(EF!$H$100:$H$115,MATCH(Emissions!$D77,EF!$D$100:$D$115,0))*INDEX(EF!$H$132:$H$147,MATCH(Emissions!$D77,EF!$D$132:$D$147,0))*kgtoGg</f>
        <v>5.0329747918380363E-4</v>
      </c>
      <c r="BB77" s="22">
        <f>INDEX('Activity data'!BB$24:BB$39,MATCH(Emissions!$D77,'Activity data'!$D$24:$D$39,0))*INDEX(EF!$H$84:$H$99,MATCH(Emissions!$D77,EF!$D$84:$D$99,0))*INDEX(EF!$H$100:$H$115,MATCH(Emissions!$D77,EF!$D$100:$D$115,0))*INDEX(EF!$H$132:$H$147,MATCH(Emissions!$D77,EF!$D$132:$D$147,0))*kgtoGg</f>
        <v>5.0617558948921264E-4</v>
      </c>
      <c r="BC77" s="22">
        <f>INDEX('Activity data'!BC$24:BC$39,MATCH(Emissions!$D77,'Activity data'!$D$24:$D$39,0))*INDEX(EF!$H$84:$H$99,MATCH(Emissions!$D77,EF!$D$84:$D$99,0))*INDEX(EF!$H$100:$H$115,MATCH(Emissions!$D77,EF!$D$100:$D$115,0))*INDEX(EF!$H$132:$H$147,MATCH(Emissions!$D77,EF!$D$132:$D$147,0))*kgtoGg</f>
        <v>5.0905369979462175E-4</v>
      </c>
      <c r="BD77" s="22">
        <f>INDEX('Activity data'!BD$24:BD$39,MATCH(Emissions!$D77,'Activity data'!$D$24:$D$39,0))*INDEX(EF!$H$84:$H$99,MATCH(Emissions!$D77,EF!$D$84:$D$99,0))*INDEX(EF!$H$100:$H$115,MATCH(Emissions!$D77,EF!$D$100:$D$115,0))*INDEX(EF!$H$132:$H$147,MATCH(Emissions!$D77,EF!$D$132:$D$147,0))*kgtoGg</f>
        <v>5.1193181010003065E-4</v>
      </c>
      <c r="BE77" s="22">
        <f>INDEX('Activity data'!BE$24:BE$39,MATCH(Emissions!$D77,'Activity data'!$D$24:$D$39,0))*INDEX(EF!$H$84:$H$99,MATCH(Emissions!$D77,EF!$D$84:$D$99,0))*INDEX(EF!$H$100:$H$115,MATCH(Emissions!$D77,EF!$D$100:$D$115,0))*INDEX(EF!$H$132:$H$147,MATCH(Emissions!$D77,EF!$D$132:$D$147,0))*kgtoGg</f>
        <v>5.1480992040543966E-4</v>
      </c>
      <c r="BF77" s="22">
        <f>INDEX('Activity data'!BF$24:BF$39,MATCH(Emissions!$D77,'Activity data'!$D$24:$D$39,0))*INDEX(EF!$H$84:$H$99,MATCH(Emissions!$D77,EF!$D$84:$D$99,0))*INDEX(EF!$H$100:$H$115,MATCH(Emissions!$D77,EF!$D$100:$D$115,0))*INDEX(EF!$H$132:$H$147,MATCH(Emissions!$D77,EF!$D$132:$D$147,0))*kgtoGg</f>
        <v>5.1768803071084878E-4</v>
      </c>
      <c r="BG77" s="22">
        <f>INDEX('Activity data'!BG$24:BG$39,MATCH(Emissions!$D77,'Activity data'!$D$24:$D$39,0))*INDEX(EF!$H$84:$H$99,MATCH(Emissions!$D77,EF!$D$84:$D$99,0))*INDEX(EF!$H$100:$H$115,MATCH(Emissions!$D77,EF!$D$100:$D$115,0))*INDEX(EF!$H$132:$H$147,MATCH(Emissions!$D77,EF!$D$132:$D$147,0))*kgtoGg</f>
        <v>5.2056614101625778E-4</v>
      </c>
      <c r="BH77" s="22">
        <f>INDEX('Activity data'!BH$24:BH$39,MATCH(Emissions!$D77,'Activity data'!$D$24:$D$39,0))*INDEX(EF!$H$84:$H$99,MATCH(Emissions!$D77,EF!$D$84:$D$99,0))*INDEX(EF!$H$100:$H$115,MATCH(Emissions!$D77,EF!$D$100:$D$115,0))*INDEX(EF!$H$132:$H$147,MATCH(Emissions!$D77,EF!$D$132:$D$147,0))*kgtoGg</f>
        <v>5.2344425132166679E-4</v>
      </c>
      <c r="BI77" s="22">
        <f>INDEX('Activity data'!BI$24:BI$39,MATCH(Emissions!$D77,'Activity data'!$D$24:$D$39,0))*INDEX(EF!$H$84:$H$99,MATCH(Emissions!$D77,EF!$D$84:$D$99,0))*INDEX(EF!$H$100:$H$115,MATCH(Emissions!$D77,EF!$D$100:$D$115,0))*INDEX(EF!$H$132:$H$147,MATCH(Emissions!$D77,EF!$D$132:$D$147,0))*kgtoGg</f>
        <v>5.263223616270758E-4</v>
      </c>
      <c r="BJ77" s="22">
        <f>INDEX('Activity data'!BJ$24:BJ$39,MATCH(Emissions!$D77,'Activity data'!$D$24:$D$39,0))*INDEX(EF!$H$84:$H$99,MATCH(Emissions!$D77,EF!$D$84:$D$99,0))*INDEX(EF!$H$100:$H$115,MATCH(Emissions!$D77,EF!$D$100:$D$115,0))*INDEX(EF!$H$132:$H$147,MATCH(Emissions!$D77,EF!$D$132:$D$147,0))*kgtoGg</f>
        <v>5.2920047193248491E-4</v>
      </c>
      <c r="BK77" s="22">
        <f>INDEX('Activity data'!BK$24:BK$39,MATCH(Emissions!$D77,'Activity data'!$D$24:$D$39,0))*INDEX(EF!$H$84:$H$99,MATCH(Emissions!$D77,EF!$D$84:$D$99,0))*INDEX(EF!$H$100:$H$115,MATCH(Emissions!$D77,EF!$D$100:$D$115,0))*INDEX(EF!$H$132:$H$147,MATCH(Emissions!$D77,EF!$D$132:$D$147,0))*kgtoGg</f>
        <v>5.3207858223789392E-4</v>
      </c>
      <c r="BL77" s="22">
        <f>INDEX('Activity data'!BL$24:BL$39,MATCH(Emissions!$D77,'Activity data'!$D$24:$D$39,0))*INDEX(EF!$H$84:$H$99,MATCH(Emissions!$D77,EF!$D$84:$D$99,0))*INDEX(EF!$H$100:$H$115,MATCH(Emissions!$D77,EF!$D$100:$D$115,0))*INDEX(EF!$H$132:$H$147,MATCH(Emissions!$D77,EF!$D$132:$D$147,0))*kgtoGg</f>
        <v>5.3495669254330282E-4</v>
      </c>
      <c r="BM77" s="22">
        <f>INDEX('Activity data'!BM$24:BM$39,MATCH(Emissions!$D77,'Activity data'!$D$24:$D$39,0))*INDEX(EF!$H$84:$H$99,MATCH(Emissions!$D77,EF!$D$84:$D$99,0))*INDEX(EF!$H$100:$H$115,MATCH(Emissions!$D77,EF!$D$100:$D$115,0))*INDEX(EF!$H$132:$H$147,MATCH(Emissions!$D77,EF!$D$132:$D$147,0))*kgtoGg</f>
        <v>5.3783480284871194E-4</v>
      </c>
      <c r="BN77" s="22">
        <f>INDEX('Activity data'!BN$24:BN$39,MATCH(Emissions!$D77,'Activity data'!$D$24:$D$39,0))*INDEX(EF!$H$84:$H$99,MATCH(Emissions!$D77,EF!$D$84:$D$99,0))*INDEX(EF!$H$100:$H$115,MATCH(Emissions!$D77,EF!$D$100:$D$115,0))*INDEX(EF!$H$132:$H$147,MATCH(Emissions!$D77,EF!$D$132:$D$147,0))*kgtoGg</f>
        <v>5.4071291315412095E-4</v>
      </c>
      <c r="BO77" s="22">
        <f>INDEX('Activity data'!BO$24:BO$39,MATCH(Emissions!$D77,'Activity data'!$D$24:$D$39,0))*INDEX(EF!$H$84:$H$99,MATCH(Emissions!$D77,EF!$D$84:$D$99,0))*INDEX(EF!$H$100:$H$115,MATCH(Emissions!$D77,EF!$D$100:$D$115,0))*INDEX(EF!$H$132:$H$147,MATCH(Emissions!$D77,EF!$D$132:$D$147,0))*kgtoGg</f>
        <v>5.4359102345952984E-4</v>
      </c>
      <c r="BP77" s="22">
        <f>INDEX('Activity data'!BP$24:BP$39,MATCH(Emissions!$D77,'Activity data'!$D$24:$D$39,0))*INDEX(EF!$H$84:$H$99,MATCH(Emissions!$D77,EF!$D$84:$D$99,0))*INDEX(EF!$H$100:$H$115,MATCH(Emissions!$D77,EF!$D$100:$D$115,0))*INDEX(EF!$H$132:$H$147,MATCH(Emissions!$D77,EF!$D$132:$D$147,0))*kgtoGg</f>
        <v>5.4646913376493885E-4</v>
      </c>
    </row>
    <row r="78" spans="1:68" x14ac:dyDescent="0.25">
      <c r="A78" t="str">
        <f t="shared" si="19"/>
        <v>3C Aggregated and non-CO2 emissions on land</v>
      </c>
      <c r="B78" t="str">
        <f t="shared" si="26"/>
        <v>3C1 Biomass burning (N2O)</v>
      </c>
      <c r="C78" t="str">
        <f t="shared" si="25"/>
        <v>3C1b Biomass burning in Croplands</v>
      </c>
      <c r="D78" t="str">
        <f>EF!D108</f>
        <v>Cropland subsistence</v>
      </c>
      <c r="E78" t="s">
        <v>649</v>
      </c>
      <c r="F78" t="str">
        <f t="shared" si="27"/>
        <v>N2O</v>
      </c>
      <c r="G78" t="str">
        <f t="shared" si="28"/>
        <v>Gg N2O</v>
      </c>
      <c r="H78" s="22">
        <f>INDEX('Activity data'!H$24:H$39,MATCH(Emissions!$D78,'Activity data'!$D$24:$D$39,0))*INDEX(EF!$H$84:$H$99,MATCH(Emissions!$D78,EF!$D$84:$D$99,0))*INDEX(EF!$H$100:$H$115,MATCH(Emissions!$D78,EF!$D$100:$D$115,0))*INDEX(EF!$H$132:$H$147,MATCH(Emissions!$D78,EF!$D$132:$D$147,0))*kgtoGg</f>
        <v>5.9523228809688487E-2</v>
      </c>
      <c r="I78" s="22">
        <f>INDEX('Activity data'!I$24:I$39,MATCH(Emissions!$D78,'Activity data'!$D$24:$D$39,0))*INDEX(EF!$H$84:$H$99,MATCH(Emissions!$D78,EF!$D$84:$D$99,0))*INDEX(EF!$H$100:$H$115,MATCH(Emissions!$D78,EF!$D$100:$D$115,0))*INDEX(EF!$H$132:$H$147,MATCH(Emissions!$D78,EF!$D$132:$D$147,0))*kgtoGg</f>
        <v>5.9523228809688487E-2</v>
      </c>
      <c r="J78" s="22">
        <f>INDEX('Activity data'!J$24:J$39,MATCH(Emissions!$D78,'Activity data'!$D$24:$D$39,0))*INDEX(EF!$H$84:$H$99,MATCH(Emissions!$D78,EF!$D$84:$D$99,0))*INDEX(EF!$H$100:$H$115,MATCH(Emissions!$D78,EF!$D$100:$D$115,0))*INDEX(EF!$H$132:$H$147,MATCH(Emissions!$D78,EF!$D$132:$D$147,0))*kgtoGg</f>
        <v>5.9523228809688487E-2</v>
      </c>
      <c r="K78" s="22">
        <f>INDEX('Activity data'!K$24:K$39,MATCH(Emissions!$D78,'Activity data'!$D$24:$D$39,0))*INDEX(EF!$H$84:$H$99,MATCH(Emissions!$D78,EF!$D$84:$D$99,0))*INDEX(EF!$H$100:$H$115,MATCH(Emissions!$D78,EF!$D$100:$D$115,0))*INDEX(EF!$H$132:$H$147,MATCH(Emissions!$D78,EF!$D$132:$D$147,0))*kgtoGg</f>
        <v>5.9523228809688487E-2</v>
      </c>
      <c r="L78" s="22">
        <f>INDEX('Activity data'!L$24:L$39,MATCH(Emissions!$D78,'Activity data'!$D$24:$D$39,0))*INDEX(EF!$H$84:$H$99,MATCH(Emissions!$D78,EF!$D$84:$D$99,0))*INDEX(EF!$H$100:$H$115,MATCH(Emissions!$D78,EF!$D$100:$D$115,0))*INDEX(EF!$H$132:$H$147,MATCH(Emissions!$D78,EF!$D$132:$D$147,0))*kgtoGg</f>
        <v>5.9523228809688487E-2</v>
      </c>
      <c r="M78" s="22">
        <f>INDEX('Activity data'!M$24:M$39,MATCH(Emissions!$D78,'Activity data'!$D$24:$D$39,0))*INDEX(EF!$H$84:$H$99,MATCH(Emissions!$D78,EF!$D$84:$D$99,0))*INDEX(EF!$H$100:$H$115,MATCH(Emissions!$D78,EF!$D$100:$D$115,0))*INDEX(EF!$H$132:$H$147,MATCH(Emissions!$D78,EF!$D$132:$D$147,0))*kgtoGg</f>
        <v>5.9523228809688487E-2</v>
      </c>
      <c r="N78" s="22">
        <f>INDEX('Activity data'!N$24:N$39,MATCH(Emissions!$D78,'Activity data'!$D$24:$D$39,0))*INDEX(EF!$H$84:$H$99,MATCH(Emissions!$D78,EF!$D$84:$D$99,0))*INDEX(EF!$H$100:$H$115,MATCH(Emissions!$D78,EF!$D$100:$D$115,0))*INDEX(EF!$H$132:$H$147,MATCH(Emissions!$D78,EF!$D$132:$D$147,0))*kgtoGg</f>
        <v>5.9523228809688487E-2</v>
      </c>
      <c r="O78" s="22">
        <f>INDEX('Activity data'!O$24:O$39,MATCH(Emissions!$D78,'Activity data'!$D$24:$D$39,0))*INDEX(EF!$H$84:$H$99,MATCH(Emissions!$D78,EF!$D$84:$D$99,0))*INDEX(EF!$H$100:$H$115,MATCH(Emissions!$D78,EF!$D$100:$D$115,0))*INDEX(EF!$H$132:$H$147,MATCH(Emissions!$D78,EF!$D$132:$D$147,0))*kgtoGg</f>
        <v>5.9523228809688487E-2</v>
      </c>
      <c r="P78" s="22">
        <f>INDEX('Activity data'!P$24:P$39,MATCH(Emissions!$D78,'Activity data'!$D$24:$D$39,0))*INDEX(EF!$H$84:$H$99,MATCH(Emissions!$D78,EF!$D$84:$D$99,0))*INDEX(EF!$H$100:$H$115,MATCH(Emissions!$D78,EF!$D$100:$D$115,0))*INDEX(EF!$H$132:$H$147,MATCH(Emissions!$D78,EF!$D$132:$D$147,0))*kgtoGg</f>
        <v>5.9523228809688487E-2</v>
      </c>
      <c r="Q78" s="22">
        <f>INDEX('Activity data'!Q$24:Q$39,MATCH(Emissions!$D78,'Activity data'!$D$24:$D$39,0))*INDEX(EF!$H$84:$H$99,MATCH(Emissions!$D78,EF!$D$84:$D$99,0))*INDEX(EF!$H$100:$H$115,MATCH(Emissions!$D78,EF!$D$100:$D$115,0))*INDEX(EF!$H$132:$H$147,MATCH(Emissions!$D78,EF!$D$132:$D$147,0))*kgtoGg</f>
        <v>5.9523228809688487E-2</v>
      </c>
      <c r="R78" s="22">
        <f>INDEX('Activity data'!R$24:R$39,MATCH(Emissions!$D78,'Activity data'!$D$24:$D$39,0))*INDEX(EF!$H$84:$H$99,MATCH(Emissions!$D78,EF!$D$84:$D$99,0))*INDEX(EF!$H$100:$H$115,MATCH(Emissions!$D78,EF!$D$100:$D$115,0))*INDEX(EF!$H$132:$H$147,MATCH(Emissions!$D78,EF!$D$132:$D$147,0))*kgtoGg</f>
        <v>5.4383377763667071E-2</v>
      </c>
      <c r="S78" s="22">
        <f>INDEX('Activity data'!S$24:S$39,MATCH(Emissions!$D78,'Activity data'!$D$24:$D$39,0))*INDEX(EF!$H$84:$H$99,MATCH(Emissions!$D78,EF!$D$84:$D$99,0))*INDEX(EF!$H$100:$H$115,MATCH(Emissions!$D78,EF!$D$100:$D$115,0))*INDEX(EF!$H$132:$H$147,MATCH(Emissions!$D78,EF!$D$132:$D$147,0))*kgtoGg</f>
        <v>8.1405471912349855E-2</v>
      </c>
      <c r="T78" s="22">
        <f>INDEX('Activity data'!T$24:T$39,MATCH(Emissions!$D78,'Activity data'!$D$24:$D$39,0))*INDEX(EF!$H$84:$H$99,MATCH(Emissions!$D78,EF!$D$84:$D$99,0))*INDEX(EF!$H$100:$H$115,MATCH(Emissions!$D78,EF!$D$100:$D$115,0))*INDEX(EF!$H$132:$H$147,MATCH(Emissions!$D78,EF!$D$132:$D$147,0))*kgtoGg</f>
        <v>6.4095502815432151E-2</v>
      </c>
      <c r="U78" s="22">
        <f>INDEX('Activity data'!U$24:U$39,MATCH(Emissions!$D78,'Activity data'!$D$24:$D$39,0))*INDEX(EF!$H$84:$H$99,MATCH(Emissions!$D78,EF!$D$84:$D$99,0))*INDEX(EF!$H$100:$H$115,MATCH(Emissions!$D78,EF!$D$100:$D$115,0))*INDEX(EF!$H$132:$H$147,MATCH(Emissions!$D78,EF!$D$132:$D$147,0))*kgtoGg</f>
        <v>5.4372071448123685E-2</v>
      </c>
      <c r="V78" s="22">
        <f>INDEX('Activity data'!V$24:V$39,MATCH(Emissions!$D78,'Activity data'!$D$24:$D$39,0))*INDEX(EF!$H$84:$H$99,MATCH(Emissions!$D78,EF!$D$84:$D$99,0))*INDEX(EF!$H$100:$H$115,MATCH(Emissions!$D78,EF!$D$100:$D$115,0))*INDEX(EF!$H$132:$H$147,MATCH(Emissions!$D78,EF!$D$132:$D$147,0))*kgtoGg</f>
        <v>4.3359720108869682E-2</v>
      </c>
      <c r="W78" s="22">
        <f>INDEX('Activity data'!W$24:W$39,MATCH(Emissions!$D78,'Activity data'!$D$24:$D$39,0))*INDEX(EF!$H$84:$H$99,MATCH(Emissions!$D78,EF!$D$84:$D$99,0))*INDEX(EF!$H$100:$H$115,MATCH(Emissions!$D78,EF!$D$100:$D$115,0))*INDEX(EF!$H$132:$H$147,MATCH(Emissions!$D78,EF!$D$132:$D$147,0))*kgtoGg</f>
        <v>9.3989401112133955E-2</v>
      </c>
      <c r="X78" s="22">
        <f>INDEX('Activity data'!X$24:X$39,MATCH(Emissions!$D78,'Activity data'!$D$24:$D$39,0))*INDEX(EF!$H$84:$H$99,MATCH(Emissions!$D78,EF!$D$84:$D$99,0))*INDEX(EF!$H$100:$H$115,MATCH(Emissions!$D78,EF!$D$100:$D$115,0))*INDEX(EF!$H$132:$H$147,MATCH(Emissions!$D78,EF!$D$132:$D$147,0))*kgtoGg</f>
        <v>7.364933944958986E-2</v>
      </c>
      <c r="Y78" s="22">
        <f>INDEX('Activity data'!Y$24:Y$39,MATCH(Emissions!$D78,'Activity data'!$D$24:$D$39,0))*INDEX(EF!$H$84:$H$99,MATCH(Emissions!$D78,EF!$D$84:$D$99,0))*INDEX(EF!$H$100:$H$115,MATCH(Emissions!$D78,EF!$D$100:$D$115,0))*INDEX(EF!$H$132:$H$147,MATCH(Emissions!$D78,EF!$D$132:$D$147,0))*kgtoGg</f>
        <v>0.11404680488609349</v>
      </c>
      <c r="Z78" s="22">
        <f>INDEX('Activity data'!Z$24:Z$39,MATCH(Emissions!$D78,'Activity data'!$D$24:$D$39,0))*INDEX(EF!$H$84:$H$99,MATCH(Emissions!$D78,EF!$D$84:$D$99,0))*INDEX(EF!$H$100:$H$115,MATCH(Emissions!$D78,EF!$D$100:$D$115,0))*INDEX(EF!$H$132:$H$147,MATCH(Emissions!$D78,EF!$D$132:$D$147,0))*kgtoGg</f>
        <v>6.8618029032784925E-2</v>
      </c>
      <c r="AA78" s="22">
        <f>INDEX('Activity data'!AA$24:AA$39,MATCH(Emissions!$D78,'Activity data'!$D$24:$D$39,0))*INDEX(EF!$H$84:$H$99,MATCH(Emissions!$D78,EF!$D$84:$D$99,0))*INDEX(EF!$H$100:$H$115,MATCH(Emissions!$D78,EF!$D$100:$D$115,0))*INDEX(EF!$H$132:$H$147,MATCH(Emissions!$D78,EF!$D$132:$D$147,0))*kgtoGg</f>
        <v>8.1168039285938853E-2</v>
      </c>
      <c r="AB78" s="22">
        <f>INDEX('Activity data'!AB$24:AB$39,MATCH(Emissions!$D78,'Activity data'!$D$24:$D$39,0))*INDEX(EF!$H$84:$H$99,MATCH(Emissions!$D78,EF!$D$84:$D$99,0))*INDEX(EF!$H$100:$H$115,MATCH(Emissions!$D78,EF!$D$100:$D$115,0))*INDEX(EF!$H$132:$H$147,MATCH(Emissions!$D78,EF!$D$132:$D$147,0))*kgtoGg</f>
        <v>5.4530973000000003E-2</v>
      </c>
      <c r="AC78" s="22">
        <f>INDEX('Activity data'!AC$24:AC$39,MATCH(Emissions!$D78,'Activity data'!$D$24:$D$39,0))*INDEX(EF!$H$84:$H$99,MATCH(Emissions!$D78,EF!$D$84:$D$99,0))*INDEX(EF!$H$100:$H$115,MATCH(Emissions!$D78,EF!$D$100:$D$115,0))*INDEX(EF!$H$132:$H$147,MATCH(Emissions!$D78,EF!$D$132:$D$147,0))*kgtoGg</f>
        <v>3.7016790300000005E-2</v>
      </c>
      <c r="AD78" s="22">
        <f>INDEX('Activity data'!AD$24:AD$39,MATCH(Emissions!$D78,'Activity data'!$D$24:$D$39,0))*INDEX(EF!$H$84:$H$99,MATCH(Emissions!$D78,EF!$D$84:$D$99,0))*INDEX(EF!$H$100:$H$115,MATCH(Emissions!$D78,EF!$D$100:$D$115,0))*INDEX(EF!$H$132:$H$147,MATCH(Emissions!$D78,EF!$D$132:$D$147,0))*kgtoGg</f>
        <v>5.46089838424927E-2</v>
      </c>
      <c r="AE78" s="22">
        <f>INDEX('Activity data'!AE$24:AE$39,MATCH(Emissions!$D78,'Activity data'!$D$24:$D$39,0))*INDEX(EF!$H$84:$H$99,MATCH(Emissions!$D78,EF!$D$84:$D$99,0))*INDEX(EF!$H$100:$H$115,MATCH(Emissions!$D78,EF!$D$100:$D$115,0))*INDEX(EF!$H$132:$H$147,MATCH(Emissions!$D78,EF!$D$132:$D$147,0))*kgtoGg</f>
        <v>5.4617136288329267E-2</v>
      </c>
      <c r="AF78" s="22">
        <f>INDEX('Activity data'!AF$24:AF$39,MATCH(Emissions!$D78,'Activity data'!$D$24:$D$39,0))*INDEX(EF!$H$84:$H$99,MATCH(Emissions!$D78,EF!$D$84:$D$99,0))*INDEX(EF!$H$100:$H$115,MATCH(Emissions!$D78,EF!$D$100:$D$115,0))*INDEX(EF!$H$132:$H$147,MATCH(Emissions!$D78,EF!$D$132:$D$147,0))*kgtoGg</f>
        <v>5.462528873416584E-2</v>
      </c>
      <c r="AG78" s="22">
        <f>INDEX('Activity data'!AG$24:AG$39,MATCH(Emissions!$D78,'Activity data'!$D$24:$D$39,0))*INDEX(EF!$H$84:$H$99,MATCH(Emissions!$D78,EF!$D$84:$D$99,0))*INDEX(EF!$H$100:$H$115,MATCH(Emissions!$D78,EF!$D$100:$D$115,0))*INDEX(EF!$H$132:$H$147,MATCH(Emissions!$D78,EF!$D$132:$D$147,0))*kgtoGg</f>
        <v>5.4633441180002421E-2</v>
      </c>
      <c r="AH78" s="22">
        <f>INDEX('Activity data'!AH$24:AH$39,MATCH(Emissions!$D78,'Activity data'!$D$24:$D$39,0))*INDEX(EF!$H$84:$H$99,MATCH(Emissions!$D78,EF!$D$84:$D$99,0))*INDEX(EF!$H$100:$H$115,MATCH(Emissions!$D78,EF!$D$100:$D$115,0))*INDEX(EF!$H$132:$H$147,MATCH(Emissions!$D78,EF!$D$132:$D$147,0))*kgtoGg</f>
        <v>5.4641593625839001E-2</v>
      </c>
      <c r="AI78" s="22">
        <f>INDEX('Activity data'!AI$24:AI$39,MATCH(Emissions!$D78,'Activity data'!$D$24:$D$39,0))*INDEX(EF!$H$84:$H$99,MATCH(Emissions!$D78,EF!$D$84:$D$99,0))*INDEX(EF!$H$100:$H$115,MATCH(Emissions!$D78,EF!$D$100:$D$115,0))*INDEX(EF!$H$132:$H$147,MATCH(Emissions!$D78,EF!$D$132:$D$147,0))*kgtoGg</f>
        <v>5.4649746071675574E-2</v>
      </c>
      <c r="AJ78" s="22">
        <f>INDEX('Activity data'!AJ$24:AJ$39,MATCH(Emissions!$D78,'Activity data'!$D$24:$D$39,0))*INDEX(EF!$H$84:$H$99,MATCH(Emissions!$D78,EF!$D$84:$D$99,0))*INDEX(EF!$H$100:$H$115,MATCH(Emissions!$D78,EF!$D$100:$D$115,0))*INDEX(EF!$H$132:$H$147,MATCH(Emissions!$D78,EF!$D$132:$D$147,0))*kgtoGg</f>
        <v>5.4657898517512148E-2</v>
      </c>
      <c r="AK78" s="22">
        <f>INDEX('Activity data'!AK$24:AK$39,MATCH(Emissions!$D78,'Activity data'!$D$24:$D$39,0))*INDEX(EF!$H$84:$H$99,MATCH(Emissions!$D78,EF!$D$84:$D$99,0))*INDEX(EF!$H$100:$H$115,MATCH(Emissions!$D78,EF!$D$100:$D$115,0))*INDEX(EF!$H$132:$H$147,MATCH(Emissions!$D78,EF!$D$132:$D$147,0))*kgtoGg</f>
        <v>5.4666050963348742E-2</v>
      </c>
      <c r="AL78" s="22">
        <f>INDEX('Activity data'!AL$24:AL$39,MATCH(Emissions!$D78,'Activity data'!$D$24:$D$39,0))*INDEX(EF!$H$84:$H$99,MATCH(Emissions!$D78,EF!$D$84:$D$99,0))*INDEX(EF!$H$100:$H$115,MATCH(Emissions!$D78,EF!$D$100:$D$115,0))*INDEX(EF!$H$132:$H$147,MATCH(Emissions!$D78,EF!$D$132:$D$147,0))*kgtoGg</f>
        <v>5.4674203409185315E-2</v>
      </c>
      <c r="AM78" s="22">
        <f>INDEX('Activity data'!AM$24:AM$39,MATCH(Emissions!$D78,'Activity data'!$D$24:$D$39,0))*INDEX(EF!$H$84:$H$99,MATCH(Emissions!$D78,EF!$D$84:$D$99,0))*INDEX(EF!$H$100:$H$115,MATCH(Emissions!$D78,EF!$D$100:$D$115,0))*INDEX(EF!$H$132:$H$147,MATCH(Emissions!$D78,EF!$D$132:$D$147,0))*kgtoGg</f>
        <v>5.4682355855021902E-2</v>
      </c>
      <c r="AN78" s="22">
        <f>INDEX('Activity data'!AN$24:AN$39,MATCH(Emissions!$D78,'Activity data'!$D$24:$D$39,0))*INDEX(EF!$H$84:$H$99,MATCH(Emissions!$D78,EF!$D$84:$D$99,0))*INDEX(EF!$H$100:$H$115,MATCH(Emissions!$D78,EF!$D$100:$D$115,0))*INDEX(EF!$H$132:$H$147,MATCH(Emissions!$D78,EF!$D$132:$D$147,0))*kgtoGg</f>
        <v>5.4690508300858469E-2</v>
      </c>
      <c r="AO78" s="22">
        <f>INDEX('Activity data'!AO$24:AO$39,MATCH(Emissions!$D78,'Activity data'!$D$24:$D$39,0))*INDEX(EF!$H$84:$H$99,MATCH(Emissions!$D78,EF!$D$84:$D$99,0))*INDEX(EF!$H$100:$H$115,MATCH(Emissions!$D78,EF!$D$100:$D$115,0))*INDEX(EF!$H$132:$H$147,MATCH(Emissions!$D78,EF!$D$132:$D$147,0))*kgtoGg</f>
        <v>5.4698660746695049E-2</v>
      </c>
      <c r="AP78" s="22">
        <f>INDEX('Activity data'!AP$24:AP$39,MATCH(Emissions!$D78,'Activity data'!$D$24:$D$39,0))*INDEX(EF!$H$84:$H$99,MATCH(Emissions!$D78,EF!$D$84:$D$99,0))*INDEX(EF!$H$100:$H$115,MATCH(Emissions!$D78,EF!$D$100:$D$115,0))*INDEX(EF!$H$132:$H$147,MATCH(Emissions!$D78,EF!$D$132:$D$147,0))*kgtoGg</f>
        <v>5.4706813192531623E-2</v>
      </c>
      <c r="AQ78" s="22">
        <f>INDEX('Activity data'!AQ$24:AQ$39,MATCH(Emissions!$D78,'Activity data'!$D$24:$D$39,0))*INDEX(EF!$H$84:$H$99,MATCH(Emissions!$D78,EF!$D$84:$D$99,0))*INDEX(EF!$H$100:$H$115,MATCH(Emissions!$D78,EF!$D$100:$D$115,0))*INDEX(EF!$H$132:$H$147,MATCH(Emissions!$D78,EF!$D$132:$D$147,0))*kgtoGg</f>
        <v>5.4714965638368196E-2</v>
      </c>
      <c r="AR78" s="22">
        <f>INDEX('Activity data'!AR$24:AR$39,MATCH(Emissions!$D78,'Activity data'!$D$24:$D$39,0))*INDEX(EF!$H$84:$H$99,MATCH(Emissions!$D78,EF!$D$84:$D$99,0))*INDEX(EF!$H$100:$H$115,MATCH(Emissions!$D78,EF!$D$100:$D$115,0))*INDEX(EF!$H$132:$H$147,MATCH(Emissions!$D78,EF!$D$132:$D$147,0))*kgtoGg</f>
        <v>5.472311808420479E-2</v>
      </c>
      <c r="AS78" s="22">
        <f>INDEX('Activity data'!AS$24:AS$39,MATCH(Emissions!$D78,'Activity data'!$D$24:$D$39,0))*INDEX(EF!$H$84:$H$99,MATCH(Emissions!$D78,EF!$D$84:$D$99,0))*INDEX(EF!$H$100:$H$115,MATCH(Emissions!$D78,EF!$D$100:$D$115,0))*INDEX(EF!$H$132:$H$147,MATCH(Emissions!$D78,EF!$D$132:$D$147,0))*kgtoGg</f>
        <v>5.4731270530041363E-2</v>
      </c>
      <c r="AT78" s="22">
        <f>INDEX('Activity data'!AT$24:AT$39,MATCH(Emissions!$D78,'Activity data'!$D$24:$D$39,0))*INDEX(EF!$H$84:$H$99,MATCH(Emissions!$D78,EF!$D$84:$D$99,0))*INDEX(EF!$H$100:$H$115,MATCH(Emissions!$D78,EF!$D$100:$D$115,0))*INDEX(EF!$H$132:$H$147,MATCH(Emissions!$D78,EF!$D$132:$D$147,0))*kgtoGg</f>
        <v>5.4739422975877944E-2</v>
      </c>
      <c r="AU78" s="22">
        <f>INDEX('Activity data'!AU$24:AU$39,MATCH(Emissions!$D78,'Activity data'!$D$24:$D$39,0))*INDEX(EF!$H$84:$H$99,MATCH(Emissions!$D78,EF!$D$84:$D$99,0))*INDEX(EF!$H$100:$H$115,MATCH(Emissions!$D78,EF!$D$100:$D$115,0))*INDEX(EF!$H$132:$H$147,MATCH(Emissions!$D78,EF!$D$132:$D$147,0))*kgtoGg</f>
        <v>5.4747575421714524E-2</v>
      </c>
      <c r="AV78" s="22">
        <f>INDEX('Activity data'!AV$24:AV$39,MATCH(Emissions!$D78,'Activity data'!$D$24:$D$39,0))*INDEX(EF!$H$84:$H$99,MATCH(Emissions!$D78,EF!$D$84:$D$99,0))*INDEX(EF!$H$100:$H$115,MATCH(Emissions!$D78,EF!$D$100:$D$115,0))*INDEX(EF!$H$132:$H$147,MATCH(Emissions!$D78,EF!$D$132:$D$147,0))*kgtoGg</f>
        <v>5.4755727867551097E-2</v>
      </c>
      <c r="AW78" s="22">
        <f>INDEX('Activity data'!AW$24:AW$39,MATCH(Emissions!$D78,'Activity data'!$D$24:$D$39,0))*INDEX(EF!$H$84:$H$99,MATCH(Emissions!$D78,EF!$D$84:$D$99,0))*INDEX(EF!$H$100:$H$115,MATCH(Emissions!$D78,EF!$D$100:$D$115,0))*INDEX(EF!$H$132:$H$147,MATCH(Emissions!$D78,EF!$D$132:$D$147,0))*kgtoGg</f>
        <v>5.4763880313387671E-2</v>
      </c>
      <c r="AX78" s="22">
        <f>INDEX('Activity data'!AX$24:AX$39,MATCH(Emissions!$D78,'Activity data'!$D$24:$D$39,0))*INDEX(EF!$H$84:$H$99,MATCH(Emissions!$D78,EF!$D$84:$D$99,0))*INDEX(EF!$H$100:$H$115,MATCH(Emissions!$D78,EF!$D$100:$D$115,0))*INDEX(EF!$H$132:$H$147,MATCH(Emissions!$D78,EF!$D$132:$D$147,0))*kgtoGg</f>
        <v>5.4772032759224265E-2</v>
      </c>
      <c r="AY78" s="22">
        <f>INDEX('Activity data'!AY$24:AY$39,MATCH(Emissions!$D78,'Activity data'!$D$24:$D$39,0))*INDEX(EF!$H$84:$H$99,MATCH(Emissions!$D78,EF!$D$84:$D$99,0))*INDEX(EF!$H$100:$H$115,MATCH(Emissions!$D78,EF!$D$100:$D$115,0))*INDEX(EF!$H$132:$H$147,MATCH(Emissions!$D78,EF!$D$132:$D$147,0))*kgtoGg</f>
        <v>5.4780185205060838E-2</v>
      </c>
      <c r="AZ78" s="22">
        <f>INDEX('Activity data'!AZ$24:AZ$39,MATCH(Emissions!$D78,'Activity data'!$D$24:$D$39,0))*INDEX(EF!$H$84:$H$99,MATCH(Emissions!$D78,EF!$D$84:$D$99,0))*INDEX(EF!$H$100:$H$115,MATCH(Emissions!$D78,EF!$D$100:$D$115,0))*INDEX(EF!$H$132:$H$147,MATCH(Emissions!$D78,EF!$D$132:$D$147,0))*kgtoGg</f>
        <v>5.4788337650897426E-2</v>
      </c>
      <c r="BA78" s="22">
        <f>INDEX('Activity data'!BA$24:BA$39,MATCH(Emissions!$D78,'Activity data'!$D$24:$D$39,0))*INDEX(EF!$H$84:$H$99,MATCH(Emissions!$D78,EF!$D$84:$D$99,0))*INDEX(EF!$H$100:$H$115,MATCH(Emissions!$D78,EF!$D$100:$D$115,0))*INDEX(EF!$H$132:$H$147,MATCH(Emissions!$D78,EF!$D$132:$D$147,0))*kgtoGg</f>
        <v>5.4796490096733992E-2</v>
      </c>
      <c r="BB78" s="22">
        <f>INDEX('Activity data'!BB$24:BB$39,MATCH(Emissions!$D78,'Activity data'!$D$24:$D$39,0))*INDEX(EF!$H$84:$H$99,MATCH(Emissions!$D78,EF!$D$84:$D$99,0))*INDEX(EF!$H$100:$H$115,MATCH(Emissions!$D78,EF!$D$100:$D$115,0))*INDEX(EF!$H$132:$H$147,MATCH(Emissions!$D78,EF!$D$132:$D$147,0))*kgtoGg</f>
        <v>5.4804642542570572E-2</v>
      </c>
      <c r="BC78" s="22">
        <f>INDEX('Activity data'!BC$24:BC$39,MATCH(Emissions!$D78,'Activity data'!$D$24:$D$39,0))*INDEX(EF!$H$84:$H$99,MATCH(Emissions!$D78,EF!$D$84:$D$99,0))*INDEX(EF!$H$100:$H$115,MATCH(Emissions!$D78,EF!$D$100:$D$115,0))*INDEX(EF!$H$132:$H$147,MATCH(Emissions!$D78,EF!$D$132:$D$147,0))*kgtoGg</f>
        <v>5.4812794988407146E-2</v>
      </c>
      <c r="BD78" s="22">
        <f>INDEX('Activity data'!BD$24:BD$39,MATCH(Emissions!$D78,'Activity data'!$D$24:$D$39,0))*INDEX(EF!$H$84:$H$99,MATCH(Emissions!$D78,EF!$D$84:$D$99,0))*INDEX(EF!$H$100:$H$115,MATCH(Emissions!$D78,EF!$D$100:$D$115,0))*INDEX(EF!$H$132:$H$147,MATCH(Emissions!$D78,EF!$D$132:$D$147,0))*kgtoGg</f>
        <v>5.4820947434243726E-2</v>
      </c>
      <c r="BE78" s="22">
        <f>INDEX('Activity data'!BE$24:BE$39,MATCH(Emissions!$D78,'Activity data'!$D$24:$D$39,0))*INDEX(EF!$H$84:$H$99,MATCH(Emissions!$D78,EF!$D$84:$D$99,0))*INDEX(EF!$H$100:$H$115,MATCH(Emissions!$D78,EF!$D$100:$D$115,0))*INDEX(EF!$H$132:$H$147,MATCH(Emissions!$D78,EF!$D$132:$D$147,0))*kgtoGg</f>
        <v>5.4829099880080313E-2</v>
      </c>
      <c r="BF78" s="22">
        <f>INDEX('Activity data'!BF$24:BF$39,MATCH(Emissions!$D78,'Activity data'!$D$24:$D$39,0))*INDEX(EF!$H$84:$H$99,MATCH(Emissions!$D78,EF!$D$84:$D$99,0))*INDEX(EF!$H$100:$H$115,MATCH(Emissions!$D78,EF!$D$100:$D$115,0))*INDEX(EF!$H$132:$H$147,MATCH(Emissions!$D78,EF!$D$132:$D$147,0))*kgtoGg</f>
        <v>5.4837252325916887E-2</v>
      </c>
      <c r="BG78" s="22">
        <f>INDEX('Activity data'!BG$24:BG$39,MATCH(Emissions!$D78,'Activity data'!$D$24:$D$39,0))*INDEX(EF!$H$84:$H$99,MATCH(Emissions!$D78,EF!$D$84:$D$99,0))*INDEX(EF!$H$100:$H$115,MATCH(Emissions!$D78,EF!$D$100:$D$115,0))*INDEX(EF!$H$132:$H$147,MATCH(Emissions!$D78,EF!$D$132:$D$147,0))*kgtoGg</f>
        <v>5.4845404771753467E-2</v>
      </c>
      <c r="BH78" s="22">
        <f>INDEX('Activity data'!BH$24:BH$39,MATCH(Emissions!$D78,'Activity data'!$D$24:$D$39,0))*INDEX(EF!$H$84:$H$99,MATCH(Emissions!$D78,EF!$D$84:$D$99,0))*INDEX(EF!$H$100:$H$115,MATCH(Emissions!$D78,EF!$D$100:$D$115,0))*INDEX(EF!$H$132:$H$147,MATCH(Emissions!$D78,EF!$D$132:$D$147,0))*kgtoGg</f>
        <v>5.4853557217590047E-2</v>
      </c>
      <c r="BI78" s="22">
        <f>INDEX('Activity data'!BI$24:BI$39,MATCH(Emissions!$D78,'Activity data'!$D$24:$D$39,0))*INDEX(EF!$H$84:$H$99,MATCH(Emissions!$D78,EF!$D$84:$D$99,0))*INDEX(EF!$H$100:$H$115,MATCH(Emissions!$D78,EF!$D$100:$D$115,0))*INDEX(EF!$H$132:$H$147,MATCH(Emissions!$D78,EF!$D$132:$D$147,0))*kgtoGg</f>
        <v>5.4861709663426621E-2</v>
      </c>
      <c r="BJ78" s="22">
        <f>INDEX('Activity data'!BJ$24:BJ$39,MATCH(Emissions!$D78,'Activity data'!$D$24:$D$39,0))*INDEX(EF!$H$84:$H$99,MATCH(Emissions!$D78,EF!$D$84:$D$99,0))*INDEX(EF!$H$100:$H$115,MATCH(Emissions!$D78,EF!$D$100:$D$115,0))*INDEX(EF!$H$132:$H$147,MATCH(Emissions!$D78,EF!$D$132:$D$147,0))*kgtoGg</f>
        <v>5.4869862109263194E-2</v>
      </c>
      <c r="BK78" s="22">
        <f>INDEX('Activity data'!BK$24:BK$39,MATCH(Emissions!$D78,'Activity data'!$D$24:$D$39,0))*INDEX(EF!$H$84:$H$99,MATCH(Emissions!$D78,EF!$D$84:$D$99,0))*INDEX(EF!$H$100:$H$115,MATCH(Emissions!$D78,EF!$D$100:$D$115,0))*INDEX(EF!$H$132:$H$147,MATCH(Emissions!$D78,EF!$D$132:$D$147,0))*kgtoGg</f>
        <v>5.4878014555099774E-2</v>
      </c>
      <c r="BL78" s="22">
        <f>INDEX('Activity data'!BL$24:BL$39,MATCH(Emissions!$D78,'Activity data'!$D$24:$D$39,0))*INDEX(EF!$H$84:$H$99,MATCH(Emissions!$D78,EF!$D$84:$D$99,0))*INDEX(EF!$H$100:$H$115,MATCH(Emissions!$D78,EF!$D$100:$D$115,0))*INDEX(EF!$H$132:$H$147,MATCH(Emissions!$D78,EF!$D$132:$D$147,0))*kgtoGg</f>
        <v>5.4886167000936362E-2</v>
      </c>
      <c r="BM78" s="22">
        <f>INDEX('Activity data'!BM$24:BM$39,MATCH(Emissions!$D78,'Activity data'!$D$24:$D$39,0))*INDEX(EF!$H$84:$H$99,MATCH(Emissions!$D78,EF!$D$84:$D$99,0))*INDEX(EF!$H$100:$H$115,MATCH(Emissions!$D78,EF!$D$100:$D$115,0))*INDEX(EF!$H$132:$H$147,MATCH(Emissions!$D78,EF!$D$132:$D$147,0))*kgtoGg</f>
        <v>5.4894319446772949E-2</v>
      </c>
      <c r="BN78" s="22">
        <f>INDEX('Activity data'!BN$24:BN$39,MATCH(Emissions!$D78,'Activity data'!$D$24:$D$39,0))*INDEX(EF!$H$84:$H$99,MATCH(Emissions!$D78,EF!$D$84:$D$99,0))*INDEX(EF!$H$100:$H$115,MATCH(Emissions!$D78,EF!$D$100:$D$115,0))*INDEX(EF!$H$132:$H$147,MATCH(Emissions!$D78,EF!$D$132:$D$147,0))*kgtoGg</f>
        <v>5.4902471892609515E-2</v>
      </c>
      <c r="BO78" s="22">
        <f>INDEX('Activity data'!BO$24:BO$39,MATCH(Emissions!$D78,'Activity data'!$D$24:$D$39,0))*INDEX(EF!$H$84:$H$99,MATCH(Emissions!$D78,EF!$D$84:$D$99,0))*INDEX(EF!$H$100:$H$115,MATCH(Emissions!$D78,EF!$D$100:$D$115,0))*INDEX(EF!$H$132:$H$147,MATCH(Emissions!$D78,EF!$D$132:$D$147,0))*kgtoGg</f>
        <v>5.4910624338446096E-2</v>
      </c>
      <c r="BP78" s="22">
        <f>INDEX('Activity data'!BP$24:BP$39,MATCH(Emissions!$D78,'Activity data'!$D$24:$D$39,0))*INDEX(EF!$H$84:$H$99,MATCH(Emissions!$D78,EF!$D$84:$D$99,0))*INDEX(EF!$H$100:$H$115,MATCH(Emissions!$D78,EF!$D$100:$D$115,0))*INDEX(EF!$H$132:$H$147,MATCH(Emissions!$D78,EF!$D$132:$D$147,0))*kgtoGg</f>
        <v>5.4918776784282669E-2</v>
      </c>
    </row>
    <row r="79" spans="1:68" x14ac:dyDescent="0.25">
      <c r="A79" t="str">
        <f t="shared" si="19"/>
        <v>3C Aggregated and non-CO2 emissions on land</v>
      </c>
      <c r="B79" t="str">
        <f t="shared" si="26"/>
        <v>3C1 Biomass burning (N2O)</v>
      </c>
      <c r="C79" t="str">
        <f t="shared" si="25"/>
        <v>3C1c Biomass burning in Grasslands</v>
      </c>
      <c r="D79" t="str">
        <f>EF!D109</f>
        <v>Grasslands</v>
      </c>
      <c r="E79" t="s">
        <v>650</v>
      </c>
      <c r="F79" t="str">
        <f t="shared" si="27"/>
        <v>N2O</v>
      </c>
      <c r="G79" t="str">
        <f t="shared" si="28"/>
        <v>Gg N2O</v>
      </c>
      <c r="H79" s="22">
        <f>INDEX('Activity data'!H$24:H$39,MATCH(Emissions!$D79,'Activity data'!$D$24:$D$39,0))*INDEX(EF!$H$84:$H$99,MATCH(Emissions!$D79,EF!$D$84:$D$99,0))*INDEX(EF!$H$100:$H$115,MATCH(Emissions!$D79,EF!$D$100:$D$115,0))*INDEX(EF!$H$132:$H$147,MATCH(Emissions!$D79,EF!$D$132:$D$147,0))*kgtoGg</f>
        <v>2.0559289182704736</v>
      </c>
      <c r="I79" s="22">
        <f>INDEX('Activity data'!I$24:I$39,MATCH(Emissions!$D79,'Activity data'!$D$24:$D$39,0))*INDEX(EF!$H$84:$H$99,MATCH(Emissions!$D79,EF!$D$84:$D$99,0))*INDEX(EF!$H$100:$H$115,MATCH(Emissions!$D79,EF!$D$100:$D$115,0))*INDEX(EF!$H$132:$H$147,MATCH(Emissions!$D79,EF!$D$132:$D$147,0))*kgtoGg</f>
        <v>2.0559289182704736</v>
      </c>
      <c r="J79" s="22">
        <f>INDEX('Activity data'!J$24:J$39,MATCH(Emissions!$D79,'Activity data'!$D$24:$D$39,0))*INDEX(EF!$H$84:$H$99,MATCH(Emissions!$D79,EF!$D$84:$D$99,0))*INDEX(EF!$H$100:$H$115,MATCH(Emissions!$D79,EF!$D$100:$D$115,0))*INDEX(EF!$H$132:$H$147,MATCH(Emissions!$D79,EF!$D$132:$D$147,0))*kgtoGg</f>
        <v>2.0559289182704736</v>
      </c>
      <c r="K79" s="22">
        <f>INDEX('Activity data'!K$24:K$39,MATCH(Emissions!$D79,'Activity data'!$D$24:$D$39,0))*INDEX(EF!$H$84:$H$99,MATCH(Emissions!$D79,EF!$D$84:$D$99,0))*INDEX(EF!$H$100:$H$115,MATCH(Emissions!$D79,EF!$D$100:$D$115,0))*INDEX(EF!$H$132:$H$147,MATCH(Emissions!$D79,EF!$D$132:$D$147,0))*kgtoGg</f>
        <v>2.0559289182704736</v>
      </c>
      <c r="L79" s="22">
        <f>INDEX('Activity data'!L$24:L$39,MATCH(Emissions!$D79,'Activity data'!$D$24:$D$39,0))*INDEX(EF!$H$84:$H$99,MATCH(Emissions!$D79,EF!$D$84:$D$99,0))*INDEX(EF!$H$100:$H$115,MATCH(Emissions!$D79,EF!$D$100:$D$115,0))*INDEX(EF!$H$132:$H$147,MATCH(Emissions!$D79,EF!$D$132:$D$147,0))*kgtoGg</f>
        <v>2.0559289182704736</v>
      </c>
      <c r="M79" s="22">
        <f>INDEX('Activity data'!M$24:M$39,MATCH(Emissions!$D79,'Activity data'!$D$24:$D$39,0))*INDEX(EF!$H$84:$H$99,MATCH(Emissions!$D79,EF!$D$84:$D$99,0))*INDEX(EF!$H$100:$H$115,MATCH(Emissions!$D79,EF!$D$100:$D$115,0))*INDEX(EF!$H$132:$H$147,MATCH(Emissions!$D79,EF!$D$132:$D$147,0))*kgtoGg</f>
        <v>2.0559289182704736</v>
      </c>
      <c r="N79" s="22">
        <f>INDEX('Activity data'!N$24:N$39,MATCH(Emissions!$D79,'Activity data'!$D$24:$D$39,0))*INDEX(EF!$H$84:$H$99,MATCH(Emissions!$D79,EF!$D$84:$D$99,0))*INDEX(EF!$H$100:$H$115,MATCH(Emissions!$D79,EF!$D$100:$D$115,0))*INDEX(EF!$H$132:$H$147,MATCH(Emissions!$D79,EF!$D$132:$D$147,0))*kgtoGg</f>
        <v>2.0559289182704736</v>
      </c>
      <c r="O79" s="22">
        <f>INDEX('Activity data'!O$24:O$39,MATCH(Emissions!$D79,'Activity data'!$D$24:$D$39,0))*INDEX(EF!$H$84:$H$99,MATCH(Emissions!$D79,EF!$D$84:$D$99,0))*INDEX(EF!$H$100:$H$115,MATCH(Emissions!$D79,EF!$D$100:$D$115,0))*INDEX(EF!$H$132:$H$147,MATCH(Emissions!$D79,EF!$D$132:$D$147,0))*kgtoGg</f>
        <v>2.0559289182704736</v>
      </c>
      <c r="P79" s="22">
        <f>INDEX('Activity data'!P$24:P$39,MATCH(Emissions!$D79,'Activity data'!$D$24:$D$39,0))*INDEX(EF!$H$84:$H$99,MATCH(Emissions!$D79,EF!$D$84:$D$99,0))*INDEX(EF!$H$100:$H$115,MATCH(Emissions!$D79,EF!$D$100:$D$115,0))*INDEX(EF!$H$132:$H$147,MATCH(Emissions!$D79,EF!$D$132:$D$147,0))*kgtoGg</f>
        <v>2.0559289182704736</v>
      </c>
      <c r="Q79" s="22">
        <f>INDEX('Activity data'!Q$24:Q$39,MATCH(Emissions!$D79,'Activity data'!$D$24:$D$39,0))*INDEX(EF!$H$84:$H$99,MATCH(Emissions!$D79,EF!$D$84:$D$99,0))*INDEX(EF!$H$100:$H$115,MATCH(Emissions!$D79,EF!$D$100:$D$115,0))*INDEX(EF!$H$132:$H$147,MATCH(Emissions!$D79,EF!$D$132:$D$147,0))*kgtoGg</f>
        <v>2.0559289182704736</v>
      </c>
      <c r="R79" s="22">
        <f>INDEX('Activity data'!R$24:R$39,MATCH(Emissions!$D79,'Activity data'!$D$24:$D$39,0))*INDEX(EF!$H$84:$H$99,MATCH(Emissions!$D79,EF!$D$84:$D$99,0))*INDEX(EF!$H$100:$H$115,MATCH(Emissions!$D79,EF!$D$100:$D$115,0))*INDEX(EF!$H$132:$H$147,MATCH(Emissions!$D79,EF!$D$132:$D$147,0))*kgtoGg</f>
        <v>2.0422883654275221</v>
      </c>
      <c r="S79" s="22">
        <f>INDEX('Activity data'!S$24:S$39,MATCH(Emissions!$D79,'Activity data'!$D$24:$D$39,0))*INDEX(EF!$H$84:$H$99,MATCH(Emissions!$D79,EF!$D$84:$D$99,0))*INDEX(EF!$H$100:$H$115,MATCH(Emissions!$D79,EF!$D$100:$D$115,0))*INDEX(EF!$H$132:$H$147,MATCH(Emissions!$D79,EF!$D$132:$D$147,0))*kgtoGg</f>
        <v>2.3356218386669245</v>
      </c>
      <c r="T79" s="22">
        <f>INDEX('Activity data'!T$24:T$39,MATCH(Emissions!$D79,'Activity data'!$D$24:$D$39,0))*INDEX(EF!$H$84:$H$99,MATCH(Emissions!$D79,EF!$D$84:$D$99,0))*INDEX(EF!$H$100:$H$115,MATCH(Emissions!$D79,EF!$D$100:$D$115,0))*INDEX(EF!$H$132:$H$147,MATCH(Emissions!$D79,EF!$D$132:$D$147,0))*kgtoGg</f>
        <v>2.3760706670797545</v>
      </c>
      <c r="U79" s="22">
        <f>INDEX('Activity data'!U$24:U$39,MATCH(Emissions!$D79,'Activity data'!$D$24:$D$39,0))*INDEX(EF!$H$84:$H$99,MATCH(Emissions!$D79,EF!$D$84:$D$99,0))*INDEX(EF!$H$100:$H$115,MATCH(Emissions!$D79,EF!$D$100:$D$115,0))*INDEX(EF!$H$132:$H$147,MATCH(Emissions!$D79,EF!$D$132:$D$147,0))*kgtoGg</f>
        <v>1.9071940465634558</v>
      </c>
      <c r="V79" s="22">
        <f>INDEX('Activity data'!V$24:V$39,MATCH(Emissions!$D79,'Activity data'!$D$24:$D$39,0))*INDEX(EF!$H$84:$H$99,MATCH(Emissions!$D79,EF!$D$84:$D$99,0))*INDEX(EF!$H$100:$H$115,MATCH(Emissions!$D79,EF!$D$100:$D$115,0))*INDEX(EF!$H$132:$H$147,MATCH(Emissions!$D79,EF!$D$132:$D$147,0))*kgtoGg</f>
        <v>1.6184696736147095</v>
      </c>
      <c r="W79" s="22">
        <f>INDEX('Activity data'!W$24:W$39,MATCH(Emissions!$D79,'Activity data'!$D$24:$D$39,0))*INDEX(EF!$H$84:$H$99,MATCH(Emissions!$D79,EF!$D$84:$D$99,0))*INDEX(EF!$H$100:$H$115,MATCH(Emissions!$D79,EF!$D$100:$D$115,0))*INDEX(EF!$H$132:$H$147,MATCH(Emissions!$D79,EF!$D$132:$D$147,0))*kgtoGg</f>
        <v>2.5143834094226407</v>
      </c>
      <c r="X79" s="22">
        <f>INDEX('Activity data'!X$24:X$39,MATCH(Emissions!$D79,'Activity data'!$D$24:$D$39,0))*INDEX(EF!$H$84:$H$99,MATCH(Emissions!$D79,EF!$D$84:$D$99,0))*INDEX(EF!$H$100:$H$115,MATCH(Emissions!$D79,EF!$D$100:$D$115,0))*INDEX(EF!$H$132:$H$147,MATCH(Emissions!$D79,EF!$D$132:$D$147,0))*kgtoGg</f>
        <v>2.2148912245879653</v>
      </c>
      <c r="Y79" s="22">
        <f>INDEX('Activity data'!Y$24:Y$39,MATCH(Emissions!$D79,'Activity data'!$D$24:$D$39,0))*INDEX(EF!$H$84:$H$99,MATCH(Emissions!$D79,EF!$D$84:$D$99,0))*INDEX(EF!$H$100:$H$115,MATCH(Emissions!$D79,EF!$D$100:$D$115,0))*INDEX(EF!$H$132:$H$147,MATCH(Emissions!$D79,EF!$D$132:$D$147,0))*kgtoGg</f>
        <v>2.0867105561598827</v>
      </c>
      <c r="Z79" s="22">
        <f>INDEX('Activity data'!Z$24:Z$39,MATCH(Emissions!$D79,'Activity data'!$D$24:$D$39,0))*INDEX(EF!$H$84:$H$99,MATCH(Emissions!$D79,EF!$D$84:$D$99,0))*INDEX(EF!$H$100:$H$115,MATCH(Emissions!$D79,EF!$D$100:$D$115,0))*INDEX(EF!$H$132:$H$147,MATCH(Emissions!$D79,EF!$D$132:$D$147,0))*kgtoGg</f>
        <v>1.9391398796124881</v>
      </c>
      <c r="AA79" s="22">
        <f>INDEX('Activity data'!AA$24:AA$39,MATCH(Emissions!$D79,'Activity data'!$D$24:$D$39,0))*INDEX(EF!$H$84:$H$99,MATCH(Emissions!$D79,EF!$D$84:$D$99,0))*INDEX(EF!$H$100:$H$115,MATCH(Emissions!$D79,EF!$D$100:$D$115,0))*INDEX(EF!$H$132:$H$147,MATCH(Emissions!$D79,EF!$D$132:$D$147,0))*kgtoGg</f>
        <v>2.0058724997690169</v>
      </c>
      <c r="AB79" s="22">
        <f>INDEX('Activity data'!AB$24:AB$39,MATCH(Emissions!$D79,'Activity data'!$D$24:$D$39,0))*INDEX(EF!$H$84:$H$99,MATCH(Emissions!$D79,EF!$D$84:$D$99,0))*INDEX(EF!$H$100:$H$115,MATCH(Emissions!$D79,EF!$D$100:$D$115,0))*INDEX(EF!$H$132:$H$147,MATCH(Emissions!$D79,EF!$D$132:$D$147,0))*kgtoGg</f>
        <v>1.7294926458599997</v>
      </c>
      <c r="AC79" s="22">
        <f>INDEX('Activity data'!AC$24:AC$39,MATCH(Emissions!$D79,'Activity data'!$D$24:$D$39,0))*INDEX(EF!$H$84:$H$99,MATCH(Emissions!$D79,EF!$D$84:$D$99,0))*INDEX(EF!$H$100:$H$115,MATCH(Emissions!$D79,EF!$D$100:$D$115,0))*INDEX(EF!$H$132:$H$147,MATCH(Emissions!$D79,EF!$D$132:$D$147,0))*kgtoGg</f>
        <v>1.7569372791599995</v>
      </c>
      <c r="AD79" s="22">
        <f>INDEX('Activity data'!AD$24:AD$39,MATCH(Emissions!$D79,'Activity data'!$D$24:$D$39,0))*INDEX(EF!$H$84:$H$99,MATCH(Emissions!$D79,EF!$D$84:$D$99,0))*INDEX(EF!$H$100:$H$115,MATCH(Emissions!$D79,EF!$D$100:$D$115,0))*INDEX(EF!$H$132:$H$147,MATCH(Emissions!$D79,EF!$D$132:$D$147,0))*kgtoGg</f>
        <v>1.7476396139750874</v>
      </c>
      <c r="AE79" s="22">
        <f>INDEX('Activity data'!AE$24:AE$39,MATCH(Emissions!$D79,'Activity data'!$D$24:$D$39,0))*INDEX(EF!$H$84:$H$99,MATCH(Emissions!$D79,EF!$D$84:$D$99,0))*INDEX(EF!$H$100:$H$115,MATCH(Emissions!$D79,EF!$D$100:$D$115,0))*INDEX(EF!$H$132:$H$147,MATCH(Emissions!$D79,EF!$D$132:$D$147,0))*kgtoGg</f>
        <v>1.7588516448488245</v>
      </c>
      <c r="AF79" s="22">
        <f>INDEX('Activity data'!AF$24:AF$39,MATCH(Emissions!$D79,'Activity data'!$D$24:$D$39,0))*INDEX(EF!$H$84:$H$99,MATCH(Emissions!$D79,EF!$D$84:$D$99,0))*INDEX(EF!$H$100:$H$115,MATCH(Emissions!$D79,EF!$D$100:$D$115,0))*INDEX(EF!$H$132:$H$147,MATCH(Emissions!$D79,EF!$D$132:$D$147,0))*kgtoGg</f>
        <v>1.7700636757225612</v>
      </c>
      <c r="AG79" s="22">
        <f>INDEX('Activity data'!AG$24:AG$39,MATCH(Emissions!$D79,'Activity data'!$D$24:$D$39,0))*INDEX(EF!$H$84:$H$99,MATCH(Emissions!$D79,EF!$D$84:$D$99,0))*INDEX(EF!$H$100:$H$115,MATCH(Emissions!$D79,EF!$D$100:$D$115,0))*INDEX(EF!$H$132:$H$147,MATCH(Emissions!$D79,EF!$D$132:$D$147,0))*kgtoGg</f>
        <v>1.7812757065962979</v>
      </c>
      <c r="AH79" s="22">
        <f>INDEX('Activity data'!AH$24:AH$39,MATCH(Emissions!$D79,'Activity data'!$D$24:$D$39,0))*INDEX(EF!$H$84:$H$99,MATCH(Emissions!$D79,EF!$D$84:$D$99,0))*INDEX(EF!$H$100:$H$115,MATCH(Emissions!$D79,EF!$D$100:$D$115,0))*INDEX(EF!$H$132:$H$147,MATCH(Emissions!$D79,EF!$D$132:$D$147,0))*kgtoGg</f>
        <v>1.7924877374700352</v>
      </c>
      <c r="AI79" s="22">
        <f>INDEX('Activity data'!AI$24:AI$39,MATCH(Emissions!$D79,'Activity data'!$D$24:$D$39,0))*INDEX(EF!$H$84:$H$99,MATCH(Emissions!$D79,EF!$D$84:$D$99,0))*INDEX(EF!$H$100:$H$115,MATCH(Emissions!$D79,EF!$D$100:$D$115,0))*INDEX(EF!$H$132:$H$147,MATCH(Emissions!$D79,EF!$D$132:$D$147,0))*kgtoGg</f>
        <v>1.8036997683437717</v>
      </c>
      <c r="AJ79" s="22">
        <f>INDEX('Activity data'!AJ$24:AJ$39,MATCH(Emissions!$D79,'Activity data'!$D$24:$D$39,0))*INDEX(EF!$H$84:$H$99,MATCH(Emissions!$D79,EF!$D$84:$D$99,0))*INDEX(EF!$H$100:$H$115,MATCH(Emissions!$D79,EF!$D$100:$D$115,0))*INDEX(EF!$H$132:$H$147,MATCH(Emissions!$D79,EF!$D$132:$D$147,0))*kgtoGg</f>
        <v>1.8149117992175088</v>
      </c>
      <c r="AK79" s="22">
        <f>INDEX('Activity data'!AK$24:AK$39,MATCH(Emissions!$D79,'Activity data'!$D$24:$D$39,0))*INDEX(EF!$H$84:$H$99,MATCH(Emissions!$D79,EF!$D$84:$D$99,0))*INDEX(EF!$H$100:$H$115,MATCH(Emissions!$D79,EF!$D$100:$D$115,0))*INDEX(EF!$H$132:$H$147,MATCH(Emissions!$D79,EF!$D$132:$D$147,0))*kgtoGg</f>
        <v>1.8337408160133097</v>
      </c>
      <c r="AL79" s="22">
        <f>INDEX('Activity data'!AL$24:AL$39,MATCH(Emissions!$D79,'Activity data'!$D$24:$D$39,0))*INDEX(EF!$H$84:$H$99,MATCH(Emissions!$D79,EF!$D$84:$D$99,0))*INDEX(EF!$H$100:$H$115,MATCH(Emissions!$D79,EF!$D$100:$D$115,0))*INDEX(EF!$H$132:$H$147,MATCH(Emissions!$D79,EF!$D$132:$D$147,0))*kgtoGg</f>
        <v>1.8525698328091103</v>
      </c>
      <c r="AM79" s="22">
        <f>INDEX('Activity data'!AM$24:AM$39,MATCH(Emissions!$D79,'Activity data'!$D$24:$D$39,0))*INDEX(EF!$H$84:$H$99,MATCH(Emissions!$D79,EF!$D$84:$D$99,0))*INDEX(EF!$H$100:$H$115,MATCH(Emissions!$D79,EF!$D$100:$D$115,0))*INDEX(EF!$H$132:$H$147,MATCH(Emissions!$D79,EF!$D$132:$D$147,0))*kgtoGg</f>
        <v>1.8713988496049114</v>
      </c>
      <c r="AN79" s="22">
        <f>INDEX('Activity data'!AN$24:AN$39,MATCH(Emissions!$D79,'Activity data'!$D$24:$D$39,0))*INDEX(EF!$H$84:$H$99,MATCH(Emissions!$D79,EF!$D$84:$D$99,0))*INDEX(EF!$H$100:$H$115,MATCH(Emissions!$D79,EF!$D$100:$D$115,0))*INDEX(EF!$H$132:$H$147,MATCH(Emissions!$D79,EF!$D$132:$D$147,0))*kgtoGg</f>
        <v>1.8902278664007113</v>
      </c>
      <c r="AO79" s="22">
        <f>INDEX('Activity data'!AO$24:AO$39,MATCH(Emissions!$D79,'Activity data'!$D$24:$D$39,0))*INDEX(EF!$H$84:$H$99,MATCH(Emissions!$D79,EF!$D$84:$D$99,0))*INDEX(EF!$H$100:$H$115,MATCH(Emissions!$D79,EF!$D$100:$D$115,0))*INDEX(EF!$H$132:$H$147,MATCH(Emissions!$D79,EF!$D$132:$D$147,0))*kgtoGg</f>
        <v>1.9090568831965125</v>
      </c>
      <c r="AP79" s="22">
        <f>INDEX('Activity data'!AP$24:AP$39,MATCH(Emissions!$D79,'Activity data'!$D$24:$D$39,0))*INDEX(EF!$H$84:$H$99,MATCH(Emissions!$D79,EF!$D$84:$D$99,0))*INDEX(EF!$H$100:$H$115,MATCH(Emissions!$D79,EF!$D$100:$D$115,0))*INDEX(EF!$H$132:$H$147,MATCH(Emissions!$D79,EF!$D$132:$D$147,0))*kgtoGg</f>
        <v>1.9278858999923132</v>
      </c>
      <c r="AQ79" s="22">
        <f>INDEX('Activity data'!AQ$24:AQ$39,MATCH(Emissions!$D79,'Activity data'!$D$24:$D$39,0))*INDEX(EF!$H$84:$H$99,MATCH(Emissions!$D79,EF!$D$84:$D$99,0))*INDEX(EF!$H$100:$H$115,MATCH(Emissions!$D79,EF!$D$100:$D$115,0))*INDEX(EF!$H$132:$H$147,MATCH(Emissions!$D79,EF!$D$132:$D$147,0))*kgtoGg</f>
        <v>1.9467149167881139</v>
      </c>
      <c r="AR79" s="22">
        <f>INDEX('Activity data'!AR$24:AR$39,MATCH(Emissions!$D79,'Activity data'!$D$24:$D$39,0))*INDEX(EF!$H$84:$H$99,MATCH(Emissions!$D79,EF!$D$84:$D$99,0))*INDEX(EF!$H$100:$H$115,MATCH(Emissions!$D79,EF!$D$100:$D$115,0))*INDEX(EF!$H$132:$H$147,MATCH(Emissions!$D79,EF!$D$132:$D$147,0))*kgtoGg</f>
        <v>1.9655439335839147</v>
      </c>
      <c r="AS79" s="22">
        <f>INDEX('Activity data'!AS$24:AS$39,MATCH(Emissions!$D79,'Activity data'!$D$24:$D$39,0))*INDEX(EF!$H$84:$H$99,MATCH(Emissions!$D79,EF!$D$84:$D$99,0))*INDEX(EF!$H$100:$H$115,MATCH(Emissions!$D79,EF!$D$100:$D$115,0))*INDEX(EF!$H$132:$H$147,MATCH(Emissions!$D79,EF!$D$132:$D$147,0))*kgtoGg</f>
        <v>1.9843729503797152</v>
      </c>
      <c r="AT79" s="22">
        <f>INDEX('Activity data'!AT$24:AT$39,MATCH(Emissions!$D79,'Activity data'!$D$24:$D$39,0))*INDEX(EF!$H$84:$H$99,MATCH(Emissions!$D79,EF!$D$84:$D$99,0))*INDEX(EF!$H$100:$H$115,MATCH(Emissions!$D79,EF!$D$100:$D$115,0))*INDEX(EF!$H$132:$H$147,MATCH(Emissions!$D79,EF!$D$132:$D$147,0))*kgtoGg</f>
        <v>2.0032019671755164</v>
      </c>
      <c r="AU79" s="22">
        <f>INDEX('Activity data'!AU$24:AU$39,MATCH(Emissions!$D79,'Activity data'!$D$24:$D$39,0))*INDEX(EF!$H$84:$H$99,MATCH(Emissions!$D79,EF!$D$84:$D$99,0))*INDEX(EF!$H$100:$H$115,MATCH(Emissions!$D79,EF!$D$100:$D$115,0))*INDEX(EF!$H$132:$H$147,MATCH(Emissions!$D79,EF!$D$132:$D$147,0))*kgtoGg</f>
        <v>2.0220309839713169</v>
      </c>
      <c r="AV79" s="22">
        <f>INDEX('Activity data'!AV$24:AV$39,MATCH(Emissions!$D79,'Activity data'!$D$24:$D$39,0))*INDEX(EF!$H$84:$H$99,MATCH(Emissions!$D79,EF!$D$84:$D$99,0))*INDEX(EF!$H$100:$H$115,MATCH(Emissions!$D79,EF!$D$100:$D$115,0))*INDEX(EF!$H$132:$H$147,MATCH(Emissions!$D79,EF!$D$132:$D$147,0))*kgtoGg</f>
        <v>2.0408600007671174</v>
      </c>
      <c r="AW79" s="22">
        <f>INDEX('Activity data'!AW$24:AW$39,MATCH(Emissions!$D79,'Activity data'!$D$24:$D$39,0))*INDEX(EF!$H$84:$H$99,MATCH(Emissions!$D79,EF!$D$84:$D$99,0))*INDEX(EF!$H$100:$H$115,MATCH(Emissions!$D79,EF!$D$100:$D$115,0))*INDEX(EF!$H$132:$H$147,MATCH(Emissions!$D79,EF!$D$132:$D$147,0))*kgtoGg</f>
        <v>2.0600101805096163</v>
      </c>
      <c r="AX79" s="22">
        <f>INDEX('Activity data'!AX$24:AX$39,MATCH(Emissions!$D79,'Activity data'!$D$24:$D$39,0))*INDEX(EF!$H$84:$H$99,MATCH(Emissions!$D79,EF!$D$84:$D$99,0))*INDEX(EF!$H$100:$H$115,MATCH(Emissions!$D79,EF!$D$100:$D$115,0))*INDEX(EF!$H$132:$H$147,MATCH(Emissions!$D79,EF!$D$132:$D$147,0))*kgtoGg</f>
        <v>2.0791603602521147</v>
      </c>
      <c r="AY79" s="22">
        <f>INDEX('Activity data'!AY$24:AY$39,MATCH(Emissions!$D79,'Activity data'!$D$24:$D$39,0))*INDEX(EF!$H$84:$H$99,MATCH(Emissions!$D79,EF!$D$84:$D$99,0))*INDEX(EF!$H$100:$H$115,MATCH(Emissions!$D79,EF!$D$100:$D$115,0))*INDEX(EF!$H$132:$H$147,MATCH(Emissions!$D79,EF!$D$132:$D$147,0))*kgtoGg</f>
        <v>2.0983105399946136</v>
      </c>
      <c r="AZ79" s="22">
        <f>INDEX('Activity data'!AZ$24:AZ$39,MATCH(Emissions!$D79,'Activity data'!$D$24:$D$39,0))*INDEX(EF!$H$84:$H$99,MATCH(Emissions!$D79,EF!$D$84:$D$99,0))*INDEX(EF!$H$100:$H$115,MATCH(Emissions!$D79,EF!$D$100:$D$115,0))*INDEX(EF!$H$132:$H$147,MATCH(Emissions!$D79,EF!$D$132:$D$147,0))*kgtoGg</f>
        <v>2.1174607197371125</v>
      </c>
      <c r="BA79" s="22">
        <f>INDEX('Activity data'!BA$24:BA$39,MATCH(Emissions!$D79,'Activity data'!$D$24:$D$39,0))*INDEX(EF!$H$84:$H$99,MATCH(Emissions!$D79,EF!$D$84:$D$99,0))*INDEX(EF!$H$100:$H$115,MATCH(Emissions!$D79,EF!$D$100:$D$115,0))*INDEX(EF!$H$132:$H$147,MATCH(Emissions!$D79,EF!$D$132:$D$147,0))*kgtoGg</f>
        <v>2.1366108994796109</v>
      </c>
      <c r="BB79" s="22">
        <f>INDEX('Activity data'!BB$24:BB$39,MATCH(Emissions!$D79,'Activity data'!$D$24:$D$39,0))*INDEX(EF!$H$84:$H$99,MATCH(Emissions!$D79,EF!$D$84:$D$99,0))*INDEX(EF!$H$100:$H$115,MATCH(Emissions!$D79,EF!$D$100:$D$115,0))*INDEX(EF!$H$132:$H$147,MATCH(Emissions!$D79,EF!$D$132:$D$147,0))*kgtoGg</f>
        <v>2.1557610792221098</v>
      </c>
      <c r="BC79" s="22">
        <f>INDEX('Activity data'!BC$24:BC$39,MATCH(Emissions!$D79,'Activity data'!$D$24:$D$39,0))*INDEX(EF!$H$84:$H$99,MATCH(Emissions!$D79,EF!$D$84:$D$99,0))*INDEX(EF!$H$100:$H$115,MATCH(Emissions!$D79,EF!$D$100:$D$115,0))*INDEX(EF!$H$132:$H$147,MATCH(Emissions!$D79,EF!$D$132:$D$147,0))*kgtoGg</f>
        <v>2.1749112589646082</v>
      </c>
      <c r="BD79" s="22">
        <f>INDEX('Activity data'!BD$24:BD$39,MATCH(Emissions!$D79,'Activity data'!$D$24:$D$39,0))*INDEX(EF!$H$84:$H$99,MATCH(Emissions!$D79,EF!$D$84:$D$99,0))*INDEX(EF!$H$100:$H$115,MATCH(Emissions!$D79,EF!$D$100:$D$115,0))*INDEX(EF!$H$132:$H$147,MATCH(Emissions!$D79,EF!$D$132:$D$147,0))*kgtoGg</f>
        <v>2.1940614387071071</v>
      </c>
      <c r="BE79" s="22">
        <f>INDEX('Activity data'!BE$24:BE$39,MATCH(Emissions!$D79,'Activity data'!$D$24:$D$39,0))*INDEX(EF!$H$84:$H$99,MATCH(Emissions!$D79,EF!$D$84:$D$99,0))*INDEX(EF!$H$100:$H$115,MATCH(Emissions!$D79,EF!$D$100:$D$115,0))*INDEX(EF!$H$132:$H$147,MATCH(Emissions!$D79,EF!$D$132:$D$147,0))*kgtoGg</f>
        <v>2.2132116184496056</v>
      </c>
      <c r="BF79" s="22">
        <f>INDEX('Activity data'!BF$24:BF$39,MATCH(Emissions!$D79,'Activity data'!$D$24:$D$39,0))*INDEX(EF!$H$84:$H$99,MATCH(Emissions!$D79,EF!$D$84:$D$99,0))*INDEX(EF!$H$100:$H$115,MATCH(Emissions!$D79,EF!$D$100:$D$115,0))*INDEX(EF!$H$132:$H$147,MATCH(Emissions!$D79,EF!$D$132:$D$147,0))*kgtoGg</f>
        <v>2.232361798192104</v>
      </c>
      <c r="BG79" s="22">
        <f>INDEX('Activity data'!BG$24:BG$39,MATCH(Emissions!$D79,'Activity data'!$D$24:$D$39,0))*INDEX(EF!$H$84:$H$99,MATCH(Emissions!$D79,EF!$D$84:$D$99,0))*INDEX(EF!$H$100:$H$115,MATCH(Emissions!$D79,EF!$D$100:$D$115,0))*INDEX(EF!$H$132:$H$147,MATCH(Emissions!$D79,EF!$D$132:$D$147,0))*kgtoGg</f>
        <v>2.2515119779346029</v>
      </c>
      <c r="BH79" s="22">
        <f>INDEX('Activity data'!BH$24:BH$39,MATCH(Emissions!$D79,'Activity data'!$D$24:$D$39,0))*INDEX(EF!$H$84:$H$99,MATCH(Emissions!$D79,EF!$D$84:$D$99,0))*INDEX(EF!$H$100:$H$115,MATCH(Emissions!$D79,EF!$D$100:$D$115,0))*INDEX(EF!$H$132:$H$147,MATCH(Emissions!$D79,EF!$D$132:$D$147,0))*kgtoGg</f>
        <v>2.2706621576771018</v>
      </c>
      <c r="BI79" s="22">
        <f>INDEX('Activity data'!BI$24:BI$39,MATCH(Emissions!$D79,'Activity data'!$D$24:$D$39,0))*INDEX(EF!$H$84:$H$99,MATCH(Emissions!$D79,EF!$D$84:$D$99,0))*INDEX(EF!$H$100:$H$115,MATCH(Emissions!$D79,EF!$D$100:$D$115,0))*INDEX(EF!$H$132:$H$147,MATCH(Emissions!$D79,EF!$D$132:$D$147,0))*kgtoGg</f>
        <v>2.2898123374196002</v>
      </c>
      <c r="BJ79" s="22">
        <f>INDEX('Activity data'!BJ$24:BJ$39,MATCH(Emissions!$D79,'Activity data'!$D$24:$D$39,0))*INDEX(EF!$H$84:$H$99,MATCH(Emissions!$D79,EF!$D$84:$D$99,0))*INDEX(EF!$H$100:$H$115,MATCH(Emissions!$D79,EF!$D$100:$D$115,0))*INDEX(EF!$H$132:$H$147,MATCH(Emissions!$D79,EF!$D$132:$D$147,0))*kgtoGg</f>
        <v>2.3089625171620991</v>
      </c>
      <c r="BK79" s="22">
        <f>INDEX('Activity data'!BK$24:BK$39,MATCH(Emissions!$D79,'Activity data'!$D$24:$D$39,0))*INDEX(EF!$H$84:$H$99,MATCH(Emissions!$D79,EF!$D$84:$D$99,0))*INDEX(EF!$H$100:$H$115,MATCH(Emissions!$D79,EF!$D$100:$D$115,0))*INDEX(EF!$H$132:$H$147,MATCH(Emissions!$D79,EF!$D$132:$D$147,0))*kgtoGg</f>
        <v>2.328112696904598</v>
      </c>
      <c r="BL79" s="22">
        <f>INDEX('Activity data'!BL$24:BL$39,MATCH(Emissions!$D79,'Activity data'!$D$24:$D$39,0))*INDEX(EF!$H$84:$H$99,MATCH(Emissions!$D79,EF!$D$84:$D$99,0))*INDEX(EF!$H$100:$H$115,MATCH(Emissions!$D79,EF!$D$100:$D$115,0))*INDEX(EF!$H$132:$H$147,MATCH(Emissions!$D79,EF!$D$132:$D$147,0))*kgtoGg</f>
        <v>2.3472628766470964</v>
      </c>
      <c r="BM79" s="22">
        <f>INDEX('Activity data'!BM$24:BM$39,MATCH(Emissions!$D79,'Activity data'!$D$24:$D$39,0))*INDEX(EF!$H$84:$H$99,MATCH(Emissions!$D79,EF!$D$84:$D$99,0))*INDEX(EF!$H$100:$H$115,MATCH(Emissions!$D79,EF!$D$100:$D$115,0))*INDEX(EF!$H$132:$H$147,MATCH(Emissions!$D79,EF!$D$132:$D$147,0))*kgtoGg</f>
        <v>2.3664130563895953</v>
      </c>
      <c r="BN79" s="22">
        <f>INDEX('Activity data'!BN$24:BN$39,MATCH(Emissions!$D79,'Activity data'!$D$24:$D$39,0))*INDEX(EF!$H$84:$H$99,MATCH(Emissions!$D79,EF!$D$84:$D$99,0))*INDEX(EF!$H$100:$H$115,MATCH(Emissions!$D79,EF!$D$100:$D$115,0))*INDEX(EF!$H$132:$H$147,MATCH(Emissions!$D79,EF!$D$132:$D$147,0))*kgtoGg</f>
        <v>2.3855632361320942</v>
      </c>
      <c r="BO79" s="22">
        <f>INDEX('Activity data'!BO$24:BO$39,MATCH(Emissions!$D79,'Activity data'!$D$24:$D$39,0))*INDEX(EF!$H$84:$H$99,MATCH(Emissions!$D79,EF!$D$84:$D$99,0))*INDEX(EF!$H$100:$H$115,MATCH(Emissions!$D79,EF!$D$100:$D$115,0))*INDEX(EF!$H$132:$H$147,MATCH(Emissions!$D79,EF!$D$132:$D$147,0))*kgtoGg</f>
        <v>2.4047134158745926</v>
      </c>
      <c r="BP79" s="22">
        <f>INDEX('Activity data'!BP$24:BP$39,MATCH(Emissions!$D79,'Activity data'!$D$24:$D$39,0))*INDEX(EF!$H$84:$H$99,MATCH(Emissions!$D79,EF!$D$84:$D$99,0))*INDEX(EF!$H$100:$H$115,MATCH(Emissions!$D79,EF!$D$100:$D$115,0))*INDEX(EF!$H$132:$H$147,MATCH(Emissions!$D79,EF!$D$132:$D$147,0))*kgtoGg</f>
        <v>2.4238635956170911</v>
      </c>
    </row>
    <row r="80" spans="1:68" x14ac:dyDescent="0.25">
      <c r="A80" t="str">
        <f t="shared" si="19"/>
        <v>3C Aggregated and non-CO2 emissions on land</v>
      </c>
      <c r="B80" t="str">
        <f t="shared" si="26"/>
        <v>3C1 Biomass burning (N2O)</v>
      </c>
      <c r="C80" t="str">
        <f t="shared" si="25"/>
        <v>3C1c Biomass burning in Grasslands</v>
      </c>
      <c r="D80" t="str">
        <f>EF!D110</f>
        <v>Low shrublands</v>
      </c>
      <c r="E80" t="s">
        <v>651</v>
      </c>
      <c r="F80" t="str">
        <f t="shared" si="27"/>
        <v>N2O</v>
      </c>
      <c r="G80" t="str">
        <f t="shared" si="28"/>
        <v>Gg N2O</v>
      </c>
      <c r="H80" s="22">
        <f>INDEX('Activity data'!H$24:H$39,MATCH(Emissions!$D80,'Activity data'!$D$24:$D$39,0))*INDEX(EF!$H$84:$H$99,MATCH(Emissions!$D80,EF!$D$84:$D$99,0))*INDEX(EF!$H$100:$H$115,MATCH(Emissions!$D80,EF!$D$100:$D$115,0))*INDEX(EF!$H$132:$H$147,MATCH(Emissions!$D80,EF!$D$132:$D$147,0))*kgtoGg</f>
        <v>0.10138378574782032</v>
      </c>
      <c r="I80" s="22">
        <f>INDEX('Activity data'!I$24:I$39,MATCH(Emissions!$D80,'Activity data'!$D$24:$D$39,0))*INDEX(EF!$H$84:$H$99,MATCH(Emissions!$D80,EF!$D$84:$D$99,0))*INDEX(EF!$H$100:$H$115,MATCH(Emissions!$D80,EF!$D$100:$D$115,0))*INDEX(EF!$H$132:$H$147,MATCH(Emissions!$D80,EF!$D$132:$D$147,0))*kgtoGg</f>
        <v>0.10138378574782032</v>
      </c>
      <c r="J80" s="22">
        <f>INDEX('Activity data'!J$24:J$39,MATCH(Emissions!$D80,'Activity data'!$D$24:$D$39,0))*INDEX(EF!$H$84:$H$99,MATCH(Emissions!$D80,EF!$D$84:$D$99,0))*INDEX(EF!$H$100:$H$115,MATCH(Emissions!$D80,EF!$D$100:$D$115,0))*INDEX(EF!$H$132:$H$147,MATCH(Emissions!$D80,EF!$D$132:$D$147,0))*kgtoGg</f>
        <v>0.10138378574782032</v>
      </c>
      <c r="K80" s="22">
        <f>INDEX('Activity data'!K$24:K$39,MATCH(Emissions!$D80,'Activity data'!$D$24:$D$39,0))*INDEX(EF!$H$84:$H$99,MATCH(Emissions!$D80,EF!$D$84:$D$99,0))*INDEX(EF!$H$100:$H$115,MATCH(Emissions!$D80,EF!$D$100:$D$115,0))*INDEX(EF!$H$132:$H$147,MATCH(Emissions!$D80,EF!$D$132:$D$147,0))*kgtoGg</f>
        <v>0.10138378574782032</v>
      </c>
      <c r="L80" s="22">
        <f>INDEX('Activity data'!L$24:L$39,MATCH(Emissions!$D80,'Activity data'!$D$24:$D$39,0))*INDEX(EF!$H$84:$H$99,MATCH(Emissions!$D80,EF!$D$84:$D$99,0))*INDEX(EF!$H$100:$H$115,MATCH(Emissions!$D80,EF!$D$100:$D$115,0))*INDEX(EF!$H$132:$H$147,MATCH(Emissions!$D80,EF!$D$132:$D$147,0))*kgtoGg</f>
        <v>0.10138378574782032</v>
      </c>
      <c r="M80" s="22">
        <f>INDEX('Activity data'!M$24:M$39,MATCH(Emissions!$D80,'Activity data'!$D$24:$D$39,0))*INDEX(EF!$H$84:$H$99,MATCH(Emissions!$D80,EF!$D$84:$D$99,0))*INDEX(EF!$H$100:$H$115,MATCH(Emissions!$D80,EF!$D$100:$D$115,0))*INDEX(EF!$H$132:$H$147,MATCH(Emissions!$D80,EF!$D$132:$D$147,0))*kgtoGg</f>
        <v>0.10138378574782032</v>
      </c>
      <c r="N80" s="22">
        <f>INDEX('Activity data'!N$24:N$39,MATCH(Emissions!$D80,'Activity data'!$D$24:$D$39,0))*INDEX(EF!$H$84:$H$99,MATCH(Emissions!$D80,EF!$D$84:$D$99,0))*INDEX(EF!$H$100:$H$115,MATCH(Emissions!$D80,EF!$D$100:$D$115,0))*INDEX(EF!$H$132:$H$147,MATCH(Emissions!$D80,EF!$D$132:$D$147,0))*kgtoGg</f>
        <v>0.10138378574782032</v>
      </c>
      <c r="O80" s="22">
        <f>INDEX('Activity data'!O$24:O$39,MATCH(Emissions!$D80,'Activity data'!$D$24:$D$39,0))*INDEX(EF!$H$84:$H$99,MATCH(Emissions!$D80,EF!$D$84:$D$99,0))*INDEX(EF!$H$100:$H$115,MATCH(Emissions!$D80,EF!$D$100:$D$115,0))*INDEX(EF!$H$132:$H$147,MATCH(Emissions!$D80,EF!$D$132:$D$147,0))*kgtoGg</f>
        <v>0.10138378574782032</v>
      </c>
      <c r="P80" s="22">
        <f>INDEX('Activity data'!P$24:P$39,MATCH(Emissions!$D80,'Activity data'!$D$24:$D$39,0))*INDEX(EF!$H$84:$H$99,MATCH(Emissions!$D80,EF!$D$84:$D$99,0))*INDEX(EF!$H$100:$H$115,MATCH(Emissions!$D80,EF!$D$100:$D$115,0))*INDEX(EF!$H$132:$H$147,MATCH(Emissions!$D80,EF!$D$132:$D$147,0))*kgtoGg</f>
        <v>0.10138378574782032</v>
      </c>
      <c r="Q80" s="22">
        <f>INDEX('Activity data'!Q$24:Q$39,MATCH(Emissions!$D80,'Activity data'!$D$24:$D$39,0))*INDEX(EF!$H$84:$H$99,MATCH(Emissions!$D80,EF!$D$84:$D$99,0))*INDEX(EF!$H$100:$H$115,MATCH(Emissions!$D80,EF!$D$100:$D$115,0))*INDEX(EF!$H$132:$H$147,MATCH(Emissions!$D80,EF!$D$132:$D$147,0))*kgtoGg</f>
        <v>0.10138378574782032</v>
      </c>
      <c r="R80" s="22">
        <f>INDEX('Activity data'!R$24:R$39,MATCH(Emissions!$D80,'Activity data'!$D$24:$D$39,0))*INDEX(EF!$H$84:$H$99,MATCH(Emissions!$D80,EF!$D$84:$D$99,0))*INDEX(EF!$H$100:$H$115,MATCH(Emissions!$D80,EF!$D$100:$D$115,0))*INDEX(EF!$H$132:$H$147,MATCH(Emissions!$D80,EF!$D$132:$D$147,0))*kgtoGg</f>
        <v>8.5231141447125972E-2</v>
      </c>
      <c r="S80" s="22">
        <f>INDEX('Activity data'!S$24:S$39,MATCH(Emissions!$D80,'Activity data'!$D$24:$D$39,0))*INDEX(EF!$H$84:$H$99,MATCH(Emissions!$D80,EF!$D$84:$D$99,0))*INDEX(EF!$H$100:$H$115,MATCH(Emissions!$D80,EF!$D$100:$D$115,0))*INDEX(EF!$H$132:$H$147,MATCH(Emissions!$D80,EF!$D$132:$D$147,0))*kgtoGg</f>
        <v>7.1709459975422038E-2</v>
      </c>
      <c r="T80" s="22">
        <f>INDEX('Activity data'!T$24:T$39,MATCH(Emissions!$D80,'Activity data'!$D$24:$D$39,0))*INDEX(EF!$H$84:$H$99,MATCH(Emissions!$D80,EF!$D$84:$D$99,0))*INDEX(EF!$H$100:$H$115,MATCH(Emissions!$D80,EF!$D$100:$D$115,0))*INDEX(EF!$H$132:$H$147,MATCH(Emissions!$D80,EF!$D$132:$D$147,0))*kgtoGg</f>
        <v>0.17455023310662754</v>
      </c>
      <c r="U80" s="22">
        <f>INDEX('Activity data'!U$24:U$39,MATCH(Emissions!$D80,'Activity data'!$D$24:$D$39,0))*INDEX(EF!$H$84:$H$99,MATCH(Emissions!$D80,EF!$D$84:$D$99,0))*INDEX(EF!$H$100:$H$115,MATCH(Emissions!$D80,EF!$D$100:$D$115,0))*INDEX(EF!$H$132:$H$147,MATCH(Emissions!$D80,EF!$D$132:$D$147,0))*kgtoGg</f>
        <v>0.10888098161808096</v>
      </c>
      <c r="V80" s="22">
        <f>INDEX('Activity data'!V$24:V$39,MATCH(Emissions!$D80,'Activity data'!$D$24:$D$39,0))*INDEX(EF!$H$84:$H$99,MATCH(Emissions!$D80,EF!$D$84:$D$99,0))*INDEX(EF!$H$100:$H$115,MATCH(Emissions!$D80,EF!$D$100:$D$115,0))*INDEX(EF!$H$132:$H$147,MATCH(Emissions!$D80,EF!$D$132:$D$147,0))*kgtoGg</f>
        <v>6.6547112591845162E-2</v>
      </c>
      <c r="W80" s="22">
        <f>INDEX('Activity data'!W$24:W$39,MATCH(Emissions!$D80,'Activity data'!$D$24:$D$39,0))*INDEX(EF!$H$84:$H$99,MATCH(Emissions!$D80,EF!$D$84:$D$99,0))*INDEX(EF!$H$100:$H$115,MATCH(Emissions!$D80,EF!$D$100:$D$115,0))*INDEX(EF!$H$132:$H$147,MATCH(Emissions!$D80,EF!$D$132:$D$147,0))*kgtoGg</f>
        <v>0.112929624616876</v>
      </c>
      <c r="X80" s="22">
        <f>INDEX('Activity data'!X$24:X$39,MATCH(Emissions!$D80,'Activity data'!$D$24:$D$39,0))*INDEX(EF!$H$84:$H$99,MATCH(Emissions!$D80,EF!$D$84:$D$99,0))*INDEX(EF!$H$100:$H$115,MATCH(Emissions!$D80,EF!$D$100:$D$115,0))*INDEX(EF!$H$132:$H$147,MATCH(Emissions!$D80,EF!$D$132:$D$147,0))*kgtoGg</f>
        <v>8.765508628459226E-2</v>
      </c>
      <c r="Y80" s="22">
        <f>INDEX('Activity data'!Y$24:Y$39,MATCH(Emissions!$D80,'Activity data'!$D$24:$D$39,0))*INDEX(EF!$H$84:$H$99,MATCH(Emissions!$D80,EF!$D$84:$D$99,0))*INDEX(EF!$H$100:$H$115,MATCH(Emissions!$D80,EF!$D$100:$D$115,0))*INDEX(EF!$H$132:$H$147,MATCH(Emissions!$D80,EF!$D$132:$D$147,0))*kgtoGg</f>
        <v>7.5430542861045974E-2</v>
      </c>
      <c r="Z80" s="22">
        <f>INDEX('Activity data'!Z$24:Z$39,MATCH(Emissions!$D80,'Activity data'!$D$24:$D$39,0))*INDEX(EF!$H$84:$H$99,MATCH(Emissions!$D80,EF!$D$84:$D$99,0))*INDEX(EF!$H$100:$H$115,MATCH(Emissions!$D80,EF!$D$100:$D$115,0))*INDEX(EF!$H$132:$H$147,MATCH(Emissions!$D80,EF!$D$132:$D$147,0))*kgtoGg</f>
        <v>9.1349964361162508E-2</v>
      </c>
      <c r="AA80" s="22">
        <f>INDEX('Activity data'!AA$24:AA$39,MATCH(Emissions!$D80,'Activity data'!$D$24:$D$39,0))*INDEX(EF!$H$84:$H$99,MATCH(Emissions!$D80,EF!$D$84:$D$99,0))*INDEX(EF!$H$100:$H$115,MATCH(Emissions!$D80,EF!$D$100:$D$115,0))*INDEX(EF!$H$132:$H$147,MATCH(Emissions!$D80,EF!$D$132:$D$147,0))*kgtoGg</f>
        <v>0.12220612702188222</v>
      </c>
      <c r="AB80" s="22">
        <f>INDEX('Activity data'!AB$24:AB$39,MATCH(Emissions!$D80,'Activity data'!$D$24:$D$39,0))*INDEX(EF!$H$84:$H$99,MATCH(Emissions!$D80,EF!$D$84:$D$99,0))*INDEX(EF!$H$100:$H$115,MATCH(Emissions!$D80,EF!$D$100:$D$115,0))*INDEX(EF!$H$132:$H$147,MATCH(Emissions!$D80,EF!$D$132:$D$147,0))*kgtoGg</f>
        <v>0.29256780571200003</v>
      </c>
      <c r="AC80" s="22">
        <f>INDEX('Activity data'!AC$24:AC$39,MATCH(Emissions!$D80,'Activity data'!$D$24:$D$39,0))*INDEX(EF!$H$84:$H$99,MATCH(Emissions!$D80,EF!$D$84:$D$99,0))*INDEX(EF!$H$100:$H$115,MATCH(Emissions!$D80,EF!$D$100:$D$115,0))*INDEX(EF!$H$132:$H$147,MATCH(Emissions!$D80,EF!$D$132:$D$147,0))*kgtoGg</f>
        <v>0.29394949671360004</v>
      </c>
      <c r="AD80" s="22">
        <f>INDEX('Activity data'!AD$24:AD$39,MATCH(Emissions!$D80,'Activity data'!$D$24:$D$39,0))*INDEX(EF!$H$84:$H$99,MATCH(Emissions!$D80,EF!$D$84:$D$99,0))*INDEX(EF!$H$100:$H$115,MATCH(Emissions!$D80,EF!$D$100:$D$115,0))*INDEX(EF!$H$132:$H$147,MATCH(Emissions!$D80,EF!$D$132:$D$147,0))*kgtoGg</f>
        <v>0.15509939522155319</v>
      </c>
      <c r="AE80" s="22">
        <f>INDEX('Activity data'!AE$24:AE$39,MATCH(Emissions!$D80,'Activity data'!$D$24:$D$39,0))*INDEX(EF!$H$84:$H$99,MATCH(Emissions!$D80,EF!$D$84:$D$99,0))*INDEX(EF!$H$100:$H$115,MATCH(Emissions!$D80,EF!$D$100:$D$115,0))*INDEX(EF!$H$132:$H$147,MATCH(Emissions!$D80,EF!$D$132:$D$147,0))*kgtoGg</f>
        <v>0.15463335341286163</v>
      </c>
      <c r="AF80" s="22">
        <f>INDEX('Activity data'!AF$24:AF$39,MATCH(Emissions!$D80,'Activity data'!$D$24:$D$39,0))*INDEX(EF!$H$84:$H$99,MATCH(Emissions!$D80,EF!$D$84:$D$99,0))*INDEX(EF!$H$100:$H$115,MATCH(Emissions!$D80,EF!$D$100:$D$115,0))*INDEX(EF!$H$132:$H$147,MATCH(Emissions!$D80,EF!$D$132:$D$147,0))*kgtoGg</f>
        <v>0.15416731160417008</v>
      </c>
      <c r="AG80" s="22">
        <f>INDEX('Activity data'!AG$24:AG$39,MATCH(Emissions!$D80,'Activity data'!$D$24:$D$39,0))*INDEX(EF!$H$84:$H$99,MATCH(Emissions!$D80,EF!$D$84:$D$99,0))*INDEX(EF!$H$100:$H$115,MATCH(Emissions!$D80,EF!$D$100:$D$115,0))*INDEX(EF!$H$132:$H$147,MATCH(Emissions!$D80,EF!$D$132:$D$147,0))*kgtoGg</f>
        <v>0.15370126979547846</v>
      </c>
      <c r="AH80" s="22">
        <f>INDEX('Activity data'!AH$24:AH$39,MATCH(Emissions!$D80,'Activity data'!$D$24:$D$39,0))*INDEX(EF!$H$84:$H$99,MATCH(Emissions!$D80,EF!$D$84:$D$99,0))*INDEX(EF!$H$100:$H$115,MATCH(Emissions!$D80,EF!$D$100:$D$115,0))*INDEX(EF!$H$132:$H$147,MATCH(Emissions!$D80,EF!$D$132:$D$147,0))*kgtoGg</f>
        <v>0.15323522798678688</v>
      </c>
      <c r="AI80" s="22">
        <f>INDEX('Activity data'!AI$24:AI$39,MATCH(Emissions!$D80,'Activity data'!$D$24:$D$39,0))*INDEX(EF!$H$84:$H$99,MATCH(Emissions!$D80,EF!$D$84:$D$99,0))*INDEX(EF!$H$100:$H$115,MATCH(Emissions!$D80,EF!$D$100:$D$115,0))*INDEX(EF!$H$132:$H$147,MATCH(Emissions!$D80,EF!$D$132:$D$147,0))*kgtoGg</f>
        <v>0.15276918617809529</v>
      </c>
      <c r="AJ80" s="22">
        <f>INDEX('Activity data'!AJ$24:AJ$39,MATCH(Emissions!$D80,'Activity data'!$D$24:$D$39,0))*INDEX(EF!$H$84:$H$99,MATCH(Emissions!$D80,EF!$D$84:$D$99,0))*INDEX(EF!$H$100:$H$115,MATCH(Emissions!$D80,EF!$D$100:$D$115,0))*INDEX(EF!$H$132:$H$147,MATCH(Emissions!$D80,EF!$D$132:$D$147,0))*kgtoGg</f>
        <v>0.1523031443694037</v>
      </c>
      <c r="AK80" s="22">
        <f>INDEX('Activity data'!AK$24:AK$39,MATCH(Emissions!$D80,'Activity data'!$D$24:$D$39,0))*INDEX(EF!$H$84:$H$99,MATCH(Emissions!$D80,EF!$D$84:$D$99,0))*INDEX(EF!$H$100:$H$115,MATCH(Emissions!$D80,EF!$D$100:$D$115,0))*INDEX(EF!$H$132:$H$147,MATCH(Emissions!$D80,EF!$D$132:$D$147,0))*kgtoGg</f>
        <v>0.15183710256071217</v>
      </c>
      <c r="AL80" s="22">
        <f>INDEX('Activity data'!AL$24:AL$39,MATCH(Emissions!$D80,'Activity data'!$D$24:$D$39,0))*INDEX(EF!$H$84:$H$99,MATCH(Emissions!$D80,EF!$D$84:$D$99,0))*INDEX(EF!$H$100:$H$115,MATCH(Emissions!$D80,EF!$D$100:$D$115,0))*INDEX(EF!$H$132:$H$147,MATCH(Emissions!$D80,EF!$D$132:$D$147,0))*kgtoGg</f>
        <v>0.15137106075202056</v>
      </c>
      <c r="AM80" s="22">
        <f>INDEX('Activity data'!AM$24:AM$39,MATCH(Emissions!$D80,'Activity data'!$D$24:$D$39,0))*INDEX(EF!$H$84:$H$99,MATCH(Emissions!$D80,EF!$D$84:$D$99,0))*INDEX(EF!$H$100:$H$115,MATCH(Emissions!$D80,EF!$D$100:$D$115,0))*INDEX(EF!$H$132:$H$147,MATCH(Emissions!$D80,EF!$D$132:$D$147,0))*kgtoGg</f>
        <v>0.15090501894332897</v>
      </c>
      <c r="AN80" s="22">
        <f>INDEX('Activity data'!AN$24:AN$39,MATCH(Emissions!$D80,'Activity data'!$D$24:$D$39,0))*INDEX(EF!$H$84:$H$99,MATCH(Emissions!$D80,EF!$D$84:$D$99,0))*INDEX(EF!$H$100:$H$115,MATCH(Emissions!$D80,EF!$D$100:$D$115,0))*INDEX(EF!$H$132:$H$147,MATCH(Emissions!$D80,EF!$D$132:$D$147,0))*kgtoGg</f>
        <v>0.15043897713463741</v>
      </c>
      <c r="AO80" s="22">
        <f>INDEX('Activity data'!AO$24:AO$39,MATCH(Emissions!$D80,'Activity data'!$D$24:$D$39,0))*INDEX(EF!$H$84:$H$99,MATCH(Emissions!$D80,EF!$D$84:$D$99,0))*INDEX(EF!$H$100:$H$115,MATCH(Emissions!$D80,EF!$D$100:$D$115,0))*INDEX(EF!$H$132:$H$147,MATCH(Emissions!$D80,EF!$D$132:$D$147,0))*kgtoGg</f>
        <v>0.14997293532594583</v>
      </c>
      <c r="AP80" s="22">
        <f>INDEX('Activity data'!AP$24:AP$39,MATCH(Emissions!$D80,'Activity data'!$D$24:$D$39,0))*INDEX(EF!$H$84:$H$99,MATCH(Emissions!$D80,EF!$D$84:$D$99,0))*INDEX(EF!$H$100:$H$115,MATCH(Emissions!$D80,EF!$D$100:$D$115,0))*INDEX(EF!$H$132:$H$147,MATCH(Emissions!$D80,EF!$D$132:$D$147,0))*kgtoGg</f>
        <v>0.14950689351725424</v>
      </c>
      <c r="AQ80" s="22">
        <f>INDEX('Activity data'!AQ$24:AQ$39,MATCH(Emissions!$D80,'Activity data'!$D$24:$D$39,0))*INDEX(EF!$H$84:$H$99,MATCH(Emissions!$D80,EF!$D$84:$D$99,0))*INDEX(EF!$H$100:$H$115,MATCH(Emissions!$D80,EF!$D$100:$D$115,0))*INDEX(EF!$H$132:$H$147,MATCH(Emissions!$D80,EF!$D$132:$D$147,0))*kgtoGg</f>
        <v>0.14904085170856263</v>
      </c>
      <c r="AR80" s="22">
        <f>INDEX('Activity data'!AR$24:AR$39,MATCH(Emissions!$D80,'Activity data'!$D$24:$D$39,0))*INDEX(EF!$H$84:$H$99,MATCH(Emissions!$D80,EF!$D$84:$D$99,0))*INDEX(EF!$H$100:$H$115,MATCH(Emissions!$D80,EF!$D$100:$D$115,0))*INDEX(EF!$H$132:$H$147,MATCH(Emissions!$D80,EF!$D$132:$D$147,0))*kgtoGg</f>
        <v>0.14857480989987112</v>
      </c>
      <c r="AS80" s="22">
        <f>INDEX('Activity data'!AS$24:AS$39,MATCH(Emissions!$D80,'Activity data'!$D$24:$D$39,0))*INDEX(EF!$H$84:$H$99,MATCH(Emissions!$D80,EF!$D$84:$D$99,0))*INDEX(EF!$H$100:$H$115,MATCH(Emissions!$D80,EF!$D$100:$D$115,0))*INDEX(EF!$H$132:$H$147,MATCH(Emissions!$D80,EF!$D$132:$D$147,0))*kgtoGg</f>
        <v>0.14810876809117951</v>
      </c>
      <c r="AT80" s="22">
        <f>INDEX('Activity data'!AT$24:AT$39,MATCH(Emissions!$D80,'Activity data'!$D$24:$D$39,0))*INDEX(EF!$H$84:$H$99,MATCH(Emissions!$D80,EF!$D$84:$D$99,0))*INDEX(EF!$H$100:$H$115,MATCH(Emissions!$D80,EF!$D$100:$D$115,0))*INDEX(EF!$H$132:$H$147,MATCH(Emissions!$D80,EF!$D$132:$D$147,0))*kgtoGg</f>
        <v>0.1476427262824879</v>
      </c>
      <c r="AU80" s="22">
        <f>INDEX('Activity data'!AU$24:AU$39,MATCH(Emissions!$D80,'Activity data'!$D$24:$D$39,0))*INDEX(EF!$H$84:$H$99,MATCH(Emissions!$D80,EF!$D$84:$D$99,0))*INDEX(EF!$H$100:$H$115,MATCH(Emissions!$D80,EF!$D$100:$D$115,0))*INDEX(EF!$H$132:$H$147,MATCH(Emissions!$D80,EF!$D$132:$D$147,0))*kgtoGg</f>
        <v>0.14717668447379634</v>
      </c>
      <c r="AV80" s="22">
        <f>INDEX('Activity data'!AV$24:AV$39,MATCH(Emissions!$D80,'Activity data'!$D$24:$D$39,0))*INDEX(EF!$H$84:$H$99,MATCH(Emissions!$D80,EF!$D$84:$D$99,0))*INDEX(EF!$H$100:$H$115,MATCH(Emissions!$D80,EF!$D$100:$D$115,0))*INDEX(EF!$H$132:$H$147,MATCH(Emissions!$D80,EF!$D$132:$D$147,0))*kgtoGg</f>
        <v>0.14671064266510475</v>
      </c>
      <c r="AW80" s="22">
        <f>INDEX('Activity data'!AW$24:AW$39,MATCH(Emissions!$D80,'Activity data'!$D$24:$D$39,0))*INDEX(EF!$H$84:$H$99,MATCH(Emissions!$D80,EF!$D$84:$D$99,0))*INDEX(EF!$H$100:$H$115,MATCH(Emissions!$D80,EF!$D$100:$D$115,0))*INDEX(EF!$H$132:$H$147,MATCH(Emissions!$D80,EF!$D$132:$D$147,0))*kgtoGg</f>
        <v>0.14624460085641319</v>
      </c>
      <c r="AX80" s="22">
        <f>INDEX('Activity data'!AX$24:AX$39,MATCH(Emissions!$D80,'Activity data'!$D$24:$D$39,0))*INDEX(EF!$H$84:$H$99,MATCH(Emissions!$D80,EF!$D$84:$D$99,0))*INDEX(EF!$H$100:$H$115,MATCH(Emissions!$D80,EF!$D$100:$D$115,0))*INDEX(EF!$H$132:$H$147,MATCH(Emissions!$D80,EF!$D$132:$D$147,0))*kgtoGg</f>
        <v>0.14577855904772158</v>
      </c>
      <c r="AY80" s="22">
        <f>INDEX('Activity data'!AY$24:AY$39,MATCH(Emissions!$D80,'Activity data'!$D$24:$D$39,0))*INDEX(EF!$H$84:$H$99,MATCH(Emissions!$D80,EF!$D$84:$D$99,0))*INDEX(EF!$H$100:$H$115,MATCH(Emissions!$D80,EF!$D$100:$D$115,0))*INDEX(EF!$H$132:$H$147,MATCH(Emissions!$D80,EF!$D$132:$D$147,0))*kgtoGg</f>
        <v>0.14531251723903005</v>
      </c>
      <c r="AZ80" s="22">
        <f>INDEX('Activity data'!AZ$24:AZ$39,MATCH(Emissions!$D80,'Activity data'!$D$24:$D$39,0))*INDEX(EF!$H$84:$H$99,MATCH(Emissions!$D80,EF!$D$84:$D$99,0))*INDEX(EF!$H$100:$H$115,MATCH(Emissions!$D80,EF!$D$100:$D$115,0))*INDEX(EF!$H$132:$H$147,MATCH(Emissions!$D80,EF!$D$132:$D$147,0))*kgtoGg</f>
        <v>0.14484647543033843</v>
      </c>
      <c r="BA80" s="22">
        <f>INDEX('Activity data'!BA$24:BA$39,MATCH(Emissions!$D80,'Activity data'!$D$24:$D$39,0))*INDEX(EF!$H$84:$H$99,MATCH(Emissions!$D80,EF!$D$84:$D$99,0))*INDEX(EF!$H$100:$H$115,MATCH(Emissions!$D80,EF!$D$100:$D$115,0))*INDEX(EF!$H$132:$H$147,MATCH(Emissions!$D80,EF!$D$132:$D$147,0))*kgtoGg</f>
        <v>0.14438043362164685</v>
      </c>
      <c r="BB80" s="22">
        <f>INDEX('Activity data'!BB$24:BB$39,MATCH(Emissions!$D80,'Activity data'!$D$24:$D$39,0))*INDEX(EF!$H$84:$H$99,MATCH(Emissions!$D80,EF!$D$84:$D$99,0))*INDEX(EF!$H$100:$H$115,MATCH(Emissions!$D80,EF!$D$100:$D$115,0))*INDEX(EF!$H$132:$H$147,MATCH(Emissions!$D80,EF!$D$132:$D$147,0))*kgtoGg</f>
        <v>0.14391439181295529</v>
      </c>
      <c r="BC80" s="22">
        <f>INDEX('Activity data'!BC$24:BC$39,MATCH(Emissions!$D80,'Activity data'!$D$24:$D$39,0))*INDEX(EF!$H$84:$H$99,MATCH(Emissions!$D80,EF!$D$84:$D$99,0))*INDEX(EF!$H$100:$H$115,MATCH(Emissions!$D80,EF!$D$100:$D$115,0))*INDEX(EF!$H$132:$H$147,MATCH(Emissions!$D80,EF!$D$132:$D$147,0))*kgtoGg</f>
        <v>0.1434483500042637</v>
      </c>
      <c r="BD80" s="22">
        <f>INDEX('Activity data'!BD$24:BD$39,MATCH(Emissions!$D80,'Activity data'!$D$24:$D$39,0))*INDEX(EF!$H$84:$H$99,MATCH(Emissions!$D80,EF!$D$84:$D$99,0))*INDEX(EF!$H$100:$H$115,MATCH(Emissions!$D80,EF!$D$100:$D$115,0))*INDEX(EF!$H$132:$H$147,MATCH(Emissions!$D80,EF!$D$132:$D$147,0))*kgtoGg</f>
        <v>0.14298230819557212</v>
      </c>
      <c r="BE80" s="22">
        <f>INDEX('Activity data'!BE$24:BE$39,MATCH(Emissions!$D80,'Activity data'!$D$24:$D$39,0))*INDEX(EF!$H$84:$H$99,MATCH(Emissions!$D80,EF!$D$84:$D$99,0))*INDEX(EF!$H$100:$H$115,MATCH(Emissions!$D80,EF!$D$100:$D$115,0))*INDEX(EF!$H$132:$H$147,MATCH(Emissions!$D80,EF!$D$132:$D$147,0))*kgtoGg</f>
        <v>0.14251626638688056</v>
      </c>
      <c r="BF80" s="22">
        <f>INDEX('Activity data'!BF$24:BF$39,MATCH(Emissions!$D80,'Activity data'!$D$24:$D$39,0))*INDEX(EF!$H$84:$H$99,MATCH(Emissions!$D80,EF!$D$84:$D$99,0))*INDEX(EF!$H$100:$H$115,MATCH(Emissions!$D80,EF!$D$100:$D$115,0))*INDEX(EF!$H$132:$H$147,MATCH(Emissions!$D80,EF!$D$132:$D$147,0))*kgtoGg</f>
        <v>0.142050224578189</v>
      </c>
      <c r="BG80" s="22">
        <f>INDEX('Activity data'!BG$24:BG$39,MATCH(Emissions!$D80,'Activity data'!$D$24:$D$39,0))*INDEX(EF!$H$84:$H$99,MATCH(Emissions!$D80,EF!$D$84:$D$99,0))*INDEX(EF!$H$100:$H$115,MATCH(Emissions!$D80,EF!$D$100:$D$115,0))*INDEX(EF!$H$132:$H$147,MATCH(Emissions!$D80,EF!$D$132:$D$147,0))*kgtoGg</f>
        <v>0.14158418276949739</v>
      </c>
      <c r="BH80" s="22">
        <f>INDEX('Activity data'!BH$24:BH$39,MATCH(Emissions!$D80,'Activity data'!$D$24:$D$39,0))*INDEX(EF!$H$84:$H$99,MATCH(Emissions!$D80,EF!$D$84:$D$99,0))*INDEX(EF!$H$100:$H$115,MATCH(Emissions!$D80,EF!$D$100:$D$115,0))*INDEX(EF!$H$132:$H$147,MATCH(Emissions!$D80,EF!$D$132:$D$147,0))*kgtoGg</f>
        <v>0.14111814096080577</v>
      </c>
      <c r="BI80" s="22">
        <f>INDEX('Activity data'!BI$24:BI$39,MATCH(Emissions!$D80,'Activity data'!$D$24:$D$39,0))*INDEX(EF!$H$84:$H$99,MATCH(Emissions!$D80,EF!$D$84:$D$99,0))*INDEX(EF!$H$100:$H$115,MATCH(Emissions!$D80,EF!$D$100:$D$115,0))*INDEX(EF!$H$132:$H$147,MATCH(Emissions!$D80,EF!$D$132:$D$147,0))*kgtoGg</f>
        <v>0.14065209915211424</v>
      </c>
      <c r="BJ80" s="22">
        <f>INDEX('Activity data'!BJ$24:BJ$39,MATCH(Emissions!$D80,'Activity data'!$D$24:$D$39,0))*INDEX(EF!$H$84:$H$99,MATCH(Emissions!$D80,EF!$D$84:$D$99,0))*INDEX(EF!$H$100:$H$115,MATCH(Emissions!$D80,EF!$D$100:$D$115,0))*INDEX(EF!$H$132:$H$147,MATCH(Emissions!$D80,EF!$D$132:$D$147,0))*kgtoGg</f>
        <v>0.14018605734342263</v>
      </c>
      <c r="BK80" s="22">
        <f>INDEX('Activity data'!BK$24:BK$39,MATCH(Emissions!$D80,'Activity data'!$D$24:$D$39,0))*INDEX(EF!$H$84:$H$99,MATCH(Emissions!$D80,EF!$D$84:$D$99,0))*INDEX(EF!$H$100:$H$115,MATCH(Emissions!$D80,EF!$D$100:$D$115,0))*INDEX(EF!$H$132:$H$147,MATCH(Emissions!$D80,EF!$D$132:$D$147,0))*kgtoGg</f>
        <v>0.13972001553473104</v>
      </c>
      <c r="BL80" s="22">
        <f>INDEX('Activity data'!BL$24:BL$39,MATCH(Emissions!$D80,'Activity data'!$D$24:$D$39,0))*INDEX(EF!$H$84:$H$99,MATCH(Emissions!$D80,EF!$D$84:$D$99,0))*INDEX(EF!$H$100:$H$115,MATCH(Emissions!$D80,EF!$D$100:$D$115,0))*INDEX(EF!$H$132:$H$147,MATCH(Emissions!$D80,EF!$D$132:$D$147,0))*kgtoGg</f>
        <v>0.13925397372603948</v>
      </c>
      <c r="BM80" s="22">
        <f>INDEX('Activity data'!BM$24:BM$39,MATCH(Emissions!$D80,'Activity data'!$D$24:$D$39,0))*INDEX(EF!$H$84:$H$99,MATCH(Emissions!$D80,EF!$D$84:$D$99,0))*INDEX(EF!$H$100:$H$115,MATCH(Emissions!$D80,EF!$D$100:$D$115,0))*INDEX(EF!$H$132:$H$147,MATCH(Emissions!$D80,EF!$D$132:$D$147,0))*kgtoGg</f>
        <v>0.13878793191734787</v>
      </c>
      <c r="BN80" s="22">
        <f>INDEX('Activity data'!BN$24:BN$39,MATCH(Emissions!$D80,'Activity data'!$D$24:$D$39,0))*INDEX(EF!$H$84:$H$99,MATCH(Emissions!$D80,EF!$D$84:$D$99,0))*INDEX(EF!$H$100:$H$115,MATCH(Emissions!$D80,EF!$D$100:$D$115,0))*INDEX(EF!$H$132:$H$147,MATCH(Emissions!$D80,EF!$D$132:$D$147,0))*kgtoGg</f>
        <v>0.13832189010865634</v>
      </c>
      <c r="BO80" s="22">
        <f>INDEX('Activity data'!BO$24:BO$39,MATCH(Emissions!$D80,'Activity data'!$D$24:$D$39,0))*INDEX(EF!$H$84:$H$99,MATCH(Emissions!$D80,EF!$D$84:$D$99,0))*INDEX(EF!$H$100:$H$115,MATCH(Emissions!$D80,EF!$D$100:$D$115,0))*INDEX(EF!$H$132:$H$147,MATCH(Emissions!$D80,EF!$D$132:$D$147,0))*kgtoGg</f>
        <v>0.13785584829996475</v>
      </c>
      <c r="BP80" s="22">
        <f>INDEX('Activity data'!BP$24:BP$39,MATCH(Emissions!$D80,'Activity data'!$D$24:$D$39,0))*INDEX(EF!$H$84:$H$99,MATCH(Emissions!$D80,EF!$D$84:$D$99,0))*INDEX(EF!$H$100:$H$115,MATCH(Emissions!$D80,EF!$D$100:$D$115,0))*INDEX(EF!$H$132:$H$147,MATCH(Emissions!$D80,EF!$D$132:$D$147,0))*kgtoGg</f>
        <v>0.13738980649127319</v>
      </c>
    </row>
    <row r="81" spans="1:68" x14ac:dyDescent="0.25">
      <c r="A81" t="str">
        <f t="shared" si="19"/>
        <v>3C Aggregated and non-CO2 emissions on land</v>
      </c>
      <c r="B81" t="str">
        <f t="shared" si="26"/>
        <v>3C1 Biomass burning (N2O)</v>
      </c>
      <c r="C81" t="str">
        <f t="shared" si="25"/>
        <v>3C1c Biomass burning in Grasslands</v>
      </c>
      <c r="D81" t="str">
        <f>EF!D111</f>
        <v>Degraded land</v>
      </c>
      <c r="E81" t="s">
        <v>641</v>
      </c>
      <c r="F81" t="str">
        <f t="shared" si="27"/>
        <v>N2O</v>
      </c>
      <c r="G81" t="str">
        <f t="shared" si="28"/>
        <v>Gg N2O</v>
      </c>
      <c r="H81" s="22">
        <f>INDEX('Activity data'!H$24:H$39,MATCH(Emissions!$D81,'Activity data'!$D$24:$D$39,0))*INDEX(EF!$H$84:$H$99,MATCH(Emissions!$D81,EF!$D$84:$D$99,0))*INDEX(EF!$H$100:$H$115,MATCH(Emissions!$D81,EF!$D$100:$D$115,0))*INDEX(EF!$H$132:$H$147,MATCH(Emissions!$D81,EF!$D$132:$D$147,0))*kgtoGg</f>
        <v>2.5919889901996538E-2</v>
      </c>
      <c r="I81" s="22">
        <f>INDEX('Activity data'!I$24:I$39,MATCH(Emissions!$D81,'Activity data'!$D$24:$D$39,0))*INDEX(EF!$H$84:$H$99,MATCH(Emissions!$D81,EF!$D$84:$D$99,0))*INDEX(EF!$H$100:$H$115,MATCH(Emissions!$D81,EF!$D$100:$D$115,0))*INDEX(EF!$H$132:$H$147,MATCH(Emissions!$D81,EF!$D$132:$D$147,0))*kgtoGg</f>
        <v>2.5919889901996538E-2</v>
      </c>
      <c r="J81" s="22">
        <f>INDEX('Activity data'!J$24:J$39,MATCH(Emissions!$D81,'Activity data'!$D$24:$D$39,0))*INDEX(EF!$H$84:$H$99,MATCH(Emissions!$D81,EF!$D$84:$D$99,0))*INDEX(EF!$H$100:$H$115,MATCH(Emissions!$D81,EF!$D$100:$D$115,0))*INDEX(EF!$H$132:$H$147,MATCH(Emissions!$D81,EF!$D$132:$D$147,0))*kgtoGg</f>
        <v>2.5919889901996538E-2</v>
      </c>
      <c r="K81" s="22">
        <f>INDEX('Activity data'!K$24:K$39,MATCH(Emissions!$D81,'Activity data'!$D$24:$D$39,0))*INDEX(EF!$H$84:$H$99,MATCH(Emissions!$D81,EF!$D$84:$D$99,0))*INDEX(EF!$H$100:$H$115,MATCH(Emissions!$D81,EF!$D$100:$D$115,0))*INDEX(EF!$H$132:$H$147,MATCH(Emissions!$D81,EF!$D$132:$D$147,0))*kgtoGg</f>
        <v>2.5919889901996538E-2</v>
      </c>
      <c r="L81" s="22">
        <f>INDEX('Activity data'!L$24:L$39,MATCH(Emissions!$D81,'Activity data'!$D$24:$D$39,0))*INDEX(EF!$H$84:$H$99,MATCH(Emissions!$D81,EF!$D$84:$D$99,0))*INDEX(EF!$H$100:$H$115,MATCH(Emissions!$D81,EF!$D$100:$D$115,0))*INDEX(EF!$H$132:$H$147,MATCH(Emissions!$D81,EF!$D$132:$D$147,0))*kgtoGg</f>
        <v>2.5919889901996538E-2</v>
      </c>
      <c r="M81" s="22">
        <f>INDEX('Activity data'!M$24:M$39,MATCH(Emissions!$D81,'Activity data'!$D$24:$D$39,0))*INDEX(EF!$H$84:$H$99,MATCH(Emissions!$D81,EF!$D$84:$D$99,0))*INDEX(EF!$H$100:$H$115,MATCH(Emissions!$D81,EF!$D$100:$D$115,0))*INDEX(EF!$H$132:$H$147,MATCH(Emissions!$D81,EF!$D$132:$D$147,0))*kgtoGg</f>
        <v>2.5919889901996538E-2</v>
      </c>
      <c r="N81" s="22">
        <f>INDEX('Activity data'!N$24:N$39,MATCH(Emissions!$D81,'Activity data'!$D$24:$D$39,0))*INDEX(EF!$H$84:$H$99,MATCH(Emissions!$D81,EF!$D$84:$D$99,0))*INDEX(EF!$H$100:$H$115,MATCH(Emissions!$D81,EF!$D$100:$D$115,0))*INDEX(EF!$H$132:$H$147,MATCH(Emissions!$D81,EF!$D$132:$D$147,0))*kgtoGg</f>
        <v>2.5919889901996538E-2</v>
      </c>
      <c r="O81" s="22">
        <f>INDEX('Activity data'!O$24:O$39,MATCH(Emissions!$D81,'Activity data'!$D$24:$D$39,0))*INDEX(EF!$H$84:$H$99,MATCH(Emissions!$D81,EF!$D$84:$D$99,0))*INDEX(EF!$H$100:$H$115,MATCH(Emissions!$D81,EF!$D$100:$D$115,0))*INDEX(EF!$H$132:$H$147,MATCH(Emissions!$D81,EF!$D$132:$D$147,0))*kgtoGg</f>
        <v>2.5919889901996538E-2</v>
      </c>
      <c r="P81" s="22">
        <f>INDEX('Activity data'!P$24:P$39,MATCH(Emissions!$D81,'Activity data'!$D$24:$D$39,0))*INDEX(EF!$H$84:$H$99,MATCH(Emissions!$D81,EF!$D$84:$D$99,0))*INDEX(EF!$H$100:$H$115,MATCH(Emissions!$D81,EF!$D$100:$D$115,0))*INDEX(EF!$H$132:$H$147,MATCH(Emissions!$D81,EF!$D$132:$D$147,0))*kgtoGg</f>
        <v>2.5919889901996538E-2</v>
      </c>
      <c r="Q81" s="22">
        <f>INDEX('Activity data'!Q$24:Q$39,MATCH(Emissions!$D81,'Activity data'!$D$24:$D$39,0))*INDEX(EF!$H$84:$H$99,MATCH(Emissions!$D81,EF!$D$84:$D$99,0))*INDEX(EF!$H$100:$H$115,MATCH(Emissions!$D81,EF!$D$100:$D$115,0))*INDEX(EF!$H$132:$H$147,MATCH(Emissions!$D81,EF!$D$132:$D$147,0))*kgtoGg</f>
        <v>2.5919889901996538E-2</v>
      </c>
      <c r="R81" s="22">
        <f>INDEX('Activity data'!R$24:R$39,MATCH(Emissions!$D81,'Activity data'!$D$24:$D$39,0))*INDEX(EF!$H$84:$H$99,MATCH(Emissions!$D81,EF!$D$84:$D$99,0))*INDEX(EF!$H$100:$H$115,MATCH(Emissions!$D81,EF!$D$100:$D$115,0))*INDEX(EF!$H$132:$H$147,MATCH(Emissions!$D81,EF!$D$132:$D$147,0))*kgtoGg</f>
        <v>2.8520988552148289E-2</v>
      </c>
      <c r="S81" s="22">
        <f>INDEX('Activity data'!S$24:S$39,MATCH(Emissions!$D81,'Activity data'!$D$24:$D$39,0))*INDEX(EF!$H$84:$H$99,MATCH(Emissions!$D81,EF!$D$84:$D$99,0))*INDEX(EF!$H$100:$H$115,MATCH(Emissions!$D81,EF!$D$100:$D$115,0))*INDEX(EF!$H$132:$H$147,MATCH(Emissions!$D81,EF!$D$132:$D$147,0))*kgtoGg</f>
        <v>2.5817163949345238E-2</v>
      </c>
      <c r="T81" s="22">
        <f>INDEX('Activity data'!T$24:T$39,MATCH(Emissions!$D81,'Activity data'!$D$24:$D$39,0))*INDEX(EF!$H$84:$H$99,MATCH(Emissions!$D81,EF!$D$84:$D$99,0))*INDEX(EF!$H$100:$H$115,MATCH(Emissions!$D81,EF!$D$100:$D$115,0))*INDEX(EF!$H$132:$H$147,MATCH(Emissions!$D81,EF!$D$132:$D$147,0))*kgtoGg</f>
        <v>3.4558561052314238E-2</v>
      </c>
      <c r="U81" s="22">
        <f>INDEX('Activity data'!U$24:U$39,MATCH(Emissions!$D81,'Activity data'!$D$24:$D$39,0))*INDEX(EF!$H$84:$H$99,MATCH(Emissions!$D81,EF!$D$84:$D$99,0))*INDEX(EF!$H$100:$H$115,MATCH(Emissions!$D81,EF!$D$100:$D$115,0))*INDEX(EF!$H$132:$H$147,MATCH(Emissions!$D81,EF!$D$132:$D$147,0))*kgtoGg</f>
        <v>1.0165992861435118E-2</v>
      </c>
      <c r="V81" s="22">
        <f>INDEX('Activity data'!V$24:V$39,MATCH(Emissions!$D81,'Activity data'!$D$24:$D$39,0))*INDEX(EF!$H$84:$H$99,MATCH(Emissions!$D81,EF!$D$84:$D$99,0))*INDEX(EF!$H$100:$H$115,MATCH(Emissions!$D81,EF!$D$100:$D$115,0))*INDEX(EF!$H$132:$H$147,MATCH(Emissions!$D81,EF!$D$132:$D$147,0))*kgtoGg</f>
        <v>3.0536743094739811E-2</v>
      </c>
      <c r="W81" s="22">
        <f>INDEX('Activity data'!W$24:W$39,MATCH(Emissions!$D81,'Activity data'!$D$24:$D$39,0))*INDEX(EF!$H$84:$H$99,MATCH(Emissions!$D81,EF!$D$84:$D$99,0))*INDEX(EF!$H$100:$H$115,MATCH(Emissions!$D81,EF!$D$100:$D$115,0))*INDEX(EF!$H$132:$H$147,MATCH(Emissions!$D81,EF!$D$132:$D$147,0))*kgtoGg</f>
        <v>3.7407752569246472E-2</v>
      </c>
      <c r="X81" s="22">
        <f>INDEX('Activity data'!X$24:X$39,MATCH(Emissions!$D81,'Activity data'!$D$24:$D$39,0))*INDEX(EF!$H$84:$H$99,MATCH(Emissions!$D81,EF!$D$84:$D$99,0))*INDEX(EF!$H$100:$H$115,MATCH(Emissions!$D81,EF!$D$100:$D$115,0))*INDEX(EF!$H$132:$H$147,MATCH(Emissions!$D81,EF!$D$132:$D$147,0))*kgtoGg</f>
        <v>5.5423558793658186E-2</v>
      </c>
      <c r="Y81" s="22">
        <f>INDEX('Activity data'!Y$24:Y$39,MATCH(Emissions!$D81,'Activity data'!$D$24:$D$39,0))*INDEX(EF!$H$84:$H$99,MATCH(Emissions!$D81,EF!$D$84:$D$99,0))*INDEX(EF!$H$100:$H$115,MATCH(Emissions!$D81,EF!$D$100:$D$115,0))*INDEX(EF!$H$132:$H$147,MATCH(Emissions!$D81,EF!$D$132:$D$147,0))*kgtoGg</f>
        <v>8.4312810194933779E-3</v>
      </c>
      <c r="Z81" s="22">
        <f>INDEX('Activity data'!Z$24:Z$39,MATCH(Emissions!$D81,'Activity data'!$D$24:$D$39,0))*INDEX(EF!$H$84:$H$99,MATCH(Emissions!$D81,EF!$D$84:$D$99,0))*INDEX(EF!$H$100:$H$115,MATCH(Emissions!$D81,EF!$D$100:$D$115,0))*INDEX(EF!$H$132:$H$147,MATCH(Emissions!$D81,EF!$D$132:$D$147,0))*kgtoGg</f>
        <v>3.9442889367055235E-2</v>
      </c>
      <c r="AA81" s="22">
        <f>INDEX('Activity data'!AA$24:AA$39,MATCH(Emissions!$D81,'Activity data'!$D$24:$D$39,0))*INDEX(EF!$H$84:$H$99,MATCH(Emissions!$D81,EF!$D$84:$D$99,0))*INDEX(EF!$H$100:$H$115,MATCH(Emissions!$D81,EF!$D$100:$D$115,0))*INDEX(EF!$H$132:$H$147,MATCH(Emissions!$D81,EF!$D$132:$D$147,0))*kgtoGg</f>
        <v>2.5603959141955752E-2</v>
      </c>
      <c r="AB81" s="22">
        <f>INDEX('Activity data'!AB$24:AB$39,MATCH(Emissions!$D81,'Activity data'!$D$24:$D$39,0))*INDEX(EF!$H$84:$H$99,MATCH(Emissions!$D81,EF!$D$84:$D$99,0))*INDEX(EF!$H$100:$H$115,MATCH(Emissions!$D81,EF!$D$100:$D$115,0))*INDEX(EF!$H$132:$H$147,MATCH(Emissions!$D81,EF!$D$132:$D$147,0))*kgtoGg</f>
        <v>3.4459387199999997E-2</v>
      </c>
      <c r="AC81" s="22">
        <f>INDEX('Activity data'!AC$24:AC$39,MATCH(Emissions!$D81,'Activity data'!$D$24:$D$39,0))*INDEX(EF!$H$84:$H$99,MATCH(Emissions!$D81,EF!$D$84:$D$99,0))*INDEX(EF!$H$100:$H$115,MATCH(Emissions!$D81,EF!$D$100:$D$115,0))*INDEX(EF!$H$132:$H$147,MATCH(Emissions!$D81,EF!$D$132:$D$147,0))*kgtoGg</f>
        <v>4.0562650800000002E-2</v>
      </c>
      <c r="AD81" s="22">
        <f>INDEX('Activity data'!AD$24:AD$39,MATCH(Emissions!$D81,'Activity data'!$D$24:$D$39,0))*INDEX(EF!$H$84:$H$99,MATCH(Emissions!$D81,EF!$D$84:$D$99,0))*INDEX(EF!$H$100:$H$115,MATCH(Emissions!$D81,EF!$D$100:$D$115,0))*INDEX(EF!$H$132:$H$147,MATCH(Emissions!$D81,EF!$D$132:$D$147,0))*kgtoGg</f>
        <v>2.434480550007732E-2</v>
      </c>
      <c r="AE81" s="22">
        <f>INDEX('Activity data'!AE$24:AE$39,MATCH(Emissions!$D81,'Activity data'!$D$24:$D$39,0))*INDEX(EF!$H$84:$H$99,MATCH(Emissions!$D81,EF!$D$84:$D$99,0))*INDEX(EF!$H$100:$H$115,MATCH(Emissions!$D81,EF!$D$100:$D$115,0))*INDEX(EF!$H$132:$H$147,MATCH(Emissions!$D81,EF!$D$132:$D$147,0))*kgtoGg</f>
        <v>2.434480550007732E-2</v>
      </c>
      <c r="AF81" s="22">
        <f>INDEX('Activity data'!AF$24:AF$39,MATCH(Emissions!$D81,'Activity data'!$D$24:$D$39,0))*INDEX(EF!$H$84:$H$99,MATCH(Emissions!$D81,EF!$D$84:$D$99,0))*INDEX(EF!$H$100:$H$115,MATCH(Emissions!$D81,EF!$D$100:$D$115,0))*INDEX(EF!$H$132:$H$147,MATCH(Emissions!$D81,EF!$D$132:$D$147,0))*kgtoGg</f>
        <v>2.434480550007732E-2</v>
      </c>
      <c r="AG81" s="22">
        <f>INDEX('Activity data'!AG$24:AG$39,MATCH(Emissions!$D81,'Activity data'!$D$24:$D$39,0))*INDEX(EF!$H$84:$H$99,MATCH(Emissions!$D81,EF!$D$84:$D$99,0))*INDEX(EF!$H$100:$H$115,MATCH(Emissions!$D81,EF!$D$100:$D$115,0))*INDEX(EF!$H$132:$H$147,MATCH(Emissions!$D81,EF!$D$132:$D$147,0))*kgtoGg</f>
        <v>2.434480550007732E-2</v>
      </c>
      <c r="AH81" s="22">
        <f>INDEX('Activity data'!AH$24:AH$39,MATCH(Emissions!$D81,'Activity data'!$D$24:$D$39,0))*INDEX(EF!$H$84:$H$99,MATCH(Emissions!$D81,EF!$D$84:$D$99,0))*INDEX(EF!$H$100:$H$115,MATCH(Emissions!$D81,EF!$D$100:$D$115,0))*INDEX(EF!$H$132:$H$147,MATCH(Emissions!$D81,EF!$D$132:$D$147,0))*kgtoGg</f>
        <v>2.434480550007732E-2</v>
      </c>
      <c r="AI81" s="22">
        <f>INDEX('Activity data'!AI$24:AI$39,MATCH(Emissions!$D81,'Activity data'!$D$24:$D$39,0))*INDEX(EF!$H$84:$H$99,MATCH(Emissions!$D81,EF!$D$84:$D$99,0))*INDEX(EF!$H$100:$H$115,MATCH(Emissions!$D81,EF!$D$100:$D$115,0))*INDEX(EF!$H$132:$H$147,MATCH(Emissions!$D81,EF!$D$132:$D$147,0))*kgtoGg</f>
        <v>2.434480550007732E-2</v>
      </c>
      <c r="AJ81" s="22">
        <f>INDEX('Activity data'!AJ$24:AJ$39,MATCH(Emissions!$D81,'Activity data'!$D$24:$D$39,0))*INDEX(EF!$H$84:$H$99,MATCH(Emissions!$D81,EF!$D$84:$D$99,0))*INDEX(EF!$H$100:$H$115,MATCH(Emissions!$D81,EF!$D$100:$D$115,0))*INDEX(EF!$H$132:$H$147,MATCH(Emissions!$D81,EF!$D$132:$D$147,0))*kgtoGg</f>
        <v>2.434480550007732E-2</v>
      </c>
      <c r="AK81" s="22">
        <f>INDEX('Activity data'!AK$24:AK$39,MATCH(Emissions!$D81,'Activity data'!$D$24:$D$39,0))*INDEX(EF!$H$84:$H$99,MATCH(Emissions!$D81,EF!$D$84:$D$99,0))*INDEX(EF!$H$100:$H$115,MATCH(Emissions!$D81,EF!$D$100:$D$115,0))*INDEX(EF!$H$132:$H$147,MATCH(Emissions!$D81,EF!$D$132:$D$147,0))*kgtoGg</f>
        <v>2.434480550007732E-2</v>
      </c>
      <c r="AL81" s="22">
        <f>INDEX('Activity data'!AL$24:AL$39,MATCH(Emissions!$D81,'Activity data'!$D$24:$D$39,0))*INDEX(EF!$H$84:$H$99,MATCH(Emissions!$D81,EF!$D$84:$D$99,0))*INDEX(EF!$H$100:$H$115,MATCH(Emissions!$D81,EF!$D$100:$D$115,0))*INDEX(EF!$H$132:$H$147,MATCH(Emissions!$D81,EF!$D$132:$D$147,0))*kgtoGg</f>
        <v>2.434480550007732E-2</v>
      </c>
      <c r="AM81" s="22">
        <f>INDEX('Activity data'!AM$24:AM$39,MATCH(Emissions!$D81,'Activity data'!$D$24:$D$39,0))*INDEX(EF!$H$84:$H$99,MATCH(Emissions!$D81,EF!$D$84:$D$99,0))*INDEX(EF!$H$100:$H$115,MATCH(Emissions!$D81,EF!$D$100:$D$115,0))*INDEX(EF!$H$132:$H$147,MATCH(Emissions!$D81,EF!$D$132:$D$147,0))*kgtoGg</f>
        <v>2.434480550007732E-2</v>
      </c>
      <c r="AN81" s="22">
        <f>INDEX('Activity data'!AN$24:AN$39,MATCH(Emissions!$D81,'Activity data'!$D$24:$D$39,0))*INDEX(EF!$H$84:$H$99,MATCH(Emissions!$D81,EF!$D$84:$D$99,0))*INDEX(EF!$H$100:$H$115,MATCH(Emissions!$D81,EF!$D$100:$D$115,0))*INDEX(EF!$H$132:$H$147,MATCH(Emissions!$D81,EF!$D$132:$D$147,0))*kgtoGg</f>
        <v>2.434480550007732E-2</v>
      </c>
      <c r="AO81" s="22">
        <f>INDEX('Activity data'!AO$24:AO$39,MATCH(Emissions!$D81,'Activity data'!$D$24:$D$39,0))*INDEX(EF!$H$84:$H$99,MATCH(Emissions!$D81,EF!$D$84:$D$99,0))*INDEX(EF!$H$100:$H$115,MATCH(Emissions!$D81,EF!$D$100:$D$115,0))*INDEX(EF!$H$132:$H$147,MATCH(Emissions!$D81,EF!$D$132:$D$147,0))*kgtoGg</f>
        <v>2.434480550007732E-2</v>
      </c>
      <c r="AP81" s="22">
        <f>INDEX('Activity data'!AP$24:AP$39,MATCH(Emissions!$D81,'Activity data'!$D$24:$D$39,0))*INDEX(EF!$H$84:$H$99,MATCH(Emissions!$D81,EF!$D$84:$D$99,0))*INDEX(EF!$H$100:$H$115,MATCH(Emissions!$D81,EF!$D$100:$D$115,0))*INDEX(EF!$H$132:$H$147,MATCH(Emissions!$D81,EF!$D$132:$D$147,0))*kgtoGg</f>
        <v>2.434480550007732E-2</v>
      </c>
      <c r="AQ81" s="22">
        <f>INDEX('Activity data'!AQ$24:AQ$39,MATCH(Emissions!$D81,'Activity data'!$D$24:$D$39,0))*INDEX(EF!$H$84:$H$99,MATCH(Emissions!$D81,EF!$D$84:$D$99,0))*INDEX(EF!$H$100:$H$115,MATCH(Emissions!$D81,EF!$D$100:$D$115,0))*INDEX(EF!$H$132:$H$147,MATCH(Emissions!$D81,EF!$D$132:$D$147,0))*kgtoGg</f>
        <v>2.434480550007732E-2</v>
      </c>
      <c r="AR81" s="22">
        <f>INDEX('Activity data'!AR$24:AR$39,MATCH(Emissions!$D81,'Activity data'!$D$24:$D$39,0))*INDEX(EF!$H$84:$H$99,MATCH(Emissions!$D81,EF!$D$84:$D$99,0))*INDEX(EF!$H$100:$H$115,MATCH(Emissions!$D81,EF!$D$100:$D$115,0))*INDEX(EF!$H$132:$H$147,MATCH(Emissions!$D81,EF!$D$132:$D$147,0))*kgtoGg</f>
        <v>2.434480550007732E-2</v>
      </c>
      <c r="AS81" s="22">
        <f>INDEX('Activity data'!AS$24:AS$39,MATCH(Emissions!$D81,'Activity data'!$D$24:$D$39,0))*INDEX(EF!$H$84:$H$99,MATCH(Emissions!$D81,EF!$D$84:$D$99,0))*INDEX(EF!$H$100:$H$115,MATCH(Emissions!$D81,EF!$D$100:$D$115,0))*INDEX(EF!$H$132:$H$147,MATCH(Emissions!$D81,EF!$D$132:$D$147,0))*kgtoGg</f>
        <v>2.434480550007732E-2</v>
      </c>
      <c r="AT81" s="22">
        <f>INDEX('Activity data'!AT$24:AT$39,MATCH(Emissions!$D81,'Activity data'!$D$24:$D$39,0))*INDEX(EF!$H$84:$H$99,MATCH(Emissions!$D81,EF!$D$84:$D$99,0))*INDEX(EF!$H$100:$H$115,MATCH(Emissions!$D81,EF!$D$100:$D$115,0))*INDEX(EF!$H$132:$H$147,MATCH(Emissions!$D81,EF!$D$132:$D$147,0))*kgtoGg</f>
        <v>2.434480550007732E-2</v>
      </c>
      <c r="AU81" s="22">
        <f>INDEX('Activity data'!AU$24:AU$39,MATCH(Emissions!$D81,'Activity data'!$D$24:$D$39,0))*INDEX(EF!$H$84:$H$99,MATCH(Emissions!$D81,EF!$D$84:$D$99,0))*INDEX(EF!$H$100:$H$115,MATCH(Emissions!$D81,EF!$D$100:$D$115,0))*INDEX(EF!$H$132:$H$147,MATCH(Emissions!$D81,EF!$D$132:$D$147,0))*kgtoGg</f>
        <v>2.434480550007732E-2</v>
      </c>
      <c r="AV81" s="22">
        <f>INDEX('Activity data'!AV$24:AV$39,MATCH(Emissions!$D81,'Activity data'!$D$24:$D$39,0))*INDEX(EF!$H$84:$H$99,MATCH(Emissions!$D81,EF!$D$84:$D$99,0))*INDEX(EF!$H$100:$H$115,MATCH(Emissions!$D81,EF!$D$100:$D$115,0))*INDEX(EF!$H$132:$H$147,MATCH(Emissions!$D81,EF!$D$132:$D$147,0))*kgtoGg</f>
        <v>2.434480550007732E-2</v>
      </c>
      <c r="AW81" s="22">
        <f>INDEX('Activity data'!AW$24:AW$39,MATCH(Emissions!$D81,'Activity data'!$D$24:$D$39,0))*INDEX(EF!$H$84:$H$99,MATCH(Emissions!$D81,EF!$D$84:$D$99,0))*INDEX(EF!$H$100:$H$115,MATCH(Emissions!$D81,EF!$D$100:$D$115,0))*INDEX(EF!$H$132:$H$147,MATCH(Emissions!$D81,EF!$D$132:$D$147,0))*kgtoGg</f>
        <v>2.434480550007732E-2</v>
      </c>
      <c r="AX81" s="22">
        <f>INDEX('Activity data'!AX$24:AX$39,MATCH(Emissions!$D81,'Activity data'!$D$24:$D$39,0))*INDEX(EF!$H$84:$H$99,MATCH(Emissions!$D81,EF!$D$84:$D$99,0))*INDEX(EF!$H$100:$H$115,MATCH(Emissions!$D81,EF!$D$100:$D$115,0))*INDEX(EF!$H$132:$H$147,MATCH(Emissions!$D81,EF!$D$132:$D$147,0))*kgtoGg</f>
        <v>2.434480550007732E-2</v>
      </c>
      <c r="AY81" s="22">
        <f>INDEX('Activity data'!AY$24:AY$39,MATCH(Emissions!$D81,'Activity data'!$D$24:$D$39,0))*INDEX(EF!$H$84:$H$99,MATCH(Emissions!$D81,EF!$D$84:$D$99,0))*INDEX(EF!$H$100:$H$115,MATCH(Emissions!$D81,EF!$D$100:$D$115,0))*INDEX(EF!$H$132:$H$147,MATCH(Emissions!$D81,EF!$D$132:$D$147,0))*kgtoGg</f>
        <v>2.434480550007732E-2</v>
      </c>
      <c r="AZ81" s="22">
        <f>INDEX('Activity data'!AZ$24:AZ$39,MATCH(Emissions!$D81,'Activity data'!$D$24:$D$39,0))*INDEX(EF!$H$84:$H$99,MATCH(Emissions!$D81,EF!$D$84:$D$99,0))*INDEX(EF!$H$100:$H$115,MATCH(Emissions!$D81,EF!$D$100:$D$115,0))*INDEX(EF!$H$132:$H$147,MATCH(Emissions!$D81,EF!$D$132:$D$147,0))*kgtoGg</f>
        <v>2.434480550007732E-2</v>
      </c>
      <c r="BA81" s="22">
        <f>INDEX('Activity data'!BA$24:BA$39,MATCH(Emissions!$D81,'Activity data'!$D$24:$D$39,0))*INDEX(EF!$H$84:$H$99,MATCH(Emissions!$D81,EF!$D$84:$D$99,0))*INDEX(EF!$H$100:$H$115,MATCH(Emissions!$D81,EF!$D$100:$D$115,0))*INDEX(EF!$H$132:$H$147,MATCH(Emissions!$D81,EF!$D$132:$D$147,0))*kgtoGg</f>
        <v>2.434480550007732E-2</v>
      </c>
      <c r="BB81" s="22">
        <f>INDEX('Activity data'!BB$24:BB$39,MATCH(Emissions!$D81,'Activity data'!$D$24:$D$39,0))*INDEX(EF!$H$84:$H$99,MATCH(Emissions!$D81,EF!$D$84:$D$99,0))*INDEX(EF!$H$100:$H$115,MATCH(Emissions!$D81,EF!$D$100:$D$115,0))*INDEX(EF!$H$132:$H$147,MATCH(Emissions!$D81,EF!$D$132:$D$147,0))*kgtoGg</f>
        <v>2.434480550007732E-2</v>
      </c>
      <c r="BC81" s="22">
        <f>INDEX('Activity data'!BC$24:BC$39,MATCH(Emissions!$D81,'Activity data'!$D$24:$D$39,0))*INDEX(EF!$H$84:$H$99,MATCH(Emissions!$D81,EF!$D$84:$D$99,0))*INDEX(EF!$H$100:$H$115,MATCH(Emissions!$D81,EF!$D$100:$D$115,0))*INDEX(EF!$H$132:$H$147,MATCH(Emissions!$D81,EF!$D$132:$D$147,0))*kgtoGg</f>
        <v>2.434480550007732E-2</v>
      </c>
      <c r="BD81" s="22">
        <f>INDEX('Activity data'!BD$24:BD$39,MATCH(Emissions!$D81,'Activity data'!$D$24:$D$39,0))*INDEX(EF!$H$84:$H$99,MATCH(Emissions!$D81,EF!$D$84:$D$99,0))*INDEX(EF!$H$100:$H$115,MATCH(Emissions!$D81,EF!$D$100:$D$115,0))*INDEX(EF!$H$132:$H$147,MATCH(Emissions!$D81,EF!$D$132:$D$147,0))*kgtoGg</f>
        <v>2.434480550007732E-2</v>
      </c>
      <c r="BE81" s="22">
        <f>INDEX('Activity data'!BE$24:BE$39,MATCH(Emissions!$D81,'Activity data'!$D$24:$D$39,0))*INDEX(EF!$H$84:$H$99,MATCH(Emissions!$D81,EF!$D$84:$D$99,0))*INDEX(EF!$H$100:$H$115,MATCH(Emissions!$D81,EF!$D$100:$D$115,0))*INDEX(EF!$H$132:$H$147,MATCH(Emissions!$D81,EF!$D$132:$D$147,0))*kgtoGg</f>
        <v>2.434480550007732E-2</v>
      </c>
      <c r="BF81" s="22">
        <f>INDEX('Activity data'!BF$24:BF$39,MATCH(Emissions!$D81,'Activity data'!$D$24:$D$39,0))*INDEX(EF!$H$84:$H$99,MATCH(Emissions!$D81,EF!$D$84:$D$99,0))*INDEX(EF!$H$100:$H$115,MATCH(Emissions!$D81,EF!$D$100:$D$115,0))*INDEX(EF!$H$132:$H$147,MATCH(Emissions!$D81,EF!$D$132:$D$147,0))*kgtoGg</f>
        <v>2.434480550007732E-2</v>
      </c>
      <c r="BG81" s="22">
        <f>INDEX('Activity data'!BG$24:BG$39,MATCH(Emissions!$D81,'Activity data'!$D$24:$D$39,0))*INDEX(EF!$H$84:$H$99,MATCH(Emissions!$D81,EF!$D$84:$D$99,0))*INDEX(EF!$H$100:$H$115,MATCH(Emissions!$D81,EF!$D$100:$D$115,0))*INDEX(EF!$H$132:$H$147,MATCH(Emissions!$D81,EF!$D$132:$D$147,0))*kgtoGg</f>
        <v>2.434480550007732E-2</v>
      </c>
      <c r="BH81" s="22">
        <f>INDEX('Activity data'!BH$24:BH$39,MATCH(Emissions!$D81,'Activity data'!$D$24:$D$39,0))*INDEX(EF!$H$84:$H$99,MATCH(Emissions!$D81,EF!$D$84:$D$99,0))*INDEX(EF!$H$100:$H$115,MATCH(Emissions!$D81,EF!$D$100:$D$115,0))*INDEX(EF!$H$132:$H$147,MATCH(Emissions!$D81,EF!$D$132:$D$147,0))*kgtoGg</f>
        <v>2.434480550007732E-2</v>
      </c>
      <c r="BI81" s="22">
        <f>INDEX('Activity data'!BI$24:BI$39,MATCH(Emissions!$D81,'Activity data'!$D$24:$D$39,0))*INDEX(EF!$H$84:$H$99,MATCH(Emissions!$D81,EF!$D$84:$D$99,0))*INDEX(EF!$H$100:$H$115,MATCH(Emissions!$D81,EF!$D$100:$D$115,0))*INDEX(EF!$H$132:$H$147,MATCH(Emissions!$D81,EF!$D$132:$D$147,0))*kgtoGg</f>
        <v>2.434480550007732E-2</v>
      </c>
      <c r="BJ81" s="22">
        <f>INDEX('Activity data'!BJ$24:BJ$39,MATCH(Emissions!$D81,'Activity data'!$D$24:$D$39,0))*INDEX(EF!$H$84:$H$99,MATCH(Emissions!$D81,EF!$D$84:$D$99,0))*INDEX(EF!$H$100:$H$115,MATCH(Emissions!$D81,EF!$D$100:$D$115,0))*INDEX(EF!$H$132:$H$147,MATCH(Emissions!$D81,EF!$D$132:$D$147,0))*kgtoGg</f>
        <v>2.434480550007732E-2</v>
      </c>
      <c r="BK81" s="22">
        <f>INDEX('Activity data'!BK$24:BK$39,MATCH(Emissions!$D81,'Activity data'!$D$24:$D$39,0))*INDEX(EF!$H$84:$H$99,MATCH(Emissions!$D81,EF!$D$84:$D$99,0))*INDEX(EF!$H$100:$H$115,MATCH(Emissions!$D81,EF!$D$100:$D$115,0))*INDEX(EF!$H$132:$H$147,MATCH(Emissions!$D81,EF!$D$132:$D$147,0))*kgtoGg</f>
        <v>2.434480550007732E-2</v>
      </c>
      <c r="BL81" s="22">
        <f>INDEX('Activity data'!BL$24:BL$39,MATCH(Emissions!$D81,'Activity data'!$D$24:$D$39,0))*INDEX(EF!$H$84:$H$99,MATCH(Emissions!$D81,EF!$D$84:$D$99,0))*INDEX(EF!$H$100:$H$115,MATCH(Emissions!$D81,EF!$D$100:$D$115,0))*INDEX(EF!$H$132:$H$147,MATCH(Emissions!$D81,EF!$D$132:$D$147,0))*kgtoGg</f>
        <v>2.434480550007732E-2</v>
      </c>
      <c r="BM81" s="22">
        <f>INDEX('Activity data'!BM$24:BM$39,MATCH(Emissions!$D81,'Activity data'!$D$24:$D$39,0))*INDEX(EF!$H$84:$H$99,MATCH(Emissions!$D81,EF!$D$84:$D$99,0))*INDEX(EF!$H$100:$H$115,MATCH(Emissions!$D81,EF!$D$100:$D$115,0))*INDEX(EF!$H$132:$H$147,MATCH(Emissions!$D81,EF!$D$132:$D$147,0))*kgtoGg</f>
        <v>2.434480550007732E-2</v>
      </c>
      <c r="BN81" s="22">
        <f>INDEX('Activity data'!BN$24:BN$39,MATCH(Emissions!$D81,'Activity data'!$D$24:$D$39,0))*INDEX(EF!$H$84:$H$99,MATCH(Emissions!$D81,EF!$D$84:$D$99,0))*INDEX(EF!$H$100:$H$115,MATCH(Emissions!$D81,EF!$D$100:$D$115,0))*INDEX(EF!$H$132:$H$147,MATCH(Emissions!$D81,EF!$D$132:$D$147,0))*kgtoGg</f>
        <v>2.434480550007732E-2</v>
      </c>
      <c r="BO81" s="22">
        <f>INDEX('Activity data'!BO$24:BO$39,MATCH(Emissions!$D81,'Activity data'!$D$24:$D$39,0))*INDEX(EF!$H$84:$H$99,MATCH(Emissions!$D81,EF!$D$84:$D$99,0))*INDEX(EF!$H$100:$H$115,MATCH(Emissions!$D81,EF!$D$100:$D$115,0))*INDEX(EF!$H$132:$H$147,MATCH(Emissions!$D81,EF!$D$132:$D$147,0))*kgtoGg</f>
        <v>2.434480550007732E-2</v>
      </c>
      <c r="BP81" s="22">
        <f>INDEX('Activity data'!BP$24:BP$39,MATCH(Emissions!$D81,'Activity data'!$D$24:$D$39,0))*INDEX(EF!$H$84:$H$99,MATCH(Emissions!$D81,EF!$D$84:$D$99,0))*INDEX(EF!$H$100:$H$115,MATCH(Emissions!$D81,EF!$D$100:$D$115,0))*INDEX(EF!$H$132:$H$147,MATCH(Emissions!$D81,EF!$D$132:$D$147,0))*kgtoGg</f>
        <v>2.434480550007732E-2</v>
      </c>
    </row>
    <row r="82" spans="1:68" x14ac:dyDescent="0.25">
      <c r="A82" t="str">
        <f t="shared" si="19"/>
        <v>3C Aggregated and non-CO2 emissions on land</v>
      </c>
      <c r="B82" t="str">
        <f t="shared" si="26"/>
        <v>3C1 Biomass burning (N2O)</v>
      </c>
      <c r="C82" t="str">
        <f t="shared" si="25"/>
        <v>3C1d Biomass burning in Wetlands</v>
      </c>
      <c r="D82" t="str">
        <f>EF!D112</f>
        <v>Wetlands</v>
      </c>
      <c r="E82" t="s">
        <v>652</v>
      </c>
      <c r="F82" t="str">
        <f t="shared" si="27"/>
        <v>N2O</v>
      </c>
      <c r="G82" t="str">
        <f t="shared" si="28"/>
        <v>Gg N2O</v>
      </c>
      <c r="H82" s="22">
        <f>INDEX('Activity data'!H$24:H$39,MATCH(Emissions!$D82,'Activity data'!$D$24:$D$39,0))*INDEX(EF!$H$84:$H$99,MATCH(Emissions!$D82,EF!$D$84:$D$99,0))*INDEX(EF!$H$100:$H$115,MATCH(Emissions!$D82,EF!$D$100:$D$115,0))*INDEX(EF!$H$132:$H$147,MATCH(Emissions!$D82,EF!$D$132:$D$147,0))*kgtoGg</f>
        <v>7.357077670844267E-2</v>
      </c>
      <c r="I82" s="22">
        <f>INDEX('Activity data'!I$24:I$39,MATCH(Emissions!$D82,'Activity data'!$D$24:$D$39,0))*INDEX(EF!$H$84:$H$99,MATCH(Emissions!$D82,EF!$D$84:$D$99,0))*INDEX(EF!$H$100:$H$115,MATCH(Emissions!$D82,EF!$D$100:$D$115,0))*INDEX(EF!$H$132:$H$147,MATCH(Emissions!$D82,EF!$D$132:$D$147,0))*kgtoGg</f>
        <v>7.357077670844267E-2</v>
      </c>
      <c r="J82" s="22">
        <f>INDEX('Activity data'!J$24:J$39,MATCH(Emissions!$D82,'Activity data'!$D$24:$D$39,0))*INDEX(EF!$H$84:$H$99,MATCH(Emissions!$D82,EF!$D$84:$D$99,0))*INDEX(EF!$H$100:$H$115,MATCH(Emissions!$D82,EF!$D$100:$D$115,0))*INDEX(EF!$H$132:$H$147,MATCH(Emissions!$D82,EF!$D$132:$D$147,0))*kgtoGg</f>
        <v>7.357077670844267E-2</v>
      </c>
      <c r="K82" s="22">
        <f>INDEX('Activity data'!K$24:K$39,MATCH(Emissions!$D82,'Activity data'!$D$24:$D$39,0))*INDEX(EF!$H$84:$H$99,MATCH(Emissions!$D82,EF!$D$84:$D$99,0))*INDEX(EF!$H$100:$H$115,MATCH(Emissions!$D82,EF!$D$100:$D$115,0))*INDEX(EF!$H$132:$H$147,MATCH(Emissions!$D82,EF!$D$132:$D$147,0))*kgtoGg</f>
        <v>7.357077670844267E-2</v>
      </c>
      <c r="L82" s="22">
        <f>INDEX('Activity data'!L$24:L$39,MATCH(Emissions!$D82,'Activity data'!$D$24:$D$39,0))*INDEX(EF!$H$84:$H$99,MATCH(Emissions!$D82,EF!$D$84:$D$99,0))*INDEX(EF!$H$100:$H$115,MATCH(Emissions!$D82,EF!$D$100:$D$115,0))*INDEX(EF!$H$132:$H$147,MATCH(Emissions!$D82,EF!$D$132:$D$147,0))*kgtoGg</f>
        <v>7.357077670844267E-2</v>
      </c>
      <c r="M82" s="22">
        <f>INDEX('Activity data'!M$24:M$39,MATCH(Emissions!$D82,'Activity data'!$D$24:$D$39,0))*INDEX(EF!$H$84:$H$99,MATCH(Emissions!$D82,EF!$D$84:$D$99,0))*INDEX(EF!$H$100:$H$115,MATCH(Emissions!$D82,EF!$D$100:$D$115,0))*INDEX(EF!$H$132:$H$147,MATCH(Emissions!$D82,EF!$D$132:$D$147,0))*kgtoGg</f>
        <v>7.357077670844267E-2</v>
      </c>
      <c r="N82" s="22">
        <f>INDEX('Activity data'!N$24:N$39,MATCH(Emissions!$D82,'Activity data'!$D$24:$D$39,0))*INDEX(EF!$H$84:$H$99,MATCH(Emissions!$D82,EF!$D$84:$D$99,0))*INDEX(EF!$H$100:$H$115,MATCH(Emissions!$D82,EF!$D$100:$D$115,0))*INDEX(EF!$H$132:$H$147,MATCH(Emissions!$D82,EF!$D$132:$D$147,0))*kgtoGg</f>
        <v>7.357077670844267E-2</v>
      </c>
      <c r="O82" s="22">
        <f>INDEX('Activity data'!O$24:O$39,MATCH(Emissions!$D82,'Activity data'!$D$24:$D$39,0))*INDEX(EF!$H$84:$H$99,MATCH(Emissions!$D82,EF!$D$84:$D$99,0))*INDEX(EF!$H$100:$H$115,MATCH(Emissions!$D82,EF!$D$100:$D$115,0))*INDEX(EF!$H$132:$H$147,MATCH(Emissions!$D82,EF!$D$132:$D$147,0))*kgtoGg</f>
        <v>7.357077670844267E-2</v>
      </c>
      <c r="P82" s="22">
        <f>INDEX('Activity data'!P$24:P$39,MATCH(Emissions!$D82,'Activity data'!$D$24:$D$39,0))*INDEX(EF!$H$84:$H$99,MATCH(Emissions!$D82,EF!$D$84:$D$99,0))*INDEX(EF!$H$100:$H$115,MATCH(Emissions!$D82,EF!$D$100:$D$115,0))*INDEX(EF!$H$132:$H$147,MATCH(Emissions!$D82,EF!$D$132:$D$147,0))*kgtoGg</f>
        <v>7.357077670844267E-2</v>
      </c>
      <c r="Q82" s="22">
        <f>INDEX('Activity data'!Q$24:Q$39,MATCH(Emissions!$D82,'Activity data'!$D$24:$D$39,0))*INDEX(EF!$H$84:$H$99,MATCH(Emissions!$D82,EF!$D$84:$D$99,0))*INDEX(EF!$H$100:$H$115,MATCH(Emissions!$D82,EF!$D$100:$D$115,0))*INDEX(EF!$H$132:$H$147,MATCH(Emissions!$D82,EF!$D$132:$D$147,0))*kgtoGg</f>
        <v>7.357077670844267E-2</v>
      </c>
      <c r="R82" s="22">
        <f>INDEX('Activity data'!R$24:R$39,MATCH(Emissions!$D82,'Activity data'!$D$24:$D$39,0))*INDEX(EF!$H$84:$H$99,MATCH(Emissions!$D82,EF!$D$84:$D$99,0))*INDEX(EF!$H$100:$H$115,MATCH(Emissions!$D82,EF!$D$100:$D$115,0))*INDEX(EF!$H$132:$H$147,MATCH(Emissions!$D82,EF!$D$132:$D$147,0))*kgtoGg</f>
        <v>6.5083674793923713E-2</v>
      </c>
      <c r="S82" s="22">
        <f>INDEX('Activity data'!S$24:S$39,MATCH(Emissions!$D82,'Activity data'!$D$24:$D$39,0))*INDEX(EF!$H$84:$H$99,MATCH(Emissions!$D82,EF!$D$84:$D$99,0))*INDEX(EF!$H$100:$H$115,MATCH(Emissions!$D82,EF!$D$100:$D$115,0))*INDEX(EF!$H$132:$H$147,MATCH(Emissions!$D82,EF!$D$132:$D$147,0))*kgtoGg</f>
        <v>7.8612973491927987E-2</v>
      </c>
      <c r="T82" s="22">
        <f>INDEX('Activity data'!T$24:T$39,MATCH(Emissions!$D82,'Activity data'!$D$24:$D$39,0))*INDEX(EF!$H$84:$H$99,MATCH(Emissions!$D82,EF!$D$84:$D$99,0))*INDEX(EF!$H$100:$H$115,MATCH(Emissions!$D82,EF!$D$100:$D$115,0))*INDEX(EF!$H$132:$H$147,MATCH(Emissions!$D82,EF!$D$132:$D$147,0))*kgtoGg</f>
        <v>8.8983449145904836E-2</v>
      </c>
      <c r="U82" s="22">
        <f>INDEX('Activity data'!U$24:U$39,MATCH(Emissions!$D82,'Activity data'!$D$24:$D$39,0))*INDEX(EF!$H$84:$H$99,MATCH(Emissions!$D82,EF!$D$84:$D$99,0))*INDEX(EF!$H$100:$H$115,MATCH(Emissions!$D82,EF!$D$100:$D$115,0))*INDEX(EF!$H$132:$H$147,MATCH(Emissions!$D82,EF!$D$132:$D$147,0))*kgtoGg</f>
        <v>7.2791997693814531E-2</v>
      </c>
      <c r="V82" s="22">
        <f>INDEX('Activity data'!V$24:V$39,MATCH(Emissions!$D82,'Activity data'!$D$24:$D$39,0))*INDEX(EF!$H$84:$H$99,MATCH(Emissions!$D82,EF!$D$84:$D$99,0))*INDEX(EF!$H$100:$H$115,MATCH(Emissions!$D82,EF!$D$100:$D$115,0))*INDEX(EF!$H$132:$H$147,MATCH(Emissions!$D82,EF!$D$132:$D$147,0))*kgtoGg</f>
        <v>6.2381788416642367E-2</v>
      </c>
      <c r="W82" s="22">
        <f>INDEX('Activity data'!W$24:W$39,MATCH(Emissions!$D82,'Activity data'!$D$24:$D$39,0))*INDEX(EF!$H$84:$H$99,MATCH(Emissions!$D82,EF!$D$84:$D$99,0))*INDEX(EF!$H$100:$H$115,MATCH(Emissions!$D82,EF!$D$100:$D$115,0))*INDEX(EF!$H$132:$H$147,MATCH(Emissions!$D82,EF!$D$132:$D$147,0))*kgtoGg</f>
        <v>9.2301206682713535E-2</v>
      </c>
      <c r="X82" s="22">
        <f>INDEX('Activity data'!X$24:X$39,MATCH(Emissions!$D82,'Activity data'!$D$24:$D$39,0))*INDEX(EF!$H$84:$H$99,MATCH(Emissions!$D82,EF!$D$84:$D$99,0))*INDEX(EF!$H$100:$H$115,MATCH(Emissions!$D82,EF!$D$100:$D$115,0))*INDEX(EF!$H$132:$H$147,MATCH(Emissions!$D82,EF!$D$132:$D$147,0))*kgtoGg</f>
        <v>8.1930731028736672E-2</v>
      </c>
      <c r="Y82" s="22">
        <f>INDEX('Activity data'!Y$24:Y$39,MATCH(Emissions!$D82,'Activity data'!$D$24:$D$39,0))*INDEX(EF!$H$84:$H$99,MATCH(Emissions!$D82,EF!$D$84:$D$99,0))*INDEX(EF!$H$100:$H$115,MATCH(Emissions!$D82,EF!$D$100:$D$115,0))*INDEX(EF!$H$132:$H$147,MATCH(Emissions!$D82,EF!$D$132:$D$147,0))*kgtoGg</f>
        <v>7.2176126534287191E-2</v>
      </c>
      <c r="Z82" s="22">
        <f>INDEX('Activity data'!Z$24:Z$39,MATCH(Emissions!$D82,'Activity data'!$D$24:$D$39,0))*INDEX(EF!$H$84:$H$99,MATCH(Emissions!$D82,EF!$D$84:$D$99,0))*INDEX(EF!$H$100:$H$115,MATCH(Emissions!$D82,EF!$D$100:$D$115,0))*INDEX(EF!$H$132:$H$147,MATCH(Emissions!$D82,EF!$D$132:$D$147,0))*kgtoGg</f>
        <v>6.5818746823036997E-2</v>
      </c>
      <c r="AA82" s="22">
        <f>INDEX('Activity data'!AA$24:AA$39,MATCH(Emissions!$D82,'Activity data'!$D$24:$D$39,0))*INDEX(EF!$H$84:$H$99,MATCH(Emissions!$D82,EF!$D$84:$D$99,0))*INDEX(EF!$H$100:$H$115,MATCH(Emissions!$D82,EF!$D$100:$D$115,0))*INDEX(EF!$H$132:$H$147,MATCH(Emissions!$D82,EF!$D$132:$D$147,0))*kgtoGg</f>
        <v>7.3924405954880992E-2</v>
      </c>
      <c r="AB82" s="22">
        <f>INDEX('Activity data'!AB$24:AB$39,MATCH(Emissions!$D82,'Activity data'!$D$24:$D$39,0))*INDEX(EF!$H$84:$H$99,MATCH(Emissions!$D82,EF!$D$84:$D$99,0))*INDEX(EF!$H$100:$H$115,MATCH(Emissions!$D82,EF!$D$100:$D$115,0))*INDEX(EF!$H$132:$H$147,MATCH(Emissions!$D82,EF!$D$132:$D$147,0))*kgtoGg</f>
        <v>9.8940084389999974E-2</v>
      </c>
      <c r="AC82" s="22">
        <f>INDEX('Activity data'!AC$24:AC$39,MATCH(Emissions!$D82,'Activity data'!$D$24:$D$39,0))*INDEX(EF!$H$84:$H$99,MATCH(Emissions!$D82,EF!$D$84:$D$99,0))*INDEX(EF!$H$100:$H$115,MATCH(Emissions!$D82,EF!$D$100:$D$115,0))*INDEX(EF!$H$132:$H$147,MATCH(Emissions!$D82,EF!$D$132:$D$147,0))*kgtoGg</f>
        <v>0.10685917493999998</v>
      </c>
      <c r="AD82" s="22">
        <f>INDEX('Activity data'!AD$24:AD$39,MATCH(Emissions!$D82,'Activity data'!$D$24:$D$39,0))*INDEX(EF!$H$84:$H$99,MATCH(Emissions!$D82,EF!$D$84:$D$99,0))*INDEX(EF!$H$100:$H$115,MATCH(Emissions!$D82,EF!$D$100:$D$115,0))*INDEX(EF!$H$132:$H$147,MATCH(Emissions!$D82,EF!$D$132:$D$147,0))*kgtoGg</f>
        <v>7.8813449993659371E-2</v>
      </c>
      <c r="AE82" s="22">
        <f>INDEX('Activity data'!AE$24:AE$39,MATCH(Emissions!$D82,'Activity data'!$D$24:$D$39,0))*INDEX(EF!$H$84:$H$99,MATCH(Emissions!$D82,EF!$D$84:$D$99,0))*INDEX(EF!$H$100:$H$115,MATCH(Emissions!$D82,EF!$D$100:$D$115,0))*INDEX(EF!$H$132:$H$147,MATCH(Emissions!$D82,EF!$D$132:$D$147,0))*kgtoGg</f>
        <v>7.8813449993659371E-2</v>
      </c>
      <c r="AF82" s="22">
        <f>INDEX('Activity data'!AF$24:AF$39,MATCH(Emissions!$D82,'Activity data'!$D$24:$D$39,0))*INDEX(EF!$H$84:$H$99,MATCH(Emissions!$D82,EF!$D$84:$D$99,0))*INDEX(EF!$H$100:$H$115,MATCH(Emissions!$D82,EF!$D$100:$D$115,0))*INDEX(EF!$H$132:$H$147,MATCH(Emissions!$D82,EF!$D$132:$D$147,0))*kgtoGg</f>
        <v>7.8813449993659371E-2</v>
      </c>
      <c r="AG82" s="22">
        <f>INDEX('Activity data'!AG$24:AG$39,MATCH(Emissions!$D82,'Activity data'!$D$24:$D$39,0))*INDEX(EF!$H$84:$H$99,MATCH(Emissions!$D82,EF!$D$84:$D$99,0))*INDEX(EF!$H$100:$H$115,MATCH(Emissions!$D82,EF!$D$100:$D$115,0))*INDEX(EF!$H$132:$H$147,MATCH(Emissions!$D82,EF!$D$132:$D$147,0))*kgtoGg</f>
        <v>7.8813449993659371E-2</v>
      </c>
      <c r="AH82" s="22">
        <f>INDEX('Activity data'!AH$24:AH$39,MATCH(Emissions!$D82,'Activity data'!$D$24:$D$39,0))*INDEX(EF!$H$84:$H$99,MATCH(Emissions!$D82,EF!$D$84:$D$99,0))*INDEX(EF!$H$100:$H$115,MATCH(Emissions!$D82,EF!$D$100:$D$115,0))*INDEX(EF!$H$132:$H$147,MATCH(Emissions!$D82,EF!$D$132:$D$147,0))*kgtoGg</f>
        <v>7.8813449993659371E-2</v>
      </c>
      <c r="AI82" s="22">
        <f>INDEX('Activity data'!AI$24:AI$39,MATCH(Emissions!$D82,'Activity data'!$D$24:$D$39,0))*INDEX(EF!$H$84:$H$99,MATCH(Emissions!$D82,EF!$D$84:$D$99,0))*INDEX(EF!$H$100:$H$115,MATCH(Emissions!$D82,EF!$D$100:$D$115,0))*INDEX(EF!$H$132:$H$147,MATCH(Emissions!$D82,EF!$D$132:$D$147,0))*kgtoGg</f>
        <v>7.8813449993659371E-2</v>
      </c>
      <c r="AJ82" s="22">
        <f>INDEX('Activity data'!AJ$24:AJ$39,MATCH(Emissions!$D82,'Activity data'!$D$24:$D$39,0))*INDEX(EF!$H$84:$H$99,MATCH(Emissions!$D82,EF!$D$84:$D$99,0))*INDEX(EF!$H$100:$H$115,MATCH(Emissions!$D82,EF!$D$100:$D$115,0))*INDEX(EF!$H$132:$H$147,MATCH(Emissions!$D82,EF!$D$132:$D$147,0))*kgtoGg</f>
        <v>7.8813449993659371E-2</v>
      </c>
      <c r="AK82" s="22">
        <f>INDEX('Activity data'!AK$24:AK$39,MATCH(Emissions!$D82,'Activity data'!$D$24:$D$39,0))*INDEX(EF!$H$84:$H$99,MATCH(Emissions!$D82,EF!$D$84:$D$99,0))*INDEX(EF!$H$100:$H$115,MATCH(Emissions!$D82,EF!$D$100:$D$115,0))*INDEX(EF!$H$132:$H$147,MATCH(Emissions!$D82,EF!$D$132:$D$147,0))*kgtoGg</f>
        <v>7.8813449993659371E-2</v>
      </c>
      <c r="AL82" s="22">
        <f>INDEX('Activity data'!AL$24:AL$39,MATCH(Emissions!$D82,'Activity data'!$D$24:$D$39,0))*INDEX(EF!$H$84:$H$99,MATCH(Emissions!$D82,EF!$D$84:$D$99,0))*INDEX(EF!$H$100:$H$115,MATCH(Emissions!$D82,EF!$D$100:$D$115,0))*INDEX(EF!$H$132:$H$147,MATCH(Emissions!$D82,EF!$D$132:$D$147,0))*kgtoGg</f>
        <v>7.8813449993659371E-2</v>
      </c>
      <c r="AM82" s="22">
        <f>INDEX('Activity data'!AM$24:AM$39,MATCH(Emissions!$D82,'Activity data'!$D$24:$D$39,0))*INDEX(EF!$H$84:$H$99,MATCH(Emissions!$D82,EF!$D$84:$D$99,0))*INDEX(EF!$H$100:$H$115,MATCH(Emissions!$D82,EF!$D$100:$D$115,0))*INDEX(EF!$H$132:$H$147,MATCH(Emissions!$D82,EF!$D$132:$D$147,0))*kgtoGg</f>
        <v>7.8813449993659371E-2</v>
      </c>
      <c r="AN82" s="22">
        <f>INDEX('Activity data'!AN$24:AN$39,MATCH(Emissions!$D82,'Activity data'!$D$24:$D$39,0))*INDEX(EF!$H$84:$H$99,MATCH(Emissions!$D82,EF!$D$84:$D$99,0))*INDEX(EF!$H$100:$H$115,MATCH(Emissions!$D82,EF!$D$100:$D$115,0))*INDEX(EF!$H$132:$H$147,MATCH(Emissions!$D82,EF!$D$132:$D$147,0))*kgtoGg</f>
        <v>7.8813449993659371E-2</v>
      </c>
      <c r="AO82" s="22">
        <f>INDEX('Activity data'!AO$24:AO$39,MATCH(Emissions!$D82,'Activity data'!$D$24:$D$39,0))*INDEX(EF!$H$84:$H$99,MATCH(Emissions!$D82,EF!$D$84:$D$99,0))*INDEX(EF!$H$100:$H$115,MATCH(Emissions!$D82,EF!$D$100:$D$115,0))*INDEX(EF!$H$132:$H$147,MATCH(Emissions!$D82,EF!$D$132:$D$147,0))*kgtoGg</f>
        <v>7.8813449993659371E-2</v>
      </c>
      <c r="AP82" s="22">
        <f>INDEX('Activity data'!AP$24:AP$39,MATCH(Emissions!$D82,'Activity data'!$D$24:$D$39,0))*INDEX(EF!$H$84:$H$99,MATCH(Emissions!$D82,EF!$D$84:$D$99,0))*INDEX(EF!$H$100:$H$115,MATCH(Emissions!$D82,EF!$D$100:$D$115,0))*INDEX(EF!$H$132:$H$147,MATCH(Emissions!$D82,EF!$D$132:$D$147,0))*kgtoGg</f>
        <v>7.8813449993659371E-2</v>
      </c>
      <c r="AQ82" s="22">
        <f>INDEX('Activity data'!AQ$24:AQ$39,MATCH(Emissions!$D82,'Activity data'!$D$24:$D$39,0))*INDEX(EF!$H$84:$H$99,MATCH(Emissions!$D82,EF!$D$84:$D$99,0))*INDEX(EF!$H$100:$H$115,MATCH(Emissions!$D82,EF!$D$100:$D$115,0))*INDEX(EF!$H$132:$H$147,MATCH(Emissions!$D82,EF!$D$132:$D$147,0))*kgtoGg</f>
        <v>7.8813449993659371E-2</v>
      </c>
      <c r="AR82" s="22">
        <f>INDEX('Activity data'!AR$24:AR$39,MATCH(Emissions!$D82,'Activity data'!$D$24:$D$39,0))*INDEX(EF!$H$84:$H$99,MATCH(Emissions!$D82,EF!$D$84:$D$99,0))*INDEX(EF!$H$100:$H$115,MATCH(Emissions!$D82,EF!$D$100:$D$115,0))*INDEX(EF!$H$132:$H$147,MATCH(Emissions!$D82,EF!$D$132:$D$147,0))*kgtoGg</f>
        <v>7.8813449993659371E-2</v>
      </c>
      <c r="AS82" s="22">
        <f>INDEX('Activity data'!AS$24:AS$39,MATCH(Emissions!$D82,'Activity data'!$D$24:$D$39,0))*INDEX(EF!$H$84:$H$99,MATCH(Emissions!$D82,EF!$D$84:$D$99,0))*INDEX(EF!$H$100:$H$115,MATCH(Emissions!$D82,EF!$D$100:$D$115,0))*INDEX(EF!$H$132:$H$147,MATCH(Emissions!$D82,EF!$D$132:$D$147,0))*kgtoGg</f>
        <v>7.8813449993659371E-2</v>
      </c>
      <c r="AT82" s="22">
        <f>INDEX('Activity data'!AT$24:AT$39,MATCH(Emissions!$D82,'Activity data'!$D$24:$D$39,0))*INDEX(EF!$H$84:$H$99,MATCH(Emissions!$D82,EF!$D$84:$D$99,0))*INDEX(EF!$H$100:$H$115,MATCH(Emissions!$D82,EF!$D$100:$D$115,0))*INDEX(EF!$H$132:$H$147,MATCH(Emissions!$D82,EF!$D$132:$D$147,0))*kgtoGg</f>
        <v>7.8813449993659371E-2</v>
      </c>
      <c r="AU82" s="22">
        <f>INDEX('Activity data'!AU$24:AU$39,MATCH(Emissions!$D82,'Activity data'!$D$24:$D$39,0))*INDEX(EF!$H$84:$H$99,MATCH(Emissions!$D82,EF!$D$84:$D$99,0))*INDEX(EF!$H$100:$H$115,MATCH(Emissions!$D82,EF!$D$100:$D$115,0))*INDEX(EF!$H$132:$H$147,MATCH(Emissions!$D82,EF!$D$132:$D$147,0))*kgtoGg</f>
        <v>7.8813449993659371E-2</v>
      </c>
      <c r="AV82" s="22">
        <f>INDEX('Activity data'!AV$24:AV$39,MATCH(Emissions!$D82,'Activity data'!$D$24:$D$39,0))*INDEX(EF!$H$84:$H$99,MATCH(Emissions!$D82,EF!$D$84:$D$99,0))*INDEX(EF!$H$100:$H$115,MATCH(Emissions!$D82,EF!$D$100:$D$115,0))*INDEX(EF!$H$132:$H$147,MATCH(Emissions!$D82,EF!$D$132:$D$147,0))*kgtoGg</f>
        <v>7.8813449993659371E-2</v>
      </c>
      <c r="AW82" s="22">
        <f>INDEX('Activity data'!AW$24:AW$39,MATCH(Emissions!$D82,'Activity data'!$D$24:$D$39,0))*INDEX(EF!$H$84:$H$99,MATCH(Emissions!$D82,EF!$D$84:$D$99,0))*INDEX(EF!$H$100:$H$115,MATCH(Emissions!$D82,EF!$D$100:$D$115,0))*INDEX(EF!$H$132:$H$147,MATCH(Emissions!$D82,EF!$D$132:$D$147,0))*kgtoGg</f>
        <v>7.8813449993659371E-2</v>
      </c>
      <c r="AX82" s="22">
        <f>INDEX('Activity data'!AX$24:AX$39,MATCH(Emissions!$D82,'Activity data'!$D$24:$D$39,0))*INDEX(EF!$H$84:$H$99,MATCH(Emissions!$D82,EF!$D$84:$D$99,0))*INDEX(EF!$H$100:$H$115,MATCH(Emissions!$D82,EF!$D$100:$D$115,0))*INDEX(EF!$H$132:$H$147,MATCH(Emissions!$D82,EF!$D$132:$D$147,0))*kgtoGg</f>
        <v>7.8813449993659371E-2</v>
      </c>
      <c r="AY82" s="22">
        <f>INDEX('Activity data'!AY$24:AY$39,MATCH(Emissions!$D82,'Activity data'!$D$24:$D$39,0))*INDEX(EF!$H$84:$H$99,MATCH(Emissions!$D82,EF!$D$84:$D$99,0))*INDEX(EF!$H$100:$H$115,MATCH(Emissions!$D82,EF!$D$100:$D$115,0))*INDEX(EF!$H$132:$H$147,MATCH(Emissions!$D82,EF!$D$132:$D$147,0))*kgtoGg</f>
        <v>7.8813449993659371E-2</v>
      </c>
      <c r="AZ82" s="22">
        <f>INDEX('Activity data'!AZ$24:AZ$39,MATCH(Emissions!$D82,'Activity data'!$D$24:$D$39,0))*INDEX(EF!$H$84:$H$99,MATCH(Emissions!$D82,EF!$D$84:$D$99,0))*INDEX(EF!$H$100:$H$115,MATCH(Emissions!$D82,EF!$D$100:$D$115,0))*INDEX(EF!$H$132:$H$147,MATCH(Emissions!$D82,EF!$D$132:$D$147,0))*kgtoGg</f>
        <v>7.8813449993659371E-2</v>
      </c>
      <c r="BA82" s="22">
        <f>INDEX('Activity data'!BA$24:BA$39,MATCH(Emissions!$D82,'Activity data'!$D$24:$D$39,0))*INDEX(EF!$H$84:$H$99,MATCH(Emissions!$D82,EF!$D$84:$D$99,0))*INDEX(EF!$H$100:$H$115,MATCH(Emissions!$D82,EF!$D$100:$D$115,0))*INDEX(EF!$H$132:$H$147,MATCH(Emissions!$D82,EF!$D$132:$D$147,0))*kgtoGg</f>
        <v>7.8813449993659371E-2</v>
      </c>
      <c r="BB82" s="22">
        <f>INDEX('Activity data'!BB$24:BB$39,MATCH(Emissions!$D82,'Activity data'!$D$24:$D$39,0))*INDEX(EF!$H$84:$H$99,MATCH(Emissions!$D82,EF!$D$84:$D$99,0))*INDEX(EF!$H$100:$H$115,MATCH(Emissions!$D82,EF!$D$100:$D$115,0))*INDEX(EF!$H$132:$H$147,MATCH(Emissions!$D82,EF!$D$132:$D$147,0))*kgtoGg</f>
        <v>7.8813449993659371E-2</v>
      </c>
      <c r="BC82" s="22">
        <f>INDEX('Activity data'!BC$24:BC$39,MATCH(Emissions!$D82,'Activity data'!$D$24:$D$39,0))*INDEX(EF!$H$84:$H$99,MATCH(Emissions!$D82,EF!$D$84:$D$99,0))*INDEX(EF!$H$100:$H$115,MATCH(Emissions!$D82,EF!$D$100:$D$115,0))*INDEX(EF!$H$132:$H$147,MATCH(Emissions!$D82,EF!$D$132:$D$147,0))*kgtoGg</f>
        <v>7.8813449993659371E-2</v>
      </c>
      <c r="BD82" s="22">
        <f>INDEX('Activity data'!BD$24:BD$39,MATCH(Emissions!$D82,'Activity data'!$D$24:$D$39,0))*INDEX(EF!$H$84:$H$99,MATCH(Emissions!$D82,EF!$D$84:$D$99,0))*INDEX(EF!$H$100:$H$115,MATCH(Emissions!$D82,EF!$D$100:$D$115,0))*INDEX(EF!$H$132:$H$147,MATCH(Emissions!$D82,EF!$D$132:$D$147,0))*kgtoGg</f>
        <v>7.8813449993659371E-2</v>
      </c>
      <c r="BE82" s="22">
        <f>INDEX('Activity data'!BE$24:BE$39,MATCH(Emissions!$D82,'Activity data'!$D$24:$D$39,0))*INDEX(EF!$H$84:$H$99,MATCH(Emissions!$D82,EF!$D$84:$D$99,0))*INDEX(EF!$H$100:$H$115,MATCH(Emissions!$D82,EF!$D$100:$D$115,0))*INDEX(EF!$H$132:$H$147,MATCH(Emissions!$D82,EF!$D$132:$D$147,0))*kgtoGg</f>
        <v>7.8813449993659371E-2</v>
      </c>
      <c r="BF82" s="22">
        <f>INDEX('Activity data'!BF$24:BF$39,MATCH(Emissions!$D82,'Activity data'!$D$24:$D$39,0))*INDEX(EF!$H$84:$H$99,MATCH(Emissions!$D82,EF!$D$84:$D$99,0))*INDEX(EF!$H$100:$H$115,MATCH(Emissions!$D82,EF!$D$100:$D$115,0))*INDEX(EF!$H$132:$H$147,MATCH(Emissions!$D82,EF!$D$132:$D$147,0))*kgtoGg</f>
        <v>7.8813449993659371E-2</v>
      </c>
      <c r="BG82" s="22">
        <f>INDEX('Activity data'!BG$24:BG$39,MATCH(Emissions!$D82,'Activity data'!$D$24:$D$39,0))*INDEX(EF!$H$84:$H$99,MATCH(Emissions!$D82,EF!$D$84:$D$99,0))*INDEX(EF!$H$100:$H$115,MATCH(Emissions!$D82,EF!$D$100:$D$115,0))*INDEX(EF!$H$132:$H$147,MATCH(Emissions!$D82,EF!$D$132:$D$147,0))*kgtoGg</f>
        <v>7.8813449993659371E-2</v>
      </c>
      <c r="BH82" s="22">
        <f>INDEX('Activity data'!BH$24:BH$39,MATCH(Emissions!$D82,'Activity data'!$D$24:$D$39,0))*INDEX(EF!$H$84:$H$99,MATCH(Emissions!$D82,EF!$D$84:$D$99,0))*INDEX(EF!$H$100:$H$115,MATCH(Emissions!$D82,EF!$D$100:$D$115,0))*INDEX(EF!$H$132:$H$147,MATCH(Emissions!$D82,EF!$D$132:$D$147,0))*kgtoGg</f>
        <v>7.8813449993659371E-2</v>
      </c>
      <c r="BI82" s="22">
        <f>INDEX('Activity data'!BI$24:BI$39,MATCH(Emissions!$D82,'Activity data'!$D$24:$D$39,0))*INDEX(EF!$H$84:$H$99,MATCH(Emissions!$D82,EF!$D$84:$D$99,0))*INDEX(EF!$H$100:$H$115,MATCH(Emissions!$D82,EF!$D$100:$D$115,0))*INDEX(EF!$H$132:$H$147,MATCH(Emissions!$D82,EF!$D$132:$D$147,0))*kgtoGg</f>
        <v>7.8813449993659371E-2</v>
      </c>
      <c r="BJ82" s="22">
        <f>INDEX('Activity data'!BJ$24:BJ$39,MATCH(Emissions!$D82,'Activity data'!$D$24:$D$39,0))*INDEX(EF!$H$84:$H$99,MATCH(Emissions!$D82,EF!$D$84:$D$99,0))*INDEX(EF!$H$100:$H$115,MATCH(Emissions!$D82,EF!$D$100:$D$115,0))*INDEX(EF!$H$132:$H$147,MATCH(Emissions!$D82,EF!$D$132:$D$147,0))*kgtoGg</f>
        <v>7.8813449993659371E-2</v>
      </c>
      <c r="BK82" s="22">
        <f>INDEX('Activity data'!BK$24:BK$39,MATCH(Emissions!$D82,'Activity data'!$D$24:$D$39,0))*INDEX(EF!$H$84:$H$99,MATCH(Emissions!$D82,EF!$D$84:$D$99,0))*INDEX(EF!$H$100:$H$115,MATCH(Emissions!$D82,EF!$D$100:$D$115,0))*INDEX(EF!$H$132:$H$147,MATCH(Emissions!$D82,EF!$D$132:$D$147,0))*kgtoGg</f>
        <v>7.8813449993659371E-2</v>
      </c>
      <c r="BL82" s="22">
        <f>INDEX('Activity data'!BL$24:BL$39,MATCH(Emissions!$D82,'Activity data'!$D$24:$D$39,0))*INDEX(EF!$H$84:$H$99,MATCH(Emissions!$D82,EF!$D$84:$D$99,0))*INDEX(EF!$H$100:$H$115,MATCH(Emissions!$D82,EF!$D$100:$D$115,0))*INDEX(EF!$H$132:$H$147,MATCH(Emissions!$D82,EF!$D$132:$D$147,0))*kgtoGg</f>
        <v>7.8813449993659371E-2</v>
      </c>
      <c r="BM82" s="22">
        <f>INDEX('Activity data'!BM$24:BM$39,MATCH(Emissions!$D82,'Activity data'!$D$24:$D$39,0))*INDEX(EF!$H$84:$H$99,MATCH(Emissions!$D82,EF!$D$84:$D$99,0))*INDEX(EF!$H$100:$H$115,MATCH(Emissions!$D82,EF!$D$100:$D$115,0))*INDEX(EF!$H$132:$H$147,MATCH(Emissions!$D82,EF!$D$132:$D$147,0))*kgtoGg</f>
        <v>7.8813449993659371E-2</v>
      </c>
      <c r="BN82" s="22">
        <f>INDEX('Activity data'!BN$24:BN$39,MATCH(Emissions!$D82,'Activity data'!$D$24:$D$39,0))*INDEX(EF!$H$84:$H$99,MATCH(Emissions!$D82,EF!$D$84:$D$99,0))*INDEX(EF!$H$100:$H$115,MATCH(Emissions!$D82,EF!$D$100:$D$115,0))*INDEX(EF!$H$132:$H$147,MATCH(Emissions!$D82,EF!$D$132:$D$147,0))*kgtoGg</f>
        <v>7.8813449993659371E-2</v>
      </c>
      <c r="BO82" s="22">
        <f>INDEX('Activity data'!BO$24:BO$39,MATCH(Emissions!$D82,'Activity data'!$D$24:$D$39,0))*INDEX(EF!$H$84:$H$99,MATCH(Emissions!$D82,EF!$D$84:$D$99,0))*INDEX(EF!$H$100:$H$115,MATCH(Emissions!$D82,EF!$D$100:$D$115,0))*INDEX(EF!$H$132:$H$147,MATCH(Emissions!$D82,EF!$D$132:$D$147,0))*kgtoGg</f>
        <v>7.8813449993659371E-2</v>
      </c>
      <c r="BP82" s="22">
        <f>INDEX('Activity data'!BP$24:BP$39,MATCH(Emissions!$D82,'Activity data'!$D$24:$D$39,0))*INDEX(EF!$H$84:$H$99,MATCH(Emissions!$D82,EF!$D$84:$D$99,0))*INDEX(EF!$H$100:$H$115,MATCH(Emissions!$D82,EF!$D$100:$D$115,0))*INDEX(EF!$H$132:$H$147,MATCH(Emissions!$D82,EF!$D$132:$D$147,0))*kgtoGg</f>
        <v>7.8813449993659371E-2</v>
      </c>
    </row>
    <row r="83" spans="1:68" x14ac:dyDescent="0.25">
      <c r="A83" t="str">
        <f t="shared" si="19"/>
        <v>3C Aggregated and non-CO2 emissions on land</v>
      </c>
      <c r="B83" t="str">
        <f t="shared" si="26"/>
        <v>3C1 Biomass burning (N2O)</v>
      </c>
      <c r="C83" t="str">
        <f t="shared" si="25"/>
        <v>3C1e Biomass burning in Settlements</v>
      </c>
      <c r="D83" t="str">
        <f>EF!D113</f>
        <v>Settlements</v>
      </c>
      <c r="E83" t="s">
        <v>653</v>
      </c>
      <c r="F83" t="str">
        <f t="shared" si="27"/>
        <v>N2O</v>
      </c>
      <c r="G83" t="str">
        <f t="shared" si="28"/>
        <v>Gg N2O</v>
      </c>
      <c r="H83" s="22">
        <f>INDEX('Activity data'!H$24:H$39,MATCH(Emissions!$D83,'Activity data'!$D$24:$D$39,0))*INDEX(EF!$H$84:$H$99,MATCH(Emissions!$D83,EF!$D$84:$D$99,0))*INDEX(EF!$H$100:$H$115,MATCH(Emissions!$D83,EF!$D$100:$D$115,0))*INDEX(EF!$H$132:$H$147,MATCH(Emissions!$D83,EF!$D$132:$D$147,0))*kgtoGg</f>
        <v>4.462880557297625E-2</v>
      </c>
      <c r="I83" s="22">
        <f>INDEX('Activity data'!I$24:I$39,MATCH(Emissions!$D83,'Activity data'!$D$24:$D$39,0))*INDEX(EF!$H$84:$H$99,MATCH(Emissions!$D83,EF!$D$84:$D$99,0))*INDEX(EF!$H$100:$H$115,MATCH(Emissions!$D83,EF!$D$100:$D$115,0))*INDEX(EF!$H$132:$H$147,MATCH(Emissions!$D83,EF!$D$132:$D$147,0))*kgtoGg</f>
        <v>4.462880557297625E-2</v>
      </c>
      <c r="J83" s="22">
        <f>INDEX('Activity data'!J$24:J$39,MATCH(Emissions!$D83,'Activity data'!$D$24:$D$39,0))*INDEX(EF!$H$84:$H$99,MATCH(Emissions!$D83,EF!$D$84:$D$99,0))*INDEX(EF!$H$100:$H$115,MATCH(Emissions!$D83,EF!$D$100:$D$115,0))*INDEX(EF!$H$132:$H$147,MATCH(Emissions!$D83,EF!$D$132:$D$147,0))*kgtoGg</f>
        <v>4.462880557297625E-2</v>
      </c>
      <c r="K83" s="22">
        <f>INDEX('Activity data'!K$24:K$39,MATCH(Emissions!$D83,'Activity data'!$D$24:$D$39,0))*INDEX(EF!$H$84:$H$99,MATCH(Emissions!$D83,EF!$D$84:$D$99,0))*INDEX(EF!$H$100:$H$115,MATCH(Emissions!$D83,EF!$D$100:$D$115,0))*INDEX(EF!$H$132:$H$147,MATCH(Emissions!$D83,EF!$D$132:$D$147,0))*kgtoGg</f>
        <v>4.462880557297625E-2</v>
      </c>
      <c r="L83" s="22">
        <f>INDEX('Activity data'!L$24:L$39,MATCH(Emissions!$D83,'Activity data'!$D$24:$D$39,0))*INDEX(EF!$H$84:$H$99,MATCH(Emissions!$D83,EF!$D$84:$D$99,0))*INDEX(EF!$H$100:$H$115,MATCH(Emissions!$D83,EF!$D$100:$D$115,0))*INDEX(EF!$H$132:$H$147,MATCH(Emissions!$D83,EF!$D$132:$D$147,0))*kgtoGg</f>
        <v>4.462880557297625E-2</v>
      </c>
      <c r="M83" s="22">
        <f>INDEX('Activity data'!M$24:M$39,MATCH(Emissions!$D83,'Activity data'!$D$24:$D$39,0))*INDEX(EF!$H$84:$H$99,MATCH(Emissions!$D83,EF!$D$84:$D$99,0))*INDEX(EF!$H$100:$H$115,MATCH(Emissions!$D83,EF!$D$100:$D$115,0))*INDEX(EF!$H$132:$H$147,MATCH(Emissions!$D83,EF!$D$132:$D$147,0))*kgtoGg</f>
        <v>4.462880557297625E-2</v>
      </c>
      <c r="N83" s="22">
        <f>INDEX('Activity data'!N$24:N$39,MATCH(Emissions!$D83,'Activity data'!$D$24:$D$39,0))*INDEX(EF!$H$84:$H$99,MATCH(Emissions!$D83,EF!$D$84:$D$99,0))*INDEX(EF!$H$100:$H$115,MATCH(Emissions!$D83,EF!$D$100:$D$115,0))*INDEX(EF!$H$132:$H$147,MATCH(Emissions!$D83,EF!$D$132:$D$147,0))*kgtoGg</f>
        <v>4.462880557297625E-2</v>
      </c>
      <c r="O83" s="22">
        <f>INDEX('Activity data'!O$24:O$39,MATCH(Emissions!$D83,'Activity data'!$D$24:$D$39,0))*INDEX(EF!$H$84:$H$99,MATCH(Emissions!$D83,EF!$D$84:$D$99,0))*INDEX(EF!$H$100:$H$115,MATCH(Emissions!$D83,EF!$D$100:$D$115,0))*INDEX(EF!$H$132:$H$147,MATCH(Emissions!$D83,EF!$D$132:$D$147,0))*kgtoGg</f>
        <v>4.462880557297625E-2</v>
      </c>
      <c r="P83" s="22">
        <f>INDEX('Activity data'!P$24:P$39,MATCH(Emissions!$D83,'Activity data'!$D$24:$D$39,0))*INDEX(EF!$H$84:$H$99,MATCH(Emissions!$D83,EF!$D$84:$D$99,0))*INDEX(EF!$H$100:$H$115,MATCH(Emissions!$D83,EF!$D$100:$D$115,0))*INDEX(EF!$H$132:$H$147,MATCH(Emissions!$D83,EF!$D$132:$D$147,0))*kgtoGg</f>
        <v>4.462880557297625E-2</v>
      </c>
      <c r="Q83" s="22">
        <f>INDEX('Activity data'!Q$24:Q$39,MATCH(Emissions!$D83,'Activity data'!$D$24:$D$39,0))*INDEX(EF!$H$84:$H$99,MATCH(Emissions!$D83,EF!$D$84:$D$99,0))*INDEX(EF!$H$100:$H$115,MATCH(Emissions!$D83,EF!$D$100:$D$115,0))*INDEX(EF!$H$132:$H$147,MATCH(Emissions!$D83,EF!$D$132:$D$147,0))*kgtoGg</f>
        <v>4.462880557297625E-2</v>
      </c>
      <c r="R83" s="22">
        <f>INDEX('Activity data'!R$24:R$39,MATCH(Emissions!$D83,'Activity data'!$D$24:$D$39,0))*INDEX(EF!$H$84:$H$99,MATCH(Emissions!$D83,EF!$D$84:$D$99,0))*INDEX(EF!$H$100:$H$115,MATCH(Emissions!$D83,EF!$D$100:$D$115,0))*INDEX(EF!$H$132:$H$147,MATCH(Emissions!$D83,EF!$D$132:$D$147,0))*kgtoGg</f>
        <v>4.8614087979466203E-2</v>
      </c>
      <c r="S83" s="22">
        <f>INDEX('Activity data'!S$24:S$39,MATCH(Emissions!$D83,'Activity data'!$D$24:$D$39,0))*INDEX(EF!$H$84:$H$99,MATCH(Emissions!$D83,EF!$D$84:$D$99,0))*INDEX(EF!$H$100:$H$115,MATCH(Emissions!$D83,EF!$D$100:$D$115,0))*INDEX(EF!$H$132:$H$147,MATCH(Emissions!$D83,EF!$D$132:$D$147,0))*kgtoGg</f>
        <v>5.3839059429649942E-2</v>
      </c>
      <c r="T83" s="22">
        <f>INDEX('Activity data'!T$24:T$39,MATCH(Emissions!$D83,'Activity data'!$D$24:$D$39,0))*INDEX(EF!$H$84:$H$99,MATCH(Emissions!$D83,EF!$D$84:$D$99,0))*INDEX(EF!$H$100:$H$115,MATCH(Emissions!$D83,EF!$D$100:$D$115,0))*INDEX(EF!$H$132:$H$147,MATCH(Emissions!$D83,EF!$D$132:$D$147,0))*kgtoGg</f>
        <v>4.76008805879857E-2</v>
      </c>
      <c r="U83" s="22">
        <f>INDEX('Activity data'!U$24:U$39,MATCH(Emissions!$D83,'Activity data'!$D$24:$D$39,0))*INDEX(EF!$H$84:$H$99,MATCH(Emissions!$D83,EF!$D$84:$D$99,0))*INDEX(EF!$H$100:$H$115,MATCH(Emissions!$D83,EF!$D$100:$D$115,0))*INDEX(EF!$H$132:$H$147,MATCH(Emissions!$D83,EF!$D$132:$D$147,0))*kgtoGg</f>
        <v>4.1064699572356617E-2</v>
      </c>
      <c r="V83" s="22">
        <f>INDEX('Activity data'!V$24:V$39,MATCH(Emissions!$D83,'Activity data'!$D$24:$D$39,0))*INDEX(EF!$H$84:$H$99,MATCH(Emissions!$D83,EF!$D$84:$D$99,0))*INDEX(EF!$H$100:$H$115,MATCH(Emissions!$D83,EF!$D$100:$D$115,0))*INDEX(EF!$H$132:$H$147,MATCH(Emissions!$D83,EF!$D$132:$D$147,0))*kgtoGg</f>
        <v>3.2025300295422769E-2</v>
      </c>
      <c r="W83" s="22">
        <f>INDEX('Activity data'!W$24:W$39,MATCH(Emissions!$D83,'Activity data'!$D$24:$D$39,0))*INDEX(EF!$H$84:$H$99,MATCH(Emissions!$D83,EF!$D$84:$D$99,0))*INDEX(EF!$H$100:$H$115,MATCH(Emissions!$D83,EF!$D$100:$D$115,0))*INDEX(EF!$H$132:$H$147,MATCH(Emissions!$D83,EF!$D$132:$D$147,0))*kgtoGg</f>
        <v>7.2513862331447368E-2</v>
      </c>
      <c r="X83" s="22">
        <f>INDEX('Activity data'!X$24:X$39,MATCH(Emissions!$D83,'Activity data'!$D$24:$D$39,0))*INDEX(EF!$H$84:$H$99,MATCH(Emissions!$D83,EF!$D$84:$D$99,0))*INDEX(EF!$H$100:$H$115,MATCH(Emissions!$D83,EF!$D$100:$D$115,0))*INDEX(EF!$H$132:$H$147,MATCH(Emissions!$D83,EF!$D$132:$D$147,0))*kgtoGg</f>
        <v>6.3514196677708815E-2</v>
      </c>
      <c r="Y83" s="22">
        <f>INDEX('Activity data'!Y$24:Y$39,MATCH(Emissions!$D83,'Activity data'!$D$24:$D$39,0))*INDEX(EF!$H$84:$H$99,MATCH(Emissions!$D83,EF!$D$84:$D$99,0))*INDEX(EF!$H$100:$H$115,MATCH(Emissions!$D83,EF!$D$100:$D$115,0))*INDEX(EF!$H$132:$H$147,MATCH(Emissions!$D83,EF!$D$132:$D$147,0))*kgtoGg</f>
        <v>7.0249045809314473E-2</v>
      </c>
      <c r="Z83" s="22">
        <f>INDEX('Activity data'!Z$24:Z$39,MATCH(Emissions!$D83,'Activity data'!$D$24:$D$39,0))*INDEX(EF!$H$84:$H$99,MATCH(Emissions!$D83,EF!$D$84:$D$99,0))*INDEX(EF!$H$100:$H$115,MATCH(Emissions!$D83,EF!$D$100:$D$115,0))*INDEX(EF!$H$132:$H$147,MATCH(Emissions!$D83,EF!$D$132:$D$147,0))*kgtoGg</f>
        <v>4.3369249717684813E-2</v>
      </c>
      <c r="AA83" s="22">
        <f>INDEX('Activity data'!AA$24:AA$39,MATCH(Emissions!$D83,'Activity data'!$D$24:$D$39,0))*INDEX(EF!$H$84:$H$99,MATCH(Emissions!$D83,EF!$D$84:$D$99,0))*INDEX(EF!$H$100:$H$115,MATCH(Emissions!$D83,EF!$D$100:$D$115,0))*INDEX(EF!$H$132:$H$147,MATCH(Emissions!$D83,EF!$D$132:$D$147,0))*kgtoGg</f>
        <v>5.2190114067044435E-2</v>
      </c>
      <c r="AB83" s="22">
        <f>INDEX('Activity data'!AB$24:AB$39,MATCH(Emissions!$D83,'Activity data'!$D$24:$D$39,0))*INDEX(EF!$H$84:$H$99,MATCH(Emissions!$D83,EF!$D$84:$D$99,0))*INDEX(EF!$H$100:$H$115,MATCH(Emissions!$D83,EF!$D$100:$D$115,0))*INDEX(EF!$H$132:$H$147,MATCH(Emissions!$D83,EF!$D$132:$D$147,0))*kgtoGg</f>
        <v>3.9028768379999995E-2</v>
      </c>
      <c r="AC83" s="22">
        <f>INDEX('Activity data'!AC$24:AC$39,MATCH(Emissions!$D83,'Activity data'!$D$24:$D$39,0))*INDEX(EF!$H$84:$H$99,MATCH(Emissions!$D83,EF!$D$84:$D$99,0))*INDEX(EF!$H$100:$H$115,MATCH(Emissions!$D83,EF!$D$100:$D$115,0))*INDEX(EF!$H$132:$H$147,MATCH(Emissions!$D83,EF!$D$132:$D$147,0))*kgtoGg</f>
        <v>2.72036394E-2</v>
      </c>
      <c r="AD83" s="22">
        <f>INDEX('Activity data'!AD$24:AD$39,MATCH(Emissions!$D83,'Activity data'!$D$24:$D$39,0))*INDEX(EF!$H$84:$H$99,MATCH(Emissions!$D83,EF!$D$84:$D$99,0))*INDEX(EF!$H$100:$H$115,MATCH(Emissions!$D83,EF!$D$100:$D$115,0))*INDEX(EF!$H$132:$H$147,MATCH(Emissions!$D83,EF!$D$132:$D$147,0))*kgtoGg</f>
        <v>3.9235523819963862E-2</v>
      </c>
      <c r="AE83" s="22">
        <f>INDEX('Activity data'!AE$24:AE$39,MATCH(Emissions!$D83,'Activity data'!$D$24:$D$39,0))*INDEX(EF!$H$84:$H$99,MATCH(Emissions!$D83,EF!$D$84:$D$99,0))*INDEX(EF!$H$100:$H$115,MATCH(Emissions!$D83,EF!$D$100:$D$115,0))*INDEX(EF!$H$132:$H$147,MATCH(Emissions!$D83,EF!$D$132:$D$147,0))*kgtoGg</f>
        <v>3.9318445103539788E-2</v>
      </c>
      <c r="AF83" s="22">
        <f>INDEX('Activity data'!AF$24:AF$39,MATCH(Emissions!$D83,'Activity data'!$D$24:$D$39,0))*INDEX(EF!$H$84:$H$99,MATCH(Emissions!$D83,EF!$D$84:$D$99,0))*INDEX(EF!$H$100:$H$115,MATCH(Emissions!$D83,EF!$D$100:$D$115,0))*INDEX(EF!$H$132:$H$147,MATCH(Emissions!$D83,EF!$D$132:$D$147,0))*kgtoGg</f>
        <v>3.9401366387115715E-2</v>
      </c>
      <c r="AG83" s="22">
        <f>INDEX('Activity data'!AG$24:AG$39,MATCH(Emissions!$D83,'Activity data'!$D$24:$D$39,0))*INDEX(EF!$H$84:$H$99,MATCH(Emissions!$D83,EF!$D$84:$D$99,0))*INDEX(EF!$H$100:$H$115,MATCH(Emissions!$D83,EF!$D$100:$D$115,0))*INDEX(EF!$H$132:$H$147,MATCH(Emissions!$D83,EF!$D$132:$D$147,0))*kgtoGg</f>
        <v>3.9484287670691648E-2</v>
      </c>
      <c r="AH83" s="22">
        <f>INDEX('Activity data'!AH$24:AH$39,MATCH(Emissions!$D83,'Activity data'!$D$24:$D$39,0))*INDEX(EF!$H$84:$H$99,MATCH(Emissions!$D83,EF!$D$84:$D$99,0))*INDEX(EF!$H$100:$H$115,MATCH(Emissions!$D83,EF!$D$100:$D$115,0))*INDEX(EF!$H$132:$H$147,MATCH(Emissions!$D83,EF!$D$132:$D$147,0))*kgtoGg</f>
        <v>3.9567208954267574E-2</v>
      </c>
      <c r="AI83" s="22">
        <f>INDEX('Activity data'!AI$24:AI$39,MATCH(Emissions!$D83,'Activity data'!$D$24:$D$39,0))*INDEX(EF!$H$84:$H$99,MATCH(Emissions!$D83,EF!$D$84:$D$99,0))*INDEX(EF!$H$100:$H$115,MATCH(Emissions!$D83,EF!$D$100:$D$115,0))*INDEX(EF!$H$132:$H$147,MATCH(Emissions!$D83,EF!$D$132:$D$147,0))*kgtoGg</f>
        <v>3.9650130237843507E-2</v>
      </c>
      <c r="AJ83" s="22">
        <f>INDEX('Activity data'!AJ$24:AJ$39,MATCH(Emissions!$D83,'Activity data'!$D$24:$D$39,0))*INDEX(EF!$H$84:$H$99,MATCH(Emissions!$D83,EF!$D$84:$D$99,0))*INDEX(EF!$H$100:$H$115,MATCH(Emissions!$D83,EF!$D$100:$D$115,0))*INDEX(EF!$H$132:$H$147,MATCH(Emissions!$D83,EF!$D$132:$D$147,0))*kgtoGg</f>
        <v>3.9733051521419427E-2</v>
      </c>
      <c r="AK83" s="22">
        <f>INDEX('Activity data'!AK$24:AK$39,MATCH(Emissions!$D83,'Activity data'!$D$24:$D$39,0))*INDEX(EF!$H$84:$H$99,MATCH(Emissions!$D83,EF!$D$84:$D$99,0))*INDEX(EF!$H$100:$H$115,MATCH(Emissions!$D83,EF!$D$100:$D$115,0))*INDEX(EF!$H$132:$H$147,MATCH(Emissions!$D83,EF!$D$132:$D$147,0))*kgtoGg</f>
        <v>3.981597280499536E-2</v>
      </c>
      <c r="AL83" s="22">
        <f>INDEX('Activity data'!AL$24:AL$39,MATCH(Emissions!$D83,'Activity data'!$D$24:$D$39,0))*INDEX(EF!$H$84:$H$99,MATCH(Emissions!$D83,EF!$D$84:$D$99,0))*INDEX(EF!$H$100:$H$115,MATCH(Emissions!$D83,EF!$D$100:$D$115,0))*INDEX(EF!$H$132:$H$147,MATCH(Emissions!$D83,EF!$D$132:$D$147,0))*kgtoGg</f>
        <v>3.9898894088571286E-2</v>
      </c>
      <c r="AM83" s="22">
        <f>INDEX('Activity data'!AM$24:AM$39,MATCH(Emissions!$D83,'Activity data'!$D$24:$D$39,0))*INDEX(EF!$H$84:$H$99,MATCH(Emissions!$D83,EF!$D$84:$D$99,0))*INDEX(EF!$H$100:$H$115,MATCH(Emissions!$D83,EF!$D$100:$D$115,0))*INDEX(EF!$H$132:$H$147,MATCH(Emissions!$D83,EF!$D$132:$D$147,0))*kgtoGg</f>
        <v>3.9981815372147227E-2</v>
      </c>
      <c r="AN83" s="22">
        <f>INDEX('Activity data'!AN$24:AN$39,MATCH(Emissions!$D83,'Activity data'!$D$24:$D$39,0))*INDEX(EF!$H$84:$H$99,MATCH(Emissions!$D83,EF!$D$84:$D$99,0))*INDEX(EF!$H$100:$H$115,MATCH(Emissions!$D83,EF!$D$100:$D$115,0))*INDEX(EF!$H$132:$H$147,MATCH(Emissions!$D83,EF!$D$132:$D$147,0))*kgtoGg</f>
        <v>4.0064736655723153E-2</v>
      </c>
      <c r="AO83" s="22">
        <f>INDEX('Activity data'!AO$24:AO$39,MATCH(Emissions!$D83,'Activity data'!$D$24:$D$39,0))*INDEX(EF!$H$84:$H$99,MATCH(Emissions!$D83,EF!$D$84:$D$99,0))*INDEX(EF!$H$100:$H$115,MATCH(Emissions!$D83,EF!$D$100:$D$115,0))*INDEX(EF!$H$132:$H$147,MATCH(Emissions!$D83,EF!$D$132:$D$147,0))*kgtoGg</f>
        <v>4.0147657939299079E-2</v>
      </c>
      <c r="AP83" s="22">
        <f>INDEX('Activity data'!AP$24:AP$39,MATCH(Emissions!$D83,'Activity data'!$D$24:$D$39,0))*INDEX(EF!$H$84:$H$99,MATCH(Emissions!$D83,EF!$D$84:$D$99,0))*INDEX(EF!$H$100:$H$115,MATCH(Emissions!$D83,EF!$D$100:$D$115,0))*INDEX(EF!$H$132:$H$147,MATCH(Emissions!$D83,EF!$D$132:$D$147,0))*kgtoGg</f>
        <v>4.0230579222875013E-2</v>
      </c>
      <c r="AQ83" s="22">
        <f>INDEX('Activity data'!AQ$24:AQ$39,MATCH(Emissions!$D83,'Activity data'!$D$24:$D$39,0))*INDEX(EF!$H$84:$H$99,MATCH(Emissions!$D83,EF!$D$84:$D$99,0))*INDEX(EF!$H$100:$H$115,MATCH(Emissions!$D83,EF!$D$100:$D$115,0))*INDEX(EF!$H$132:$H$147,MATCH(Emissions!$D83,EF!$D$132:$D$147,0))*kgtoGg</f>
        <v>4.0313500506450946E-2</v>
      </c>
      <c r="AR83" s="22">
        <f>INDEX('Activity data'!AR$24:AR$39,MATCH(Emissions!$D83,'Activity data'!$D$24:$D$39,0))*INDEX(EF!$H$84:$H$99,MATCH(Emissions!$D83,EF!$D$84:$D$99,0))*INDEX(EF!$H$100:$H$115,MATCH(Emissions!$D83,EF!$D$100:$D$115,0))*INDEX(EF!$H$132:$H$147,MATCH(Emissions!$D83,EF!$D$132:$D$147,0))*kgtoGg</f>
        <v>4.0396421790026865E-2</v>
      </c>
      <c r="AS83" s="22">
        <f>INDEX('Activity data'!AS$24:AS$39,MATCH(Emissions!$D83,'Activity data'!$D$24:$D$39,0))*INDEX(EF!$H$84:$H$99,MATCH(Emissions!$D83,EF!$D$84:$D$99,0))*INDEX(EF!$H$100:$H$115,MATCH(Emissions!$D83,EF!$D$100:$D$115,0))*INDEX(EF!$H$132:$H$147,MATCH(Emissions!$D83,EF!$D$132:$D$147,0))*kgtoGg</f>
        <v>4.0479343073602798E-2</v>
      </c>
      <c r="AT83" s="22">
        <f>INDEX('Activity data'!AT$24:AT$39,MATCH(Emissions!$D83,'Activity data'!$D$24:$D$39,0))*INDEX(EF!$H$84:$H$99,MATCH(Emissions!$D83,EF!$D$84:$D$99,0))*INDEX(EF!$H$100:$H$115,MATCH(Emissions!$D83,EF!$D$100:$D$115,0))*INDEX(EF!$H$132:$H$147,MATCH(Emissions!$D83,EF!$D$132:$D$147,0))*kgtoGg</f>
        <v>4.0562264357178725E-2</v>
      </c>
      <c r="AU83" s="22">
        <f>INDEX('Activity data'!AU$24:AU$39,MATCH(Emissions!$D83,'Activity data'!$D$24:$D$39,0))*INDEX(EF!$H$84:$H$99,MATCH(Emissions!$D83,EF!$D$84:$D$99,0))*INDEX(EF!$H$100:$H$115,MATCH(Emissions!$D83,EF!$D$100:$D$115,0))*INDEX(EF!$H$132:$H$147,MATCH(Emissions!$D83,EF!$D$132:$D$147,0))*kgtoGg</f>
        <v>4.0645185640754658E-2</v>
      </c>
      <c r="AV83" s="22">
        <f>INDEX('Activity data'!AV$24:AV$39,MATCH(Emissions!$D83,'Activity data'!$D$24:$D$39,0))*INDEX(EF!$H$84:$H$99,MATCH(Emissions!$D83,EF!$D$84:$D$99,0))*INDEX(EF!$H$100:$H$115,MATCH(Emissions!$D83,EF!$D$100:$D$115,0))*INDEX(EF!$H$132:$H$147,MATCH(Emissions!$D83,EF!$D$132:$D$147,0))*kgtoGg</f>
        <v>4.0728106924330584E-2</v>
      </c>
      <c r="AW83" s="22">
        <f>INDEX('Activity data'!AW$24:AW$39,MATCH(Emissions!$D83,'Activity data'!$D$24:$D$39,0))*INDEX(EF!$H$84:$H$99,MATCH(Emissions!$D83,EF!$D$84:$D$99,0))*INDEX(EF!$H$100:$H$115,MATCH(Emissions!$D83,EF!$D$100:$D$115,0))*INDEX(EF!$H$132:$H$147,MATCH(Emissions!$D83,EF!$D$132:$D$147,0))*kgtoGg</f>
        <v>4.0811028207906511E-2</v>
      </c>
      <c r="AX83" s="22">
        <f>INDEX('Activity data'!AX$24:AX$39,MATCH(Emissions!$D83,'Activity data'!$D$24:$D$39,0))*INDEX(EF!$H$84:$H$99,MATCH(Emissions!$D83,EF!$D$84:$D$99,0))*INDEX(EF!$H$100:$H$115,MATCH(Emissions!$D83,EF!$D$100:$D$115,0))*INDEX(EF!$H$132:$H$147,MATCH(Emissions!$D83,EF!$D$132:$D$147,0))*kgtoGg</f>
        <v>4.0893949491482444E-2</v>
      </c>
      <c r="AY83" s="22">
        <f>INDEX('Activity data'!AY$24:AY$39,MATCH(Emissions!$D83,'Activity data'!$D$24:$D$39,0))*INDEX(EF!$H$84:$H$99,MATCH(Emissions!$D83,EF!$D$84:$D$99,0))*INDEX(EF!$H$100:$H$115,MATCH(Emissions!$D83,EF!$D$100:$D$115,0))*INDEX(EF!$H$132:$H$147,MATCH(Emissions!$D83,EF!$D$132:$D$147,0))*kgtoGg</f>
        <v>4.097687077505837E-2</v>
      </c>
      <c r="AZ83" s="22">
        <f>INDEX('Activity data'!AZ$24:AZ$39,MATCH(Emissions!$D83,'Activity data'!$D$24:$D$39,0))*INDEX(EF!$H$84:$H$99,MATCH(Emissions!$D83,EF!$D$84:$D$99,0))*INDEX(EF!$H$100:$H$115,MATCH(Emissions!$D83,EF!$D$100:$D$115,0))*INDEX(EF!$H$132:$H$147,MATCH(Emissions!$D83,EF!$D$132:$D$147,0))*kgtoGg</f>
        <v>4.1059792058634303E-2</v>
      </c>
      <c r="BA83" s="22">
        <f>INDEX('Activity data'!BA$24:BA$39,MATCH(Emissions!$D83,'Activity data'!$D$24:$D$39,0))*INDEX(EF!$H$84:$H$99,MATCH(Emissions!$D83,EF!$D$84:$D$99,0))*INDEX(EF!$H$100:$H$115,MATCH(Emissions!$D83,EF!$D$100:$D$115,0))*INDEX(EF!$H$132:$H$147,MATCH(Emissions!$D83,EF!$D$132:$D$147,0))*kgtoGg</f>
        <v>4.114271334221023E-2</v>
      </c>
      <c r="BB83" s="22">
        <f>INDEX('Activity data'!BB$24:BB$39,MATCH(Emissions!$D83,'Activity data'!$D$24:$D$39,0))*INDEX(EF!$H$84:$H$99,MATCH(Emissions!$D83,EF!$D$84:$D$99,0))*INDEX(EF!$H$100:$H$115,MATCH(Emissions!$D83,EF!$D$100:$D$115,0))*INDEX(EF!$H$132:$H$147,MATCH(Emissions!$D83,EF!$D$132:$D$147,0))*kgtoGg</f>
        <v>4.1225634625786156E-2</v>
      </c>
      <c r="BC83" s="22">
        <f>INDEX('Activity data'!BC$24:BC$39,MATCH(Emissions!$D83,'Activity data'!$D$24:$D$39,0))*INDEX(EF!$H$84:$H$99,MATCH(Emissions!$D83,EF!$D$84:$D$99,0))*INDEX(EF!$H$100:$H$115,MATCH(Emissions!$D83,EF!$D$100:$D$115,0))*INDEX(EF!$H$132:$H$147,MATCH(Emissions!$D83,EF!$D$132:$D$147,0))*kgtoGg</f>
        <v>4.1308555909362089E-2</v>
      </c>
      <c r="BD83" s="22">
        <f>INDEX('Activity data'!BD$24:BD$39,MATCH(Emissions!$D83,'Activity data'!$D$24:$D$39,0))*INDEX(EF!$H$84:$H$99,MATCH(Emissions!$D83,EF!$D$84:$D$99,0))*INDEX(EF!$H$100:$H$115,MATCH(Emissions!$D83,EF!$D$100:$D$115,0))*INDEX(EF!$H$132:$H$147,MATCH(Emissions!$D83,EF!$D$132:$D$147,0))*kgtoGg</f>
        <v>4.1391477192938023E-2</v>
      </c>
      <c r="BE83" s="22">
        <f>INDEX('Activity data'!BE$24:BE$39,MATCH(Emissions!$D83,'Activity data'!$D$24:$D$39,0))*INDEX(EF!$H$84:$H$99,MATCH(Emissions!$D83,EF!$D$84:$D$99,0))*INDEX(EF!$H$100:$H$115,MATCH(Emissions!$D83,EF!$D$100:$D$115,0))*INDEX(EF!$H$132:$H$147,MATCH(Emissions!$D83,EF!$D$132:$D$147,0))*kgtoGg</f>
        <v>4.1474398476513949E-2</v>
      </c>
      <c r="BF83" s="22">
        <f>INDEX('Activity data'!BF$24:BF$39,MATCH(Emissions!$D83,'Activity data'!$D$24:$D$39,0))*INDEX(EF!$H$84:$H$99,MATCH(Emissions!$D83,EF!$D$84:$D$99,0))*INDEX(EF!$H$100:$H$115,MATCH(Emissions!$D83,EF!$D$100:$D$115,0))*INDEX(EF!$H$132:$H$147,MATCH(Emissions!$D83,EF!$D$132:$D$147,0))*kgtoGg</f>
        <v>4.1557319760089875E-2</v>
      </c>
      <c r="BG83" s="22">
        <f>INDEX('Activity data'!BG$24:BG$39,MATCH(Emissions!$D83,'Activity data'!$D$24:$D$39,0))*INDEX(EF!$H$84:$H$99,MATCH(Emissions!$D83,EF!$D$84:$D$99,0))*INDEX(EF!$H$100:$H$115,MATCH(Emissions!$D83,EF!$D$100:$D$115,0))*INDEX(EF!$H$132:$H$147,MATCH(Emissions!$D83,EF!$D$132:$D$147,0))*kgtoGg</f>
        <v>4.1640241043665809E-2</v>
      </c>
      <c r="BH83" s="22">
        <f>INDEX('Activity data'!BH$24:BH$39,MATCH(Emissions!$D83,'Activity data'!$D$24:$D$39,0))*INDEX(EF!$H$84:$H$99,MATCH(Emissions!$D83,EF!$D$84:$D$99,0))*INDEX(EF!$H$100:$H$115,MATCH(Emissions!$D83,EF!$D$100:$D$115,0))*INDEX(EF!$H$132:$H$147,MATCH(Emissions!$D83,EF!$D$132:$D$147,0))*kgtoGg</f>
        <v>4.1723162327241742E-2</v>
      </c>
      <c r="BI83" s="22">
        <f>INDEX('Activity data'!BI$24:BI$39,MATCH(Emissions!$D83,'Activity data'!$D$24:$D$39,0))*INDEX(EF!$H$84:$H$99,MATCH(Emissions!$D83,EF!$D$84:$D$99,0))*INDEX(EF!$H$100:$H$115,MATCH(Emissions!$D83,EF!$D$100:$D$115,0))*INDEX(EF!$H$132:$H$147,MATCH(Emissions!$D83,EF!$D$132:$D$147,0))*kgtoGg</f>
        <v>4.1806083610817661E-2</v>
      </c>
      <c r="BJ83" s="22">
        <f>INDEX('Activity data'!BJ$24:BJ$39,MATCH(Emissions!$D83,'Activity data'!$D$24:$D$39,0))*INDEX(EF!$H$84:$H$99,MATCH(Emissions!$D83,EF!$D$84:$D$99,0))*INDEX(EF!$H$100:$H$115,MATCH(Emissions!$D83,EF!$D$100:$D$115,0))*INDEX(EF!$H$132:$H$147,MATCH(Emissions!$D83,EF!$D$132:$D$147,0))*kgtoGg</f>
        <v>4.1889004894393594E-2</v>
      </c>
      <c r="BK83" s="22">
        <f>INDEX('Activity data'!BK$24:BK$39,MATCH(Emissions!$D83,'Activity data'!$D$24:$D$39,0))*INDEX(EF!$H$84:$H$99,MATCH(Emissions!$D83,EF!$D$84:$D$99,0))*INDEX(EF!$H$100:$H$115,MATCH(Emissions!$D83,EF!$D$100:$D$115,0))*INDEX(EF!$H$132:$H$147,MATCH(Emissions!$D83,EF!$D$132:$D$147,0))*kgtoGg</f>
        <v>4.1971926177969528E-2</v>
      </c>
      <c r="BL83" s="22">
        <f>INDEX('Activity data'!BL$24:BL$39,MATCH(Emissions!$D83,'Activity data'!$D$24:$D$39,0))*INDEX(EF!$H$84:$H$99,MATCH(Emissions!$D83,EF!$D$84:$D$99,0))*INDEX(EF!$H$100:$H$115,MATCH(Emissions!$D83,EF!$D$100:$D$115,0))*INDEX(EF!$H$132:$H$147,MATCH(Emissions!$D83,EF!$D$132:$D$147,0))*kgtoGg</f>
        <v>4.2054847461545454E-2</v>
      </c>
      <c r="BM83" s="22">
        <f>INDEX('Activity data'!BM$24:BM$39,MATCH(Emissions!$D83,'Activity data'!$D$24:$D$39,0))*INDEX(EF!$H$84:$H$99,MATCH(Emissions!$D83,EF!$D$84:$D$99,0))*INDEX(EF!$H$100:$H$115,MATCH(Emissions!$D83,EF!$D$100:$D$115,0))*INDEX(EF!$H$132:$H$147,MATCH(Emissions!$D83,EF!$D$132:$D$147,0))*kgtoGg</f>
        <v>4.2137768745121387E-2</v>
      </c>
      <c r="BN83" s="22">
        <f>INDEX('Activity data'!BN$24:BN$39,MATCH(Emissions!$D83,'Activity data'!$D$24:$D$39,0))*INDEX(EF!$H$84:$H$99,MATCH(Emissions!$D83,EF!$D$84:$D$99,0))*INDEX(EF!$H$100:$H$115,MATCH(Emissions!$D83,EF!$D$100:$D$115,0))*INDEX(EF!$H$132:$H$147,MATCH(Emissions!$D83,EF!$D$132:$D$147,0))*kgtoGg</f>
        <v>4.2220690028697307E-2</v>
      </c>
      <c r="BO83" s="22">
        <f>INDEX('Activity data'!BO$24:BO$39,MATCH(Emissions!$D83,'Activity data'!$D$24:$D$39,0))*INDEX(EF!$H$84:$H$99,MATCH(Emissions!$D83,EF!$D$84:$D$99,0))*INDEX(EF!$H$100:$H$115,MATCH(Emissions!$D83,EF!$D$100:$D$115,0))*INDEX(EF!$H$132:$H$147,MATCH(Emissions!$D83,EF!$D$132:$D$147,0))*kgtoGg</f>
        <v>4.230361131227324E-2</v>
      </c>
      <c r="BP83" s="22">
        <f>INDEX('Activity data'!BP$24:BP$39,MATCH(Emissions!$D83,'Activity data'!$D$24:$D$39,0))*INDEX(EF!$H$84:$H$99,MATCH(Emissions!$D83,EF!$D$84:$D$99,0))*INDEX(EF!$H$100:$H$115,MATCH(Emissions!$D83,EF!$D$100:$D$115,0))*INDEX(EF!$H$132:$H$147,MATCH(Emissions!$D83,EF!$D$132:$D$147,0))*kgtoGg</f>
        <v>4.2386532595849173E-2</v>
      </c>
    </row>
    <row r="84" spans="1:68" x14ac:dyDescent="0.25">
      <c r="A84" t="str">
        <f t="shared" si="19"/>
        <v>3C Aggregated and non-CO2 emissions on land</v>
      </c>
      <c r="B84" t="str">
        <f t="shared" si="26"/>
        <v>3C1 Biomass burning (N2O)</v>
      </c>
      <c r="C84" t="str">
        <f t="shared" si="25"/>
        <v>3C1e Biomass burning in Settlements</v>
      </c>
      <c r="D84" t="str">
        <f>EF!D114</f>
        <v>Mines</v>
      </c>
      <c r="E84" t="s">
        <v>654</v>
      </c>
      <c r="F84" t="str">
        <f t="shared" si="27"/>
        <v>N2O</v>
      </c>
      <c r="G84" t="str">
        <f t="shared" si="28"/>
        <v>Gg N2O</v>
      </c>
      <c r="H84" s="22">
        <f>INDEX('Activity data'!H$24:H$39,MATCH(Emissions!$D84,'Activity data'!$D$24:$D$39,0))*INDEX(EF!$H$84:$H$99,MATCH(Emissions!$D84,EF!$D$84:$D$99,0))*INDEX(EF!$H$100:$H$115,MATCH(Emissions!$D84,EF!$D$100:$D$115,0))*INDEX(EF!$H$132:$H$147,MATCH(Emissions!$D84,EF!$D$132:$D$147,0))*kgtoGg</f>
        <v>0</v>
      </c>
      <c r="I84" s="22">
        <f>INDEX('Activity data'!I$24:I$39,MATCH(Emissions!$D84,'Activity data'!$D$24:$D$39,0))*INDEX(EF!$H$84:$H$99,MATCH(Emissions!$D84,EF!$D$84:$D$99,0))*INDEX(EF!$H$100:$H$115,MATCH(Emissions!$D84,EF!$D$100:$D$115,0))*INDEX(EF!$H$132:$H$147,MATCH(Emissions!$D84,EF!$D$132:$D$147,0))*kgtoGg</f>
        <v>0</v>
      </c>
      <c r="J84" s="22">
        <f>INDEX('Activity data'!J$24:J$39,MATCH(Emissions!$D84,'Activity data'!$D$24:$D$39,0))*INDEX(EF!$H$84:$H$99,MATCH(Emissions!$D84,EF!$D$84:$D$99,0))*INDEX(EF!$H$100:$H$115,MATCH(Emissions!$D84,EF!$D$100:$D$115,0))*INDEX(EF!$H$132:$H$147,MATCH(Emissions!$D84,EF!$D$132:$D$147,0))*kgtoGg</f>
        <v>0</v>
      </c>
      <c r="K84" s="22">
        <f>INDEX('Activity data'!K$24:K$39,MATCH(Emissions!$D84,'Activity data'!$D$24:$D$39,0))*INDEX(EF!$H$84:$H$99,MATCH(Emissions!$D84,EF!$D$84:$D$99,0))*INDEX(EF!$H$100:$H$115,MATCH(Emissions!$D84,EF!$D$100:$D$115,0))*INDEX(EF!$H$132:$H$147,MATCH(Emissions!$D84,EF!$D$132:$D$147,0))*kgtoGg</f>
        <v>0</v>
      </c>
      <c r="L84" s="22">
        <f>INDEX('Activity data'!L$24:L$39,MATCH(Emissions!$D84,'Activity data'!$D$24:$D$39,0))*INDEX(EF!$H$84:$H$99,MATCH(Emissions!$D84,EF!$D$84:$D$99,0))*INDEX(EF!$H$100:$H$115,MATCH(Emissions!$D84,EF!$D$100:$D$115,0))*INDEX(EF!$H$132:$H$147,MATCH(Emissions!$D84,EF!$D$132:$D$147,0))*kgtoGg</f>
        <v>0</v>
      </c>
      <c r="M84" s="22">
        <f>INDEX('Activity data'!M$24:M$39,MATCH(Emissions!$D84,'Activity data'!$D$24:$D$39,0))*INDEX(EF!$H$84:$H$99,MATCH(Emissions!$D84,EF!$D$84:$D$99,0))*INDEX(EF!$H$100:$H$115,MATCH(Emissions!$D84,EF!$D$100:$D$115,0))*INDEX(EF!$H$132:$H$147,MATCH(Emissions!$D84,EF!$D$132:$D$147,0))*kgtoGg</f>
        <v>0</v>
      </c>
      <c r="N84" s="22">
        <f>INDEX('Activity data'!N$24:N$39,MATCH(Emissions!$D84,'Activity data'!$D$24:$D$39,0))*INDEX(EF!$H$84:$H$99,MATCH(Emissions!$D84,EF!$D$84:$D$99,0))*INDEX(EF!$H$100:$H$115,MATCH(Emissions!$D84,EF!$D$100:$D$115,0))*INDEX(EF!$H$132:$H$147,MATCH(Emissions!$D84,EF!$D$132:$D$147,0))*kgtoGg</f>
        <v>0</v>
      </c>
      <c r="O84" s="22">
        <f>INDEX('Activity data'!O$24:O$39,MATCH(Emissions!$D84,'Activity data'!$D$24:$D$39,0))*INDEX(EF!$H$84:$H$99,MATCH(Emissions!$D84,EF!$D$84:$D$99,0))*INDEX(EF!$H$100:$H$115,MATCH(Emissions!$D84,EF!$D$100:$D$115,0))*INDEX(EF!$H$132:$H$147,MATCH(Emissions!$D84,EF!$D$132:$D$147,0))*kgtoGg</f>
        <v>0</v>
      </c>
      <c r="P84" s="22">
        <f>INDEX('Activity data'!P$24:P$39,MATCH(Emissions!$D84,'Activity data'!$D$24:$D$39,0))*INDEX(EF!$H$84:$H$99,MATCH(Emissions!$D84,EF!$D$84:$D$99,0))*INDEX(EF!$H$100:$H$115,MATCH(Emissions!$D84,EF!$D$100:$D$115,0))*INDEX(EF!$H$132:$H$147,MATCH(Emissions!$D84,EF!$D$132:$D$147,0))*kgtoGg</f>
        <v>0</v>
      </c>
      <c r="Q84" s="22">
        <f>INDEX('Activity data'!Q$24:Q$39,MATCH(Emissions!$D84,'Activity data'!$D$24:$D$39,0))*INDEX(EF!$H$84:$H$99,MATCH(Emissions!$D84,EF!$D$84:$D$99,0))*INDEX(EF!$H$100:$H$115,MATCH(Emissions!$D84,EF!$D$100:$D$115,0))*INDEX(EF!$H$132:$H$147,MATCH(Emissions!$D84,EF!$D$132:$D$147,0))*kgtoGg</f>
        <v>0</v>
      </c>
      <c r="R84" s="22">
        <f>INDEX('Activity data'!R$24:R$39,MATCH(Emissions!$D84,'Activity data'!$D$24:$D$39,0))*INDEX(EF!$H$84:$H$99,MATCH(Emissions!$D84,EF!$D$84:$D$99,0))*INDEX(EF!$H$100:$H$115,MATCH(Emissions!$D84,EF!$D$100:$D$115,0))*INDEX(EF!$H$132:$H$147,MATCH(Emissions!$D84,EF!$D$132:$D$147,0))*kgtoGg</f>
        <v>0</v>
      </c>
      <c r="S84" s="22">
        <f>INDEX('Activity data'!S$24:S$39,MATCH(Emissions!$D84,'Activity data'!$D$24:$D$39,0))*INDEX(EF!$H$84:$H$99,MATCH(Emissions!$D84,EF!$D$84:$D$99,0))*INDEX(EF!$H$100:$H$115,MATCH(Emissions!$D84,EF!$D$100:$D$115,0))*INDEX(EF!$H$132:$H$147,MATCH(Emissions!$D84,EF!$D$132:$D$147,0))*kgtoGg</f>
        <v>0</v>
      </c>
      <c r="T84" s="22">
        <f>INDEX('Activity data'!T$24:T$39,MATCH(Emissions!$D84,'Activity data'!$D$24:$D$39,0))*INDEX(EF!$H$84:$H$99,MATCH(Emissions!$D84,EF!$D$84:$D$99,0))*INDEX(EF!$H$100:$H$115,MATCH(Emissions!$D84,EF!$D$100:$D$115,0))*INDEX(EF!$H$132:$H$147,MATCH(Emissions!$D84,EF!$D$132:$D$147,0))*kgtoGg</f>
        <v>0</v>
      </c>
      <c r="U84" s="22">
        <f>INDEX('Activity data'!U$24:U$39,MATCH(Emissions!$D84,'Activity data'!$D$24:$D$39,0))*INDEX(EF!$H$84:$H$99,MATCH(Emissions!$D84,EF!$D$84:$D$99,0))*INDEX(EF!$H$100:$H$115,MATCH(Emissions!$D84,EF!$D$100:$D$115,0))*INDEX(EF!$H$132:$H$147,MATCH(Emissions!$D84,EF!$D$132:$D$147,0))*kgtoGg</f>
        <v>0</v>
      </c>
      <c r="V84" s="22">
        <f>INDEX('Activity data'!V$24:V$39,MATCH(Emissions!$D84,'Activity data'!$D$24:$D$39,0))*INDEX(EF!$H$84:$H$99,MATCH(Emissions!$D84,EF!$D$84:$D$99,0))*INDEX(EF!$H$100:$H$115,MATCH(Emissions!$D84,EF!$D$100:$D$115,0))*INDEX(EF!$H$132:$H$147,MATCH(Emissions!$D84,EF!$D$132:$D$147,0))*kgtoGg</f>
        <v>0</v>
      </c>
      <c r="W84" s="22">
        <f>INDEX('Activity data'!W$24:W$39,MATCH(Emissions!$D84,'Activity data'!$D$24:$D$39,0))*INDEX(EF!$H$84:$H$99,MATCH(Emissions!$D84,EF!$D$84:$D$99,0))*INDEX(EF!$H$100:$H$115,MATCH(Emissions!$D84,EF!$D$100:$D$115,0))*INDEX(EF!$H$132:$H$147,MATCH(Emissions!$D84,EF!$D$132:$D$147,0))*kgtoGg</f>
        <v>0</v>
      </c>
      <c r="X84" s="22">
        <f>INDEX('Activity data'!X$24:X$39,MATCH(Emissions!$D84,'Activity data'!$D$24:$D$39,0))*INDEX(EF!$H$84:$H$99,MATCH(Emissions!$D84,EF!$D$84:$D$99,0))*INDEX(EF!$H$100:$H$115,MATCH(Emissions!$D84,EF!$D$100:$D$115,0))*INDEX(EF!$H$132:$H$147,MATCH(Emissions!$D84,EF!$D$132:$D$147,0))*kgtoGg</f>
        <v>0</v>
      </c>
      <c r="Y84" s="22">
        <f>INDEX('Activity data'!Y$24:Y$39,MATCH(Emissions!$D84,'Activity data'!$D$24:$D$39,0))*INDEX(EF!$H$84:$H$99,MATCH(Emissions!$D84,EF!$D$84:$D$99,0))*INDEX(EF!$H$100:$H$115,MATCH(Emissions!$D84,EF!$D$100:$D$115,0))*INDEX(EF!$H$132:$H$147,MATCH(Emissions!$D84,EF!$D$132:$D$147,0))*kgtoGg</f>
        <v>0</v>
      </c>
      <c r="Z84" s="22">
        <f>INDEX('Activity data'!Z$24:Z$39,MATCH(Emissions!$D84,'Activity data'!$D$24:$D$39,0))*INDEX(EF!$H$84:$H$99,MATCH(Emissions!$D84,EF!$D$84:$D$99,0))*INDEX(EF!$H$100:$H$115,MATCH(Emissions!$D84,EF!$D$100:$D$115,0))*INDEX(EF!$H$132:$H$147,MATCH(Emissions!$D84,EF!$D$132:$D$147,0))*kgtoGg</f>
        <v>0</v>
      </c>
      <c r="AA84" s="22">
        <f>INDEX('Activity data'!AA$24:AA$39,MATCH(Emissions!$D84,'Activity data'!$D$24:$D$39,0))*INDEX(EF!$H$84:$H$99,MATCH(Emissions!$D84,EF!$D$84:$D$99,0))*INDEX(EF!$H$100:$H$115,MATCH(Emissions!$D84,EF!$D$100:$D$115,0))*INDEX(EF!$H$132:$H$147,MATCH(Emissions!$D84,EF!$D$132:$D$147,0))*kgtoGg</f>
        <v>0</v>
      </c>
      <c r="AB84" s="22">
        <f>INDEX('Activity data'!AB$24:AB$39,MATCH(Emissions!$D84,'Activity data'!$D$24:$D$39,0))*INDEX(EF!$H$84:$H$99,MATCH(Emissions!$D84,EF!$D$84:$D$99,0))*INDEX(EF!$H$100:$H$115,MATCH(Emissions!$D84,EF!$D$100:$D$115,0))*INDEX(EF!$H$132:$H$147,MATCH(Emissions!$D84,EF!$D$132:$D$147,0))*kgtoGg</f>
        <v>0</v>
      </c>
      <c r="AC84" s="22">
        <f>INDEX('Activity data'!AC$24:AC$39,MATCH(Emissions!$D84,'Activity data'!$D$24:$D$39,0))*INDEX(EF!$H$84:$H$99,MATCH(Emissions!$D84,EF!$D$84:$D$99,0))*INDEX(EF!$H$100:$H$115,MATCH(Emissions!$D84,EF!$D$100:$D$115,0))*INDEX(EF!$H$132:$H$147,MATCH(Emissions!$D84,EF!$D$132:$D$147,0))*kgtoGg</f>
        <v>0</v>
      </c>
      <c r="AD84" s="22">
        <f>INDEX('Activity data'!AD$24:AD$39,MATCH(Emissions!$D84,'Activity data'!$D$24:$D$39,0))*INDEX(EF!$H$84:$H$99,MATCH(Emissions!$D84,EF!$D$84:$D$99,0))*INDEX(EF!$H$100:$H$115,MATCH(Emissions!$D84,EF!$D$100:$D$115,0))*INDEX(EF!$H$132:$H$147,MATCH(Emissions!$D84,EF!$D$132:$D$147,0))*kgtoGg</f>
        <v>0</v>
      </c>
      <c r="AE84" s="22">
        <f>INDEX('Activity data'!AE$24:AE$39,MATCH(Emissions!$D84,'Activity data'!$D$24:$D$39,0))*INDEX(EF!$H$84:$H$99,MATCH(Emissions!$D84,EF!$D$84:$D$99,0))*INDEX(EF!$H$100:$H$115,MATCH(Emissions!$D84,EF!$D$100:$D$115,0))*INDEX(EF!$H$132:$H$147,MATCH(Emissions!$D84,EF!$D$132:$D$147,0))*kgtoGg</f>
        <v>0</v>
      </c>
      <c r="AF84" s="22">
        <f>INDEX('Activity data'!AF$24:AF$39,MATCH(Emissions!$D84,'Activity data'!$D$24:$D$39,0))*INDEX(EF!$H$84:$H$99,MATCH(Emissions!$D84,EF!$D$84:$D$99,0))*INDEX(EF!$H$100:$H$115,MATCH(Emissions!$D84,EF!$D$100:$D$115,0))*INDEX(EF!$H$132:$H$147,MATCH(Emissions!$D84,EF!$D$132:$D$147,0))*kgtoGg</f>
        <v>0</v>
      </c>
      <c r="AG84" s="22">
        <f>INDEX('Activity data'!AG$24:AG$39,MATCH(Emissions!$D84,'Activity data'!$D$24:$D$39,0))*INDEX(EF!$H$84:$H$99,MATCH(Emissions!$D84,EF!$D$84:$D$99,0))*INDEX(EF!$H$100:$H$115,MATCH(Emissions!$D84,EF!$D$100:$D$115,0))*INDEX(EF!$H$132:$H$147,MATCH(Emissions!$D84,EF!$D$132:$D$147,0))*kgtoGg</f>
        <v>0</v>
      </c>
      <c r="AH84" s="22">
        <f>INDEX('Activity data'!AH$24:AH$39,MATCH(Emissions!$D84,'Activity data'!$D$24:$D$39,0))*INDEX(EF!$H$84:$H$99,MATCH(Emissions!$D84,EF!$D$84:$D$99,0))*INDEX(EF!$H$100:$H$115,MATCH(Emissions!$D84,EF!$D$100:$D$115,0))*INDEX(EF!$H$132:$H$147,MATCH(Emissions!$D84,EF!$D$132:$D$147,0))*kgtoGg</f>
        <v>0</v>
      </c>
      <c r="AI84" s="22">
        <f>INDEX('Activity data'!AI$24:AI$39,MATCH(Emissions!$D84,'Activity data'!$D$24:$D$39,0))*INDEX(EF!$H$84:$H$99,MATCH(Emissions!$D84,EF!$D$84:$D$99,0))*INDEX(EF!$H$100:$H$115,MATCH(Emissions!$D84,EF!$D$100:$D$115,0))*INDEX(EF!$H$132:$H$147,MATCH(Emissions!$D84,EF!$D$132:$D$147,0))*kgtoGg</f>
        <v>0</v>
      </c>
      <c r="AJ84" s="22">
        <f>INDEX('Activity data'!AJ$24:AJ$39,MATCH(Emissions!$D84,'Activity data'!$D$24:$D$39,0))*INDEX(EF!$H$84:$H$99,MATCH(Emissions!$D84,EF!$D$84:$D$99,0))*INDEX(EF!$H$100:$H$115,MATCH(Emissions!$D84,EF!$D$100:$D$115,0))*INDEX(EF!$H$132:$H$147,MATCH(Emissions!$D84,EF!$D$132:$D$147,0))*kgtoGg</f>
        <v>0</v>
      </c>
      <c r="AK84" s="22">
        <f>INDEX('Activity data'!AK$24:AK$39,MATCH(Emissions!$D84,'Activity data'!$D$24:$D$39,0))*INDEX(EF!$H$84:$H$99,MATCH(Emissions!$D84,EF!$D$84:$D$99,0))*INDEX(EF!$H$100:$H$115,MATCH(Emissions!$D84,EF!$D$100:$D$115,0))*INDEX(EF!$H$132:$H$147,MATCH(Emissions!$D84,EF!$D$132:$D$147,0))*kgtoGg</f>
        <v>0</v>
      </c>
      <c r="AL84" s="22">
        <f>INDEX('Activity data'!AL$24:AL$39,MATCH(Emissions!$D84,'Activity data'!$D$24:$D$39,0))*INDEX(EF!$H$84:$H$99,MATCH(Emissions!$D84,EF!$D$84:$D$99,0))*INDEX(EF!$H$100:$H$115,MATCH(Emissions!$D84,EF!$D$100:$D$115,0))*INDEX(EF!$H$132:$H$147,MATCH(Emissions!$D84,EF!$D$132:$D$147,0))*kgtoGg</f>
        <v>0</v>
      </c>
      <c r="AM84" s="22">
        <f>INDEX('Activity data'!AM$24:AM$39,MATCH(Emissions!$D84,'Activity data'!$D$24:$D$39,0))*INDEX(EF!$H$84:$H$99,MATCH(Emissions!$D84,EF!$D$84:$D$99,0))*INDEX(EF!$H$100:$H$115,MATCH(Emissions!$D84,EF!$D$100:$D$115,0))*INDEX(EF!$H$132:$H$147,MATCH(Emissions!$D84,EF!$D$132:$D$147,0))*kgtoGg</f>
        <v>0</v>
      </c>
      <c r="AN84" s="22">
        <f>INDEX('Activity data'!AN$24:AN$39,MATCH(Emissions!$D84,'Activity data'!$D$24:$D$39,0))*INDEX(EF!$H$84:$H$99,MATCH(Emissions!$D84,EF!$D$84:$D$99,0))*INDEX(EF!$H$100:$H$115,MATCH(Emissions!$D84,EF!$D$100:$D$115,0))*INDEX(EF!$H$132:$H$147,MATCH(Emissions!$D84,EF!$D$132:$D$147,0))*kgtoGg</f>
        <v>0</v>
      </c>
      <c r="AO84" s="22">
        <f>INDEX('Activity data'!AO$24:AO$39,MATCH(Emissions!$D84,'Activity data'!$D$24:$D$39,0))*INDEX(EF!$H$84:$H$99,MATCH(Emissions!$D84,EF!$D$84:$D$99,0))*INDEX(EF!$H$100:$H$115,MATCH(Emissions!$D84,EF!$D$100:$D$115,0))*INDEX(EF!$H$132:$H$147,MATCH(Emissions!$D84,EF!$D$132:$D$147,0))*kgtoGg</f>
        <v>0</v>
      </c>
      <c r="AP84" s="22">
        <f>INDEX('Activity data'!AP$24:AP$39,MATCH(Emissions!$D84,'Activity data'!$D$24:$D$39,0))*INDEX(EF!$H$84:$H$99,MATCH(Emissions!$D84,EF!$D$84:$D$99,0))*INDEX(EF!$H$100:$H$115,MATCH(Emissions!$D84,EF!$D$100:$D$115,0))*INDEX(EF!$H$132:$H$147,MATCH(Emissions!$D84,EF!$D$132:$D$147,0))*kgtoGg</f>
        <v>0</v>
      </c>
      <c r="AQ84" s="22">
        <f>INDEX('Activity data'!AQ$24:AQ$39,MATCH(Emissions!$D84,'Activity data'!$D$24:$D$39,0))*INDEX(EF!$H$84:$H$99,MATCH(Emissions!$D84,EF!$D$84:$D$99,0))*INDEX(EF!$H$100:$H$115,MATCH(Emissions!$D84,EF!$D$100:$D$115,0))*INDEX(EF!$H$132:$H$147,MATCH(Emissions!$D84,EF!$D$132:$D$147,0))*kgtoGg</f>
        <v>0</v>
      </c>
      <c r="AR84" s="22">
        <f>INDEX('Activity data'!AR$24:AR$39,MATCH(Emissions!$D84,'Activity data'!$D$24:$D$39,0))*INDEX(EF!$H$84:$H$99,MATCH(Emissions!$D84,EF!$D$84:$D$99,0))*INDEX(EF!$H$100:$H$115,MATCH(Emissions!$D84,EF!$D$100:$D$115,0))*INDEX(EF!$H$132:$H$147,MATCH(Emissions!$D84,EF!$D$132:$D$147,0))*kgtoGg</f>
        <v>0</v>
      </c>
      <c r="AS84" s="22">
        <f>INDEX('Activity data'!AS$24:AS$39,MATCH(Emissions!$D84,'Activity data'!$D$24:$D$39,0))*INDEX(EF!$H$84:$H$99,MATCH(Emissions!$D84,EF!$D$84:$D$99,0))*INDEX(EF!$H$100:$H$115,MATCH(Emissions!$D84,EF!$D$100:$D$115,0))*INDEX(EF!$H$132:$H$147,MATCH(Emissions!$D84,EF!$D$132:$D$147,0))*kgtoGg</f>
        <v>0</v>
      </c>
      <c r="AT84" s="22">
        <f>INDEX('Activity data'!AT$24:AT$39,MATCH(Emissions!$D84,'Activity data'!$D$24:$D$39,0))*INDEX(EF!$H$84:$H$99,MATCH(Emissions!$D84,EF!$D$84:$D$99,0))*INDEX(EF!$H$100:$H$115,MATCH(Emissions!$D84,EF!$D$100:$D$115,0))*INDEX(EF!$H$132:$H$147,MATCH(Emissions!$D84,EF!$D$132:$D$147,0))*kgtoGg</f>
        <v>0</v>
      </c>
      <c r="AU84" s="22">
        <f>INDEX('Activity data'!AU$24:AU$39,MATCH(Emissions!$D84,'Activity data'!$D$24:$D$39,0))*INDEX(EF!$H$84:$H$99,MATCH(Emissions!$D84,EF!$D$84:$D$99,0))*INDEX(EF!$H$100:$H$115,MATCH(Emissions!$D84,EF!$D$100:$D$115,0))*INDEX(EF!$H$132:$H$147,MATCH(Emissions!$D84,EF!$D$132:$D$147,0))*kgtoGg</f>
        <v>0</v>
      </c>
      <c r="AV84" s="22">
        <f>INDEX('Activity data'!AV$24:AV$39,MATCH(Emissions!$D84,'Activity data'!$D$24:$D$39,0))*INDEX(EF!$H$84:$H$99,MATCH(Emissions!$D84,EF!$D$84:$D$99,0))*INDEX(EF!$H$100:$H$115,MATCH(Emissions!$D84,EF!$D$100:$D$115,0))*INDEX(EF!$H$132:$H$147,MATCH(Emissions!$D84,EF!$D$132:$D$147,0))*kgtoGg</f>
        <v>0</v>
      </c>
      <c r="AW84" s="22">
        <f>INDEX('Activity data'!AW$24:AW$39,MATCH(Emissions!$D84,'Activity data'!$D$24:$D$39,0))*INDEX(EF!$H$84:$H$99,MATCH(Emissions!$D84,EF!$D$84:$D$99,0))*INDEX(EF!$H$100:$H$115,MATCH(Emissions!$D84,EF!$D$100:$D$115,0))*INDEX(EF!$H$132:$H$147,MATCH(Emissions!$D84,EF!$D$132:$D$147,0))*kgtoGg</f>
        <v>0</v>
      </c>
      <c r="AX84" s="22">
        <f>INDEX('Activity data'!AX$24:AX$39,MATCH(Emissions!$D84,'Activity data'!$D$24:$D$39,0))*INDEX(EF!$H$84:$H$99,MATCH(Emissions!$D84,EF!$D$84:$D$99,0))*INDEX(EF!$H$100:$H$115,MATCH(Emissions!$D84,EF!$D$100:$D$115,0))*INDEX(EF!$H$132:$H$147,MATCH(Emissions!$D84,EF!$D$132:$D$147,0))*kgtoGg</f>
        <v>0</v>
      </c>
      <c r="AY84" s="22">
        <f>INDEX('Activity data'!AY$24:AY$39,MATCH(Emissions!$D84,'Activity data'!$D$24:$D$39,0))*INDEX(EF!$H$84:$H$99,MATCH(Emissions!$D84,EF!$D$84:$D$99,0))*INDEX(EF!$H$100:$H$115,MATCH(Emissions!$D84,EF!$D$100:$D$115,0))*INDEX(EF!$H$132:$H$147,MATCH(Emissions!$D84,EF!$D$132:$D$147,0))*kgtoGg</f>
        <v>0</v>
      </c>
      <c r="AZ84" s="22">
        <f>INDEX('Activity data'!AZ$24:AZ$39,MATCH(Emissions!$D84,'Activity data'!$D$24:$D$39,0))*INDEX(EF!$H$84:$H$99,MATCH(Emissions!$D84,EF!$D$84:$D$99,0))*INDEX(EF!$H$100:$H$115,MATCH(Emissions!$D84,EF!$D$100:$D$115,0))*INDEX(EF!$H$132:$H$147,MATCH(Emissions!$D84,EF!$D$132:$D$147,0))*kgtoGg</f>
        <v>0</v>
      </c>
      <c r="BA84" s="22">
        <f>INDEX('Activity data'!BA$24:BA$39,MATCH(Emissions!$D84,'Activity data'!$D$24:$D$39,0))*INDEX(EF!$H$84:$H$99,MATCH(Emissions!$D84,EF!$D$84:$D$99,0))*INDEX(EF!$H$100:$H$115,MATCH(Emissions!$D84,EF!$D$100:$D$115,0))*INDEX(EF!$H$132:$H$147,MATCH(Emissions!$D84,EF!$D$132:$D$147,0))*kgtoGg</f>
        <v>0</v>
      </c>
      <c r="BB84" s="22">
        <f>INDEX('Activity data'!BB$24:BB$39,MATCH(Emissions!$D84,'Activity data'!$D$24:$D$39,0))*INDEX(EF!$H$84:$H$99,MATCH(Emissions!$D84,EF!$D$84:$D$99,0))*INDEX(EF!$H$100:$H$115,MATCH(Emissions!$D84,EF!$D$100:$D$115,0))*INDEX(EF!$H$132:$H$147,MATCH(Emissions!$D84,EF!$D$132:$D$147,0))*kgtoGg</f>
        <v>0</v>
      </c>
      <c r="BC84" s="22">
        <f>INDEX('Activity data'!BC$24:BC$39,MATCH(Emissions!$D84,'Activity data'!$D$24:$D$39,0))*INDEX(EF!$H$84:$H$99,MATCH(Emissions!$D84,EF!$D$84:$D$99,0))*INDEX(EF!$H$100:$H$115,MATCH(Emissions!$D84,EF!$D$100:$D$115,0))*INDEX(EF!$H$132:$H$147,MATCH(Emissions!$D84,EF!$D$132:$D$147,0))*kgtoGg</f>
        <v>0</v>
      </c>
      <c r="BD84" s="22">
        <f>INDEX('Activity data'!BD$24:BD$39,MATCH(Emissions!$D84,'Activity data'!$D$24:$D$39,0))*INDEX(EF!$H$84:$H$99,MATCH(Emissions!$D84,EF!$D$84:$D$99,0))*INDEX(EF!$H$100:$H$115,MATCH(Emissions!$D84,EF!$D$100:$D$115,0))*INDEX(EF!$H$132:$H$147,MATCH(Emissions!$D84,EF!$D$132:$D$147,0))*kgtoGg</f>
        <v>0</v>
      </c>
      <c r="BE84" s="22">
        <f>INDEX('Activity data'!BE$24:BE$39,MATCH(Emissions!$D84,'Activity data'!$D$24:$D$39,0))*INDEX(EF!$H$84:$H$99,MATCH(Emissions!$D84,EF!$D$84:$D$99,0))*INDEX(EF!$H$100:$H$115,MATCH(Emissions!$D84,EF!$D$100:$D$115,0))*INDEX(EF!$H$132:$H$147,MATCH(Emissions!$D84,EF!$D$132:$D$147,0))*kgtoGg</f>
        <v>0</v>
      </c>
      <c r="BF84" s="22">
        <f>INDEX('Activity data'!BF$24:BF$39,MATCH(Emissions!$D84,'Activity data'!$D$24:$D$39,0))*INDEX(EF!$H$84:$H$99,MATCH(Emissions!$D84,EF!$D$84:$D$99,0))*INDEX(EF!$H$100:$H$115,MATCH(Emissions!$D84,EF!$D$100:$D$115,0))*INDEX(EF!$H$132:$H$147,MATCH(Emissions!$D84,EF!$D$132:$D$147,0))*kgtoGg</f>
        <v>0</v>
      </c>
      <c r="BG84" s="22">
        <f>INDEX('Activity data'!BG$24:BG$39,MATCH(Emissions!$D84,'Activity data'!$D$24:$D$39,0))*INDEX(EF!$H$84:$H$99,MATCH(Emissions!$D84,EF!$D$84:$D$99,0))*INDEX(EF!$H$100:$H$115,MATCH(Emissions!$D84,EF!$D$100:$D$115,0))*INDEX(EF!$H$132:$H$147,MATCH(Emissions!$D84,EF!$D$132:$D$147,0))*kgtoGg</f>
        <v>0</v>
      </c>
      <c r="BH84" s="22">
        <f>INDEX('Activity data'!BH$24:BH$39,MATCH(Emissions!$D84,'Activity data'!$D$24:$D$39,0))*INDEX(EF!$H$84:$H$99,MATCH(Emissions!$D84,EF!$D$84:$D$99,0))*INDEX(EF!$H$100:$H$115,MATCH(Emissions!$D84,EF!$D$100:$D$115,0))*INDEX(EF!$H$132:$H$147,MATCH(Emissions!$D84,EF!$D$132:$D$147,0))*kgtoGg</f>
        <v>0</v>
      </c>
      <c r="BI84" s="22">
        <f>INDEX('Activity data'!BI$24:BI$39,MATCH(Emissions!$D84,'Activity data'!$D$24:$D$39,0))*INDEX(EF!$H$84:$H$99,MATCH(Emissions!$D84,EF!$D$84:$D$99,0))*INDEX(EF!$H$100:$H$115,MATCH(Emissions!$D84,EF!$D$100:$D$115,0))*INDEX(EF!$H$132:$H$147,MATCH(Emissions!$D84,EF!$D$132:$D$147,0))*kgtoGg</f>
        <v>0</v>
      </c>
      <c r="BJ84" s="22">
        <f>INDEX('Activity data'!BJ$24:BJ$39,MATCH(Emissions!$D84,'Activity data'!$D$24:$D$39,0))*INDEX(EF!$H$84:$H$99,MATCH(Emissions!$D84,EF!$D$84:$D$99,0))*INDEX(EF!$H$100:$H$115,MATCH(Emissions!$D84,EF!$D$100:$D$115,0))*INDEX(EF!$H$132:$H$147,MATCH(Emissions!$D84,EF!$D$132:$D$147,0))*kgtoGg</f>
        <v>0</v>
      </c>
      <c r="BK84" s="22">
        <f>INDEX('Activity data'!BK$24:BK$39,MATCH(Emissions!$D84,'Activity data'!$D$24:$D$39,0))*INDEX(EF!$H$84:$H$99,MATCH(Emissions!$D84,EF!$D$84:$D$99,0))*INDEX(EF!$H$100:$H$115,MATCH(Emissions!$D84,EF!$D$100:$D$115,0))*INDEX(EF!$H$132:$H$147,MATCH(Emissions!$D84,EF!$D$132:$D$147,0))*kgtoGg</f>
        <v>0</v>
      </c>
      <c r="BL84" s="22">
        <f>INDEX('Activity data'!BL$24:BL$39,MATCH(Emissions!$D84,'Activity data'!$D$24:$D$39,0))*INDEX(EF!$H$84:$H$99,MATCH(Emissions!$D84,EF!$D$84:$D$99,0))*INDEX(EF!$H$100:$H$115,MATCH(Emissions!$D84,EF!$D$100:$D$115,0))*INDEX(EF!$H$132:$H$147,MATCH(Emissions!$D84,EF!$D$132:$D$147,0))*kgtoGg</f>
        <v>0</v>
      </c>
      <c r="BM84" s="22">
        <f>INDEX('Activity data'!BM$24:BM$39,MATCH(Emissions!$D84,'Activity data'!$D$24:$D$39,0))*INDEX(EF!$H$84:$H$99,MATCH(Emissions!$D84,EF!$D$84:$D$99,0))*INDEX(EF!$H$100:$H$115,MATCH(Emissions!$D84,EF!$D$100:$D$115,0))*INDEX(EF!$H$132:$H$147,MATCH(Emissions!$D84,EF!$D$132:$D$147,0))*kgtoGg</f>
        <v>0</v>
      </c>
      <c r="BN84" s="22">
        <f>INDEX('Activity data'!BN$24:BN$39,MATCH(Emissions!$D84,'Activity data'!$D$24:$D$39,0))*INDEX(EF!$H$84:$H$99,MATCH(Emissions!$D84,EF!$D$84:$D$99,0))*INDEX(EF!$H$100:$H$115,MATCH(Emissions!$D84,EF!$D$100:$D$115,0))*INDEX(EF!$H$132:$H$147,MATCH(Emissions!$D84,EF!$D$132:$D$147,0))*kgtoGg</f>
        <v>0</v>
      </c>
      <c r="BO84" s="22">
        <f>INDEX('Activity data'!BO$24:BO$39,MATCH(Emissions!$D84,'Activity data'!$D$24:$D$39,0))*INDEX(EF!$H$84:$H$99,MATCH(Emissions!$D84,EF!$D$84:$D$99,0))*INDEX(EF!$H$100:$H$115,MATCH(Emissions!$D84,EF!$D$100:$D$115,0))*INDEX(EF!$H$132:$H$147,MATCH(Emissions!$D84,EF!$D$132:$D$147,0))*kgtoGg</f>
        <v>0</v>
      </c>
      <c r="BP84" s="22">
        <f>INDEX('Activity data'!BP$24:BP$39,MATCH(Emissions!$D84,'Activity data'!$D$24:$D$39,0))*INDEX(EF!$H$84:$H$99,MATCH(Emissions!$D84,EF!$D$84:$D$99,0))*INDEX(EF!$H$100:$H$115,MATCH(Emissions!$D84,EF!$D$100:$D$115,0))*INDEX(EF!$H$132:$H$147,MATCH(Emissions!$D84,EF!$D$132:$D$147,0))*kgtoGg</f>
        <v>0</v>
      </c>
    </row>
    <row r="85" spans="1:68" x14ac:dyDescent="0.25">
      <c r="A85" t="str">
        <f t="shared" si="19"/>
        <v>3C Aggregated and non-CO2 emissions on land</v>
      </c>
      <c r="B85" t="str">
        <f t="shared" si="26"/>
        <v>3C1 Biomass burning (N2O)</v>
      </c>
      <c r="C85" t="str">
        <f t="shared" si="25"/>
        <v>3C1f Biomass burning in Other lands</v>
      </c>
      <c r="D85" t="str">
        <f>EF!D115</f>
        <v>Bare ground</v>
      </c>
      <c r="E85" t="s">
        <v>655</v>
      </c>
      <c r="F85" t="str">
        <f t="shared" si="27"/>
        <v>N2O</v>
      </c>
      <c r="G85" t="str">
        <f t="shared" si="28"/>
        <v>Gg N2O</v>
      </c>
      <c r="H85" s="22">
        <f>INDEX('Activity data'!H$24:H$39,MATCH(Emissions!$D85,'Activity data'!$D$24:$D$39,0))*INDEX(EF!$H$84:$H$99,MATCH(Emissions!$D85,EF!$D$84:$D$99,0))*INDEX(EF!$H$100:$H$115,MATCH(Emissions!$D85,EF!$D$100:$D$115,0))*INDEX(EF!$H$132:$H$147,MATCH(Emissions!$D85,EF!$D$132:$D$147,0))*kgtoGg</f>
        <v>0</v>
      </c>
      <c r="I85" s="22">
        <f>INDEX('Activity data'!I$24:I$39,MATCH(Emissions!$D85,'Activity data'!$D$24:$D$39,0))*INDEX(EF!$H$84:$H$99,MATCH(Emissions!$D85,EF!$D$84:$D$99,0))*INDEX(EF!$H$100:$H$115,MATCH(Emissions!$D85,EF!$D$100:$D$115,0))*INDEX(EF!$H$132:$H$147,MATCH(Emissions!$D85,EF!$D$132:$D$147,0))*kgtoGg</f>
        <v>0</v>
      </c>
      <c r="J85" s="22">
        <f>INDEX('Activity data'!J$24:J$39,MATCH(Emissions!$D85,'Activity data'!$D$24:$D$39,0))*INDEX(EF!$H$84:$H$99,MATCH(Emissions!$D85,EF!$D$84:$D$99,0))*INDEX(EF!$H$100:$H$115,MATCH(Emissions!$D85,EF!$D$100:$D$115,0))*INDEX(EF!$H$132:$H$147,MATCH(Emissions!$D85,EF!$D$132:$D$147,0))*kgtoGg</f>
        <v>0</v>
      </c>
      <c r="K85" s="22">
        <f>INDEX('Activity data'!K$24:K$39,MATCH(Emissions!$D85,'Activity data'!$D$24:$D$39,0))*INDEX(EF!$H$84:$H$99,MATCH(Emissions!$D85,EF!$D$84:$D$99,0))*INDEX(EF!$H$100:$H$115,MATCH(Emissions!$D85,EF!$D$100:$D$115,0))*INDEX(EF!$H$132:$H$147,MATCH(Emissions!$D85,EF!$D$132:$D$147,0))*kgtoGg</f>
        <v>0</v>
      </c>
      <c r="L85" s="22">
        <f>INDEX('Activity data'!L$24:L$39,MATCH(Emissions!$D85,'Activity data'!$D$24:$D$39,0))*INDEX(EF!$H$84:$H$99,MATCH(Emissions!$D85,EF!$D$84:$D$99,0))*INDEX(EF!$H$100:$H$115,MATCH(Emissions!$D85,EF!$D$100:$D$115,0))*INDEX(EF!$H$132:$H$147,MATCH(Emissions!$D85,EF!$D$132:$D$147,0))*kgtoGg</f>
        <v>0</v>
      </c>
      <c r="M85" s="22">
        <f>INDEX('Activity data'!M$24:M$39,MATCH(Emissions!$D85,'Activity data'!$D$24:$D$39,0))*INDEX(EF!$H$84:$H$99,MATCH(Emissions!$D85,EF!$D$84:$D$99,0))*INDEX(EF!$H$100:$H$115,MATCH(Emissions!$D85,EF!$D$100:$D$115,0))*INDEX(EF!$H$132:$H$147,MATCH(Emissions!$D85,EF!$D$132:$D$147,0))*kgtoGg</f>
        <v>0</v>
      </c>
      <c r="N85" s="22">
        <f>INDEX('Activity data'!N$24:N$39,MATCH(Emissions!$D85,'Activity data'!$D$24:$D$39,0))*INDEX(EF!$H$84:$H$99,MATCH(Emissions!$D85,EF!$D$84:$D$99,0))*INDEX(EF!$H$100:$H$115,MATCH(Emissions!$D85,EF!$D$100:$D$115,0))*INDEX(EF!$H$132:$H$147,MATCH(Emissions!$D85,EF!$D$132:$D$147,0))*kgtoGg</f>
        <v>0</v>
      </c>
      <c r="O85" s="22">
        <f>INDEX('Activity data'!O$24:O$39,MATCH(Emissions!$D85,'Activity data'!$D$24:$D$39,0))*INDEX(EF!$H$84:$H$99,MATCH(Emissions!$D85,EF!$D$84:$D$99,0))*INDEX(EF!$H$100:$H$115,MATCH(Emissions!$D85,EF!$D$100:$D$115,0))*INDEX(EF!$H$132:$H$147,MATCH(Emissions!$D85,EF!$D$132:$D$147,0))*kgtoGg</f>
        <v>0</v>
      </c>
      <c r="P85" s="22">
        <f>INDEX('Activity data'!P$24:P$39,MATCH(Emissions!$D85,'Activity data'!$D$24:$D$39,0))*INDEX(EF!$H$84:$H$99,MATCH(Emissions!$D85,EF!$D$84:$D$99,0))*INDEX(EF!$H$100:$H$115,MATCH(Emissions!$D85,EF!$D$100:$D$115,0))*INDEX(EF!$H$132:$H$147,MATCH(Emissions!$D85,EF!$D$132:$D$147,0))*kgtoGg</f>
        <v>0</v>
      </c>
      <c r="Q85" s="22">
        <f>INDEX('Activity data'!Q$24:Q$39,MATCH(Emissions!$D85,'Activity data'!$D$24:$D$39,0))*INDEX(EF!$H$84:$H$99,MATCH(Emissions!$D85,EF!$D$84:$D$99,0))*INDEX(EF!$H$100:$H$115,MATCH(Emissions!$D85,EF!$D$100:$D$115,0))*INDEX(EF!$H$132:$H$147,MATCH(Emissions!$D85,EF!$D$132:$D$147,0))*kgtoGg</f>
        <v>0</v>
      </c>
      <c r="R85" s="22">
        <f>INDEX('Activity data'!R$24:R$39,MATCH(Emissions!$D85,'Activity data'!$D$24:$D$39,0))*INDEX(EF!$H$84:$H$99,MATCH(Emissions!$D85,EF!$D$84:$D$99,0))*INDEX(EF!$H$100:$H$115,MATCH(Emissions!$D85,EF!$D$100:$D$115,0))*INDEX(EF!$H$132:$H$147,MATCH(Emissions!$D85,EF!$D$132:$D$147,0))*kgtoGg</f>
        <v>0</v>
      </c>
      <c r="S85" s="22">
        <f>INDEX('Activity data'!S$24:S$39,MATCH(Emissions!$D85,'Activity data'!$D$24:$D$39,0))*INDEX(EF!$H$84:$H$99,MATCH(Emissions!$D85,EF!$D$84:$D$99,0))*INDEX(EF!$H$100:$H$115,MATCH(Emissions!$D85,EF!$D$100:$D$115,0))*INDEX(EF!$H$132:$H$147,MATCH(Emissions!$D85,EF!$D$132:$D$147,0))*kgtoGg</f>
        <v>0</v>
      </c>
      <c r="T85" s="22">
        <f>INDEX('Activity data'!T$24:T$39,MATCH(Emissions!$D85,'Activity data'!$D$24:$D$39,0))*INDEX(EF!$H$84:$H$99,MATCH(Emissions!$D85,EF!$D$84:$D$99,0))*INDEX(EF!$H$100:$H$115,MATCH(Emissions!$D85,EF!$D$100:$D$115,0))*INDEX(EF!$H$132:$H$147,MATCH(Emissions!$D85,EF!$D$132:$D$147,0))*kgtoGg</f>
        <v>0</v>
      </c>
      <c r="U85" s="22">
        <f>INDEX('Activity data'!U$24:U$39,MATCH(Emissions!$D85,'Activity data'!$D$24:$D$39,0))*INDEX(EF!$H$84:$H$99,MATCH(Emissions!$D85,EF!$D$84:$D$99,0))*INDEX(EF!$H$100:$H$115,MATCH(Emissions!$D85,EF!$D$100:$D$115,0))*INDEX(EF!$H$132:$H$147,MATCH(Emissions!$D85,EF!$D$132:$D$147,0))*kgtoGg</f>
        <v>0</v>
      </c>
      <c r="V85" s="22">
        <f>INDEX('Activity data'!V$24:V$39,MATCH(Emissions!$D85,'Activity data'!$D$24:$D$39,0))*INDEX(EF!$H$84:$H$99,MATCH(Emissions!$D85,EF!$D$84:$D$99,0))*INDEX(EF!$H$100:$H$115,MATCH(Emissions!$D85,EF!$D$100:$D$115,0))*INDEX(EF!$H$132:$H$147,MATCH(Emissions!$D85,EF!$D$132:$D$147,0))*kgtoGg</f>
        <v>0</v>
      </c>
      <c r="W85" s="22">
        <f>INDEX('Activity data'!W$24:W$39,MATCH(Emissions!$D85,'Activity data'!$D$24:$D$39,0))*INDEX(EF!$H$84:$H$99,MATCH(Emissions!$D85,EF!$D$84:$D$99,0))*INDEX(EF!$H$100:$H$115,MATCH(Emissions!$D85,EF!$D$100:$D$115,0))*INDEX(EF!$H$132:$H$147,MATCH(Emissions!$D85,EF!$D$132:$D$147,0))*kgtoGg</f>
        <v>0</v>
      </c>
      <c r="X85" s="22">
        <f>INDEX('Activity data'!X$24:X$39,MATCH(Emissions!$D85,'Activity data'!$D$24:$D$39,0))*INDEX(EF!$H$84:$H$99,MATCH(Emissions!$D85,EF!$D$84:$D$99,0))*INDEX(EF!$H$100:$H$115,MATCH(Emissions!$D85,EF!$D$100:$D$115,0))*INDEX(EF!$H$132:$H$147,MATCH(Emissions!$D85,EF!$D$132:$D$147,0))*kgtoGg</f>
        <v>0</v>
      </c>
      <c r="Y85" s="22">
        <f>INDEX('Activity data'!Y$24:Y$39,MATCH(Emissions!$D85,'Activity data'!$D$24:$D$39,0))*INDEX(EF!$H$84:$H$99,MATCH(Emissions!$D85,EF!$D$84:$D$99,0))*INDEX(EF!$H$100:$H$115,MATCH(Emissions!$D85,EF!$D$100:$D$115,0))*INDEX(EF!$H$132:$H$147,MATCH(Emissions!$D85,EF!$D$132:$D$147,0))*kgtoGg</f>
        <v>0</v>
      </c>
      <c r="Z85" s="22">
        <f>INDEX('Activity data'!Z$24:Z$39,MATCH(Emissions!$D85,'Activity data'!$D$24:$D$39,0))*INDEX(EF!$H$84:$H$99,MATCH(Emissions!$D85,EF!$D$84:$D$99,0))*INDEX(EF!$H$100:$H$115,MATCH(Emissions!$D85,EF!$D$100:$D$115,0))*INDEX(EF!$H$132:$H$147,MATCH(Emissions!$D85,EF!$D$132:$D$147,0))*kgtoGg</f>
        <v>0</v>
      </c>
      <c r="AA85" s="22">
        <f>INDEX('Activity data'!AA$24:AA$39,MATCH(Emissions!$D85,'Activity data'!$D$24:$D$39,0))*INDEX(EF!$H$84:$H$99,MATCH(Emissions!$D85,EF!$D$84:$D$99,0))*INDEX(EF!$H$100:$H$115,MATCH(Emissions!$D85,EF!$D$100:$D$115,0))*INDEX(EF!$H$132:$H$147,MATCH(Emissions!$D85,EF!$D$132:$D$147,0))*kgtoGg</f>
        <v>0</v>
      </c>
      <c r="AB85" s="22">
        <f>INDEX('Activity data'!AB$24:AB$39,MATCH(Emissions!$D85,'Activity data'!$D$24:$D$39,0))*INDEX(EF!$H$84:$H$99,MATCH(Emissions!$D85,EF!$D$84:$D$99,0))*INDEX(EF!$H$100:$H$115,MATCH(Emissions!$D85,EF!$D$100:$D$115,0))*INDEX(EF!$H$132:$H$147,MATCH(Emissions!$D85,EF!$D$132:$D$147,0))*kgtoGg</f>
        <v>0</v>
      </c>
      <c r="AC85" s="22">
        <f>INDEX('Activity data'!AC$24:AC$39,MATCH(Emissions!$D85,'Activity data'!$D$24:$D$39,0))*INDEX(EF!$H$84:$H$99,MATCH(Emissions!$D85,EF!$D$84:$D$99,0))*INDEX(EF!$H$100:$H$115,MATCH(Emissions!$D85,EF!$D$100:$D$115,0))*INDEX(EF!$H$132:$H$147,MATCH(Emissions!$D85,EF!$D$132:$D$147,0))*kgtoGg</f>
        <v>0</v>
      </c>
      <c r="AD85" s="22">
        <f>INDEX('Activity data'!AD$24:AD$39,MATCH(Emissions!$D85,'Activity data'!$D$24:$D$39,0))*INDEX(EF!$H$84:$H$99,MATCH(Emissions!$D85,EF!$D$84:$D$99,0))*INDEX(EF!$H$100:$H$115,MATCH(Emissions!$D85,EF!$D$100:$D$115,0))*INDEX(EF!$H$132:$H$147,MATCH(Emissions!$D85,EF!$D$132:$D$147,0))*kgtoGg</f>
        <v>0</v>
      </c>
      <c r="AE85" s="22">
        <f>INDEX('Activity data'!AE$24:AE$39,MATCH(Emissions!$D85,'Activity data'!$D$24:$D$39,0))*INDEX(EF!$H$84:$H$99,MATCH(Emissions!$D85,EF!$D$84:$D$99,0))*INDEX(EF!$H$100:$H$115,MATCH(Emissions!$D85,EF!$D$100:$D$115,0))*INDEX(EF!$H$132:$H$147,MATCH(Emissions!$D85,EF!$D$132:$D$147,0))*kgtoGg</f>
        <v>0</v>
      </c>
      <c r="AF85" s="22">
        <f>INDEX('Activity data'!AF$24:AF$39,MATCH(Emissions!$D85,'Activity data'!$D$24:$D$39,0))*INDEX(EF!$H$84:$H$99,MATCH(Emissions!$D85,EF!$D$84:$D$99,0))*INDEX(EF!$H$100:$H$115,MATCH(Emissions!$D85,EF!$D$100:$D$115,0))*INDEX(EF!$H$132:$H$147,MATCH(Emissions!$D85,EF!$D$132:$D$147,0))*kgtoGg</f>
        <v>0</v>
      </c>
      <c r="AG85" s="22">
        <f>INDEX('Activity data'!AG$24:AG$39,MATCH(Emissions!$D85,'Activity data'!$D$24:$D$39,0))*INDEX(EF!$H$84:$H$99,MATCH(Emissions!$D85,EF!$D$84:$D$99,0))*INDEX(EF!$H$100:$H$115,MATCH(Emissions!$D85,EF!$D$100:$D$115,0))*INDEX(EF!$H$132:$H$147,MATCH(Emissions!$D85,EF!$D$132:$D$147,0))*kgtoGg</f>
        <v>0</v>
      </c>
      <c r="AH85" s="22">
        <f>INDEX('Activity data'!AH$24:AH$39,MATCH(Emissions!$D85,'Activity data'!$D$24:$D$39,0))*INDEX(EF!$H$84:$H$99,MATCH(Emissions!$D85,EF!$D$84:$D$99,0))*INDEX(EF!$H$100:$H$115,MATCH(Emissions!$D85,EF!$D$100:$D$115,0))*INDEX(EF!$H$132:$H$147,MATCH(Emissions!$D85,EF!$D$132:$D$147,0))*kgtoGg</f>
        <v>0</v>
      </c>
      <c r="AI85" s="22">
        <f>INDEX('Activity data'!AI$24:AI$39,MATCH(Emissions!$D85,'Activity data'!$D$24:$D$39,0))*INDEX(EF!$H$84:$H$99,MATCH(Emissions!$D85,EF!$D$84:$D$99,0))*INDEX(EF!$H$100:$H$115,MATCH(Emissions!$D85,EF!$D$100:$D$115,0))*INDEX(EF!$H$132:$H$147,MATCH(Emissions!$D85,EF!$D$132:$D$147,0))*kgtoGg</f>
        <v>0</v>
      </c>
      <c r="AJ85" s="22">
        <f>INDEX('Activity data'!AJ$24:AJ$39,MATCH(Emissions!$D85,'Activity data'!$D$24:$D$39,0))*INDEX(EF!$H$84:$H$99,MATCH(Emissions!$D85,EF!$D$84:$D$99,0))*INDEX(EF!$H$100:$H$115,MATCH(Emissions!$D85,EF!$D$100:$D$115,0))*INDEX(EF!$H$132:$H$147,MATCH(Emissions!$D85,EF!$D$132:$D$147,0))*kgtoGg</f>
        <v>0</v>
      </c>
      <c r="AK85" s="22">
        <f>INDEX('Activity data'!AK$24:AK$39,MATCH(Emissions!$D85,'Activity data'!$D$24:$D$39,0))*INDEX(EF!$H$84:$H$99,MATCH(Emissions!$D85,EF!$D$84:$D$99,0))*INDEX(EF!$H$100:$H$115,MATCH(Emissions!$D85,EF!$D$100:$D$115,0))*INDEX(EF!$H$132:$H$147,MATCH(Emissions!$D85,EF!$D$132:$D$147,0))*kgtoGg</f>
        <v>0</v>
      </c>
      <c r="AL85" s="22">
        <f>INDEX('Activity data'!AL$24:AL$39,MATCH(Emissions!$D85,'Activity data'!$D$24:$D$39,0))*INDEX(EF!$H$84:$H$99,MATCH(Emissions!$D85,EF!$D$84:$D$99,0))*INDEX(EF!$H$100:$H$115,MATCH(Emissions!$D85,EF!$D$100:$D$115,0))*INDEX(EF!$H$132:$H$147,MATCH(Emissions!$D85,EF!$D$132:$D$147,0))*kgtoGg</f>
        <v>0</v>
      </c>
      <c r="AM85" s="22">
        <f>INDEX('Activity data'!AM$24:AM$39,MATCH(Emissions!$D85,'Activity data'!$D$24:$D$39,0))*INDEX(EF!$H$84:$H$99,MATCH(Emissions!$D85,EF!$D$84:$D$99,0))*INDEX(EF!$H$100:$H$115,MATCH(Emissions!$D85,EF!$D$100:$D$115,0))*INDEX(EF!$H$132:$H$147,MATCH(Emissions!$D85,EF!$D$132:$D$147,0))*kgtoGg</f>
        <v>0</v>
      </c>
      <c r="AN85" s="22">
        <f>INDEX('Activity data'!AN$24:AN$39,MATCH(Emissions!$D85,'Activity data'!$D$24:$D$39,0))*INDEX(EF!$H$84:$H$99,MATCH(Emissions!$D85,EF!$D$84:$D$99,0))*INDEX(EF!$H$100:$H$115,MATCH(Emissions!$D85,EF!$D$100:$D$115,0))*INDEX(EF!$H$132:$H$147,MATCH(Emissions!$D85,EF!$D$132:$D$147,0))*kgtoGg</f>
        <v>0</v>
      </c>
      <c r="AO85" s="22">
        <f>INDEX('Activity data'!AO$24:AO$39,MATCH(Emissions!$D85,'Activity data'!$D$24:$D$39,0))*INDEX(EF!$H$84:$H$99,MATCH(Emissions!$D85,EF!$D$84:$D$99,0))*INDEX(EF!$H$100:$H$115,MATCH(Emissions!$D85,EF!$D$100:$D$115,0))*INDEX(EF!$H$132:$H$147,MATCH(Emissions!$D85,EF!$D$132:$D$147,0))*kgtoGg</f>
        <v>0</v>
      </c>
      <c r="AP85" s="22">
        <f>INDEX('Activity data'!AP$24:AP$39,MATCH(Emissions!$D85,'Activity data'!$D$24:$D$39,0))*INDEX(EF!$H$84:$H$99,MATCH(Emissions!$D85,EF!$D$84:$D$99,0))*INDEX(EF!$H$100:$H$115,MATCH(Emissions!$D85,EF!$D$100:$D$115,0))*INDEX(EF!$H$132:$H$147,MATCH(Emissions!$D85,EF!$D$132:$D$147,0))*kgtoGg</f>
        <v>0</v>
      </c>
      <c r="AQ85" s="22">
        <f>INDEX('Activity data'!AQ$24:AQ$39,MATCH(Emissions!$D85,'Activity data'!$D$24:$D$39,0))*INDEX(EF!$H$84:$H$99,MATCH(Emissions!$D85,EF!$D$84:$D$99,0))*INDEX(EF!$H$100:$H$115,MATCH(Emissions!$D85,EF!$D$100:$D$115,0))*INDEX(EF!$H$132:$H$147,MATCH(Emissions!$D85,EF!$D$132:$D$147,0))*kgtoGg</f>
        <v>0</v>
      </c>
      <c r="AR85" s="22">
        <f>INDEX('Activity data'!AR$24:AR$39,MATCH(Emissions!$D85,'Activity data'!$D$24:$D$39,0))*INDEX(EF!$H$84:$H$99,MATCH(Emissions!$D85,EF!$D$84:$D$99,0))*INDEX(EF!$H$100:$H$115,MATCH(Emissions!$D85,EF!$D$100:$D$115,0))*INDEX(EF!$H$132:$H$147,MATCH(Emissions!$D85,EF!$D$132:$D$147,0))*kgtoGg</f>
        <v>0</v>
      </c>
      <c r="AS85" s="22">
        <f>INDEX('Activity data'!AS$24:AS$39,MATCH(Emissions!$D85,'Activity data'!$D$24:$D$39,0))*INDEX(EF!$H$84:$H$99,MATCH(Emissions!$D85,EF!$D$84:$D$99,0))*INDEX(EF!$H$100:$H$115,MATCH(Emissions!$D85,EF!$D$100:$D$115,0))*INDEX(EF!$H$132:$H$147,MATCH(Emissions!$D85,EF!$D$132:$D$147,0))*kgtoGg</f>
        <v>0</v>
      </c>
      <c r="AT85" s="22">
        <f>INDEX('Activity data'!AT$24:AT$39,MATCH(Emissions!$D85,'Activity data'!$D$24:$D$39,0))*INDEX(EF!$H$84:$H$99,MATCH(Emissions!$D85,EF!$D$84:$D$99,0))*INDEX(EF!$H$100:$H$115,MATCH(Emissions!$D85,EF!$D$100:$D$115,0))*INDEX(EF!$H$132:$H$147,MATCH(Emissions!$D85,EF!$D$132:$D$147,0))*kgtoGg</f>
        <v>0</v>
      </c>
      <c r="AU85" s="22">
        <f>INDEX('Activity data'!AU$24:AU$39,MATCH(Emissions!$D85,'Activity data'!$D$24:$D$39,0))*INDEX(EF!$H$84:$H$99,MATCH(Emissions!$D85,EF!$D$84:$D$99,0))*INDEX(EF!$H$100:$H$115,MATCH(Emissions!$D85,EF!$D$100:$D$115,0))*INDEX(EF!$H$132:$H$147,MATCH(Emissions!$D85,EF!$D$132:$D$147,0))*kgtoGg</f>
        <v>0</v>
      </c>
      <c r="AV85" s="22">
        <f>INDEX('Activity data'!AV$24:AV$39,MATCH(Emissions!$D85,'Activity data'!$D$24:$D$39,0))*INDEX(EF!$H$84:$H$99,MATCH(Emissions!$D85,EF!$D$84:$D$99,0))*INDEX(EF!$H$100:$H$115,MATCH(Emissions!$D85,EF!$D$100:$D$115,0))*INDEX(EF!$H$132:$H$147,MATCH(Emissions!$D85,EF!$D$132:$D$147,0))*kgtoGg</f>
        <v>0</v>
      </c>
      <c r="AW85" s="22">
        <f>INDEX('Activity data'!AW$24:AW$39,MATCH(Emissions!$D85,'Activity data'!$D$24:$D$39,0))*INDEX(EF!$H$84:$H$99,MATCH(Emissions!$D85,EF!$D$84:$D$99,0))*INDEX(EF!$H$100:$H$115,MATCH(Emissions!$D85,EF!$D$100:$D$115,0))*INDEX(EF!$H$132:$H$147,MATCH(Emissions!$D85,EF!$D$132:$D$147,0))*kgtoGg</f>
        <v>0</v>
      </c>
      <c r="AX85" s="22">
        <f>INDEX('Activity data'!AX$24:AX$39,MATCH(Emissions!$D85,'Activity data'!$D$24:$D$39,0))*INDEX(EF!$H$84:$H$99,MATCH(Emissions!$D85,EF!$D$84:$D$99,0))*INDEX(EF!$H$100:$H$115,MATCH(Emissions!$D85,EF!$D$100:$D$115,0))*INDEX(EF!$H$132:$H$147,MATCH(Emissions!$D85,EF!$D$132:$D$147,0))*kgtoGg</f>
        <v>0</v>
      </c>
      <c r="AY85" s="22">
        <f>INDEX('Activity data'!AY$24:AY$39,MATCH(Emissions!$D85,'Activity data'!$D$24:$D$39,0))*INDEX(EF!$H$84:$H$99,MATCH(Emissions!$D85,EF!$D$84:$D$99,0))*INDEX(EF!$H$100:$H$115,MATCH(Emissions!$D85,EF!$D$100:$D$115,0))*INDEX(EF!$H$132:$H$147,MATCH(Emissions!$D85,EF!$D$132:$D$147,0))*kgtoGg</f>
        <v>0</v>
      </c>
      <c r="AZ85" s="22">
        <f>INDEX('Activity data'!AZ$24:AZ$39,MATCH(Emissions!$D85,'Activity data'!$D$24:$D$39,0))*INDEX(EF!$H$84:$H$99,MATCH(Emissions!$D85,EF!$D$84:$D$99,0))*INDEX(EF!$H$100:$H$115,MATCH(Emissions!$D85,EF!$D$100:$D$115,0))*INDEX(EF!$H$132:$H$147,MATCH(Emissions!$D85,EF!$D$132:$D$147,0))*kgtoGg</f>
        <v>0</v>
      </c>
      <c r="BA85" s="22">
        <f>INDEX('Activity data'!BA$24:BA$39,MATCH(Emissions!$D85,'Activity data'!$D$24:$D$39,0))*INDEX(EF!$H$84:$H$99,MATCH(Emissions!$D85,EF!$D$84:$D$99,0))*INDEX(EF!$H$100:$H$115,MATCH(Emissions!$D85,EF!$D$100:$D$115,0))*INDEX(EF!$H$132:$H$147,MATCH(Emissions!$D85,EF!$D$132:$D$147,0))*kgtoGg</f>
        <v>0</v>
      </c>
      <c r="BB85" s="22">
        <f>INDEX('Activity data'!BB$24:BB$39,MATCH(Emissions!$D85,'Activity data'!$D$24:$D$39,0))*INDEX(EF!$H$84:$H$99,MATCH(Emissions!$D85,EF!$D$84:$D$99,0))*INDEX(EF!$H$100:$H$115,MATCH(Emissions!$D85,EF!$D$100:$D$115,0))*INDEX(EF!$H$132:$H$147,MATCH(Emissions!$D85,EF!$D$132:$D$147,0))*kgtoGg</f>
        <v>0</v>
      </c>
      <c r="BC85" s="22">
        <f>INDEX('Activity data'!BC$24:BC$39,MATCH(Emissions!$D85,'Activity data'!$D$24:$D$39,0))*INDEX(EF!$H$84:$H$99,MATCH(Emissions!$D85,EF!$D$84:$D$99,0))*INDEX(EF!$H$100:$H$115,MATCH(Emissions!$D85,EF!$D$100:$D$115,0))*INDEX(EF!$H$132:$H$147,MATCH(Emissions!$D85,EF!$D$132:$D$147,0))*kgtoGg</f>
        <v>0</v>
      </c>
      <c r="BD85" s="22">
        <f>INDEX('Activity data'!BD$24:BD$39,MATCH(Emissions!$D85,'Activity data'!$D$24:$D$39,0))*INDEX(EF!$H$84:$H$99,MATCH(Emissions!$D85,EF!$D$84:$D$99,0))*INDEX(EF!$H$100:$H$115,MATCH(Emissions!$D85,EF!$D$100:$D$115,0))*INDEX(EF!$H$132:$H$147,MATCH(Emissions!$D85,EF!$D$132:$D$147,0))*kgtoGg</f>
        <v>0</v>
      </c>
      <c r="BE85" s="22">
        <f>INDEX('Activity data'!BE$24:BE$39,MATCH(Emissions!$D85,'Activity data'!$D$24:$D$39,0))*INDEX(EF!$H$84:$H$99,MATCH(Emissions!$D85,EF!$D$84:$D$99,0))*INDEX(EF!$H$100:$H$115,MATCH(Emissions!$D85,EF!$D$100:$D$115,0))*INDEX(EF!$H$132:$H$147,MATCH(Emissions!$D85,EF!$D$132:$D$147,0))*kgtoGg</f>
        <v>0</v>
      </c>
      <c r="BF85" s="22">
        <f>INDEX('Activity data'!BF$24:BF$39,MATCH(Emissions!$D85,'Activity data'!$D$24:$D$39,0))*INDEX(EF!$H$84:$H$99,MATCH(Emissions!$D85,EF!$D$84:$D$99,0))*INDEX(EF!$H$100:$H$115,MATCH(Emissions!$D85,EF!$D$100:$D$115,0))*INDEX(EF!$H$132:$H$147,MATCH(Emissions!$D85,EF!$D$132:$D$147,0))*kgtoGg</f>
        <v>0</v>
      </c>
      <c r="BG85" s="22">
        <f>INDEX('Activity data'!BG$24:BG$39,MATCH(Emissions!$D85,'Activity data'!$D$24:$D$39,0))*INDEX(EF!$H$84:$H$99,MATCH(Emissions!$D85,EF!$D$84:$D$99,0))*INDEX(EF!$H$100:$H$115,MATCH(Emissions!$D85,EF!$D$100:$D$115,0))*INDEX(EF!$H$132:$H$147,MATCH(Emissions!$D85,EF!$D$132:$D$147,0))*kgtoGg</f>
        <v>0</v>
      </c>
      <c r="BH85" s="22">
        <f>INDEX('Activity data'!BH$24:BH$39,MATCH(Emissions!$D85,'Activity data'!$D$24:$D$39,0))*INDEX(EF!$H$84:$H$99,MATCH(Emissions!$D85,EF!$D$84:$D$99,0))*INDEX(EF!$H$100:$H$115,MATCH(Emissions!$D85,EF!$D$100:$D$115,0))*INDEX(EF!$H$132:$H$147,MATCH(Emissions!$D85,EF!$D$132:$D$147,0))*kgtoGg</f>
        <v>0</v>
      </c>
      <c r="BI85" s="22">
        <f>INDEX('Activity data'!BI$24:BI$39,MATCH(Emissions!$D85,'Activity data'!$D$24:$D$39,0))*INDEX(EF!$H$84:$H$99,MATCH(Emissions!$D85,EF!$D$84:$D$99,0))*INDEX(EF!$H$100:$H$115,MATCH(Emissions!$D85,EF!$D$100:$D$115,0))*INDEX(EF!$H$132:$H$147,MATCH(Emissions!$D85,EF!$D$132:$D$147,0))*kgtoGg</f>
        <v>0</v>
      </c>
      <c r="BJ85" s="22">
        <f>INDEX('Activity data'!BJ$24:BJ$39,MATCH(Emissions!$D85,'Activity data'!$D$24:$D$39,0))*INDEX(EF!$H$84:$H$99,MATCH(Emissions!$D85,EF!$D$84:$D$99,0))*INDEX(EF!$H$100:$H$115,MATCH(Emissions!$D85,EF!$D$100:$D$115,0))*INDEX(EF!$H$132:$H$147,MATCH(Emissions!$D85,EF!$D$132:$D$147,0))*kgtoGg</f>
        <v>0</v>
      </c>
      <c r="BK85" s="22">
        <f>INDEX('Activity data'!BK$24:BK$39,MATCH(Emissions!$D85,'Activity data'!$D$24:$D$39,0))*INDEX(EF!$H$84:$H$99,MATCH(Emissions!$D85,EF!$D$84:$D$99,0))*INDEX(EF!$H$100:$H$115,MATCH(Emissions!$D85,EF!$D$100:$D$115,0))*INDEX(EF!$H$132:$H$147,MATCH(Emissions!$D85,EF!$D$132:$D$147,0))*kgtoGg</f>
        <v>0</v>
      </c>
      <c r="BL85" s="22">
        <f>INDEX('Activity data'!BL$24:BL$39,MATCH(Emissions!$D85,'Activity data'!$D$24:$D$39,0))*INDEX(EF!$H$84:$H$99,MATCH(Emissions!$D85,EF!$D$84:$D$99,0))*INDEX(EF!$H$100:$H$115,MATCH(Emissions!$D85,EF!$D$100:$D$115,0))*INDEX(EF!$H$132:$H$147,MATCH(Emissions!$D85,EF!$D$132:$D$147,0))*kgtoGg</f>
        <v>0</v>
      </c>
      <c r="BM85" s="22">
        <f>INDEX('Activity data'!BM$24:BM$39,MATCH(Emissions!$D85,'Activity data'!$D$24:$D$39,0))*INDEX(EF!$H$84:$H$99,MATCH(Emissions!$D85,EF!$D$84:$D$99,0))*INDEX(EF!$H$100:$H$115,MATCH(Emissions!$D85,EF!$D$100:$D$115,0))*INDEX(EF!$H$132:$H$147,MATCH(Emissions!$D85,EF!$D$132:$D$147,0))*kgtoGg</f>
        <v>0</v>
      </c>
      <c r="BN85" s="22">
        <f>INDEX('Activity data'!BN$24:BN$39,MATCH(Emissions!$D85,'Activity data'!$D$24:$D$39,0))*INDEX(EF!$H$84:$H$99,MATCH(Emissions!$D85,EF!$D$84:$D$99,0))*INDEX(EF!$H$100:$H$115,MATCH(Emissions!$D85,EF!$D$100:$D$115,0))*INDEX(EF!$H$132:$H$147,MATCH(Emissions!$D85,EF!$D$132:$D$147,0))*kgtoGg</f>
        <v>0</v>
      </c>
      <c r="BO85" s="22">
        <f>INDEX('Activity data'!BO$24:BO$39,MATCH(Emissions!$D85,'Activity data'!$D$24:$D$39,0))*INDEX(EF!$H$84:$H$99,MATCH(Emissions!$D85,EF!$D$84:$D$99,0))*INDEX(EF!$H$100:$H$115,MATCH(Emissions!$D85,EF!$D$100:$D$115,0))*INDEX(EF!$H$132:$H$147,MATCH(Emissions!$D85,EF!$D$132:$D$147,0))*kgtoGg</f>
        <v>0</v>
      </c>
      <c r="BP85" s="22">
        <f>INDEX('Activity data'!BP$24:BP$39,MATCH(Emissions!$D85,'Activity data'!$D$24:$D$39,0))*INDEX(EF!$H$84:$H$99,MATCH(Emissions!$D85,EF!$D$84:$D$99,0))*INDEX(EF!$H$100:$H$115,MATCH(Emissions!$D85,EF!$D$100:$D$115,0))*INDEX(EF!$H$132:$H$147,MATCH(Emissions!$D85,EF!$D$132:$D$147,0))*kgtoGg</f>
        <v>0</v>
      </c>
    </row>
    <row r="86" spans="1:68" x14ac:dyDescent="0.25">
      <c r="A86" t="str">
        <f>A85</f>
        <v>3C Aggregated and non-CO2 emissions on land</v>
      </c>
      <c r="B86" t="str">
        <f>'IPCC Categories'!B71</f>
        <v>3C2 Liming (CO2)</v>
      </c>
      <c r="E86" t="s">
        <v>381</v>
      </c>
      <c r="F86" t="s">
        <v>380</v>
      </c>
      <c r="G86" t="s">
        <v>382</v>
      </c>
      <c r="H86" s="22">
        <f>'Activity data'!H45*EF!$H$149*CtoCO2*ttoGg</f>
        <v>357.5</v>
      </c>
      <c r="I86" s="22">
        <f>'Activity data'!I45*EF!$H$149*CtoCO2*ttoGg</f>
        <v>378.125</v>
      </c>
      <c r="J86" s="22">
        <f>'Activity data'!J45*EF!$H$149*CtoCO2*ttoGg</f>
        <v>261.25</v>
      </c>
      <c r="K86" s="22">
        <f>'Activity data'!K45*EF!$H$149*CtoCO2*ttoGg</f>
        <v>412.5</v>
      </c>
      <c r="L86" s="22">
        <f>'Activity data'!L45*EF!$H$149*CtoCO2*ttoGg</f>
        <v>595.58170833333327</v>
      </c>
      <c r="M86" s="22">
        <f>'Activity data'!M45*EF!$H$149*CtoCO2*ttoGg</f>
        <v>473.34145833333332</v>
      </c>
      <c r="N86" s="22">
        <f>'Activity data'!N45*EF!$H$149*CtoCO2*ttoGg</f>
        <v>579.13625000000002</v>
      </c>
      <c r="O86" s="22">
        <f>'Activity data'!O45*EF!$H$149*CtoCO2*ttoGg</f>
        <v>547.24312499999996</v>
      </c>
      <c r="P86" s="22">
        <f>'Activity data'!P45*EF!$H$149*CtoCO2*ttoGg</f>
        <v>570.31379166666659</v>
      </c>
      <c r="Q86" s="22">
        <f>'Activity data'!Q45*EF!$H$149*CtoCO2*ttoGg</f>
        <v>567.03808333333325</v>
      </c>
      <c r="R86" s="22">
        <f>'Activity data'!R45*EF!$H$149*CtoCO2*ttoGg</f>
        <v>378.2405</v>
      </c>
      <c r="S86" s="22">
        <f>'Activity data'!S45*EF!$H$149*CtoCO2*ttoGg</f>
        <v>489.66362500000002</v>
      </c>
      <c r="T86" s="22">
        <f>'Activity data'!T45*EF!$H$149*CtoCO2*ttoGg</f>
        <v>672.79437500000006</v>
      </c>
      <c r="U86" s="22">
        <f>'Activity data'!U45*EF!$H$149*CtoCO2*ttoGg</f>
        <v>580.13175000000001</v>
      </c>
      <c r="V86" s="22">
        <f>'Activity data'!V45*EF!$H$149*CtoCO2*ttoGg</f>
        <v>579.7403333333333</v>
      </c>
      <c r="W86" s="22">
        <f>'Activity data'!W45*EF!$H$149*CtoCO2*ttoGg</f>
        <v>266.03683333333333</v>
      </c>
      <c r="X86" s="22">
        <f>'Activity data'!X45*EF!$H$149*CtoCO2*ttoGg</f>
        <v>441.42908333333332</v>
      </c>
      <c r="Y86" s="22">
        <f>'Activity data'!Y45*EF!$H$149*CtoCO2*ttoGg</f>
        <v>521.42108333333329</v>
      </c>
      <c r="Z86" s="22">
        <f>'Activity data'!Z45*EF!$H$149*CtoCO2*ttoGg</f>
        <v>655.32637499999998</v>
      </c>
      <c r="AA86" s="22">
        <f>'Activity data'!AA45*EF!$H$149*CtoCO2*ttoGg</f>
        <v>695.56775237855516</v>
      </c>
      <c r="AB86" s="22">
        <f>'Activity data'!AB45*EF!$H$149*CtoCO2*ttoGg</f>
        <v>653.23730656422072</v>
      </c>
      <c r="AC86" s="22">
        <f>'Activity data'!AC45*EF!$H$149*CtoCO2*ttoGg</f>
        <v>722.61220387104663</v>
      </c>
      <c r="AD86" s="22">
        <f>'Activity data'!AD45*EF!$H$149*CtoCO2*ttoGg</f>
        <v>886.46691832724639</v>
      </c>
      <c r="AE86" s="22">
        <f>'Activity data'!AE45*EF!$H$149*CtoCO2*ttoGg</f>
        <v>888.57220041675475</v>
      </c>
      <c r="AF86" s="22">
        <f>'Activity data'!AF45*EF!$H$149*CtoCO2*ttoGg</f>
        <v>892.19156964654962</v>
      </c>
      <c r="AG86" s="22">
        <f>'Activity data'!AG45*EF!$H$149*CtoCO2*ttoGg</f>
        <v>894.68344635299957</v>
      </c>
      <c r="AH86" s="22">
        <f>'Activity data'!AH45*EF!$H$149*CtoCO2*ttoGg</f>
        <v>896.27078676473502</v>
      </c>
      <c r="AI86" s="22">
        <f>'Activity data'!AI45*EF!$H$149*CtoCO2*ttoGg</f>
        <v>897.27224451810355</v>
      </c>
      <c r="AJ86" s="22">
        <f>'Activity data'!AJ45*EF!$H$149*CtoCO2*ttoGg</f>
        <v>898.67094870860296</v>
      </c>
      <c r="AK86" s="22">
        <f>'Activity data'!AK45*EF!$H$149*CtoCO2*ttoGg</f>
        <v>900.30367420709717</v>
      </c>
      <c r="AL86" s="22">
        <f>'Activity data'!AL45*EF!$H$149*CtoCO2*ttoGg</f>
        <v>901.86406343716328</v>
      </c>
      <c r="AM86" s="22">
        <f>'Activity data'!AM45*EF!$H$149*CtoCO2*ttoGg</f>
        <v>889.86106938580019</v>
      </c>
      <c r="AN86" s="22">
        <f>'Activity data'!AN45*EF!$H$149*CtoCO2*ttoGg</f>
        <v>892.97507388479505</v>
      </c>
      <c r="AO86" s="22">
        <f>'Activity data'!AO45*EF!$H$149*CtoCO2*ttoGg</f>
        <v>896.07553395869502</v>
      </c>
      <c r="AP86" s="22">
        <f>'Activity data'!AP45*EF!$H$149*CtoCO2*ttoGg</f>
        <v>899.44305778392913</v>
      </c>
      <c r="AQ86" s="22">
        <f>'Activity data'!AQ45*EF!$H$149*CtoCO2*ttoGg</f>
        <v>902.96637712116114</v>
      </c>
      <c r="AR86" s="22">
        <f>'Activity data'!AR45*EF!$H$149*CtoCO2*ttoGg</f>
        <v>906.3941358876524</v>
      </c>
      <c r="AS86" s="22">
        <f>'Activity data'!AS45*EF!$H$149*CtoCO2*ttoGg</f>
        <v>910.24311454774499</v>
      </c>
      <c r="AT86" s="22">
        <f>'Activity data'!AT45*EF!$H$149*CtoCO2*ttoGg</f>
        <v>914.15546308071282</v>
      </c>
      <c r="AU86" s="22">
        <f>'Activity data'!AU45*EF!$H$149*CtoCO2*ttoGg</f>
        <v>918.19441534035502</v>
      </c>
      <c r="AV86" s="22">
        <f>'Activity data'!AV45*EF!$H$149*CtoCO2*ttoGg</f>
        <v>922.28021422526683</v>
      </c>
      <c r="AW86" s="22">
        <f>'Activity data'!AW45*EF!$H$149*CtoCO2*ttoGg</f>
        <v>925.70605472938325</v>
      </c>
      <c r="AX86" s="22">
        <f>'Activity data'!AX45*EF!$H$149*CtoCO2*ttoGg</f>
        <v>929.89417531547485</v>
      </c>
      <c r="AY86" s="22">
        <f>'Activity data'!AY45*EF!$H$149*CtoCO2*ttoGg</f>
        <v>934.08462665778677</v>
      </c>
      <c r="AZ86" s="22">
        <f>'Activity data'!AZ45*EF!$H$149*CtoCO2*ttoGg</f>
        <v>938.30058756617461</v>
      </c>
      <c r="BA86" s="22">
        <f>'Activity data'!BA45*EF!$H$149*CtoCO2*ttoGg</f>
        <v>942.27527137080324</v>
      </c>
      <c r="BB86" s="22">
        <f>'Activity data'!BB45*EF!$H$149*CtoCO2*ttoGg</f>
        <v>946.3841630491163</v>
      </c>
      <c r="BC86" s="22">
        <f>'Activity data'!BC45*EF!$H$149*CtoCO2*ttoGg</f>
        <v>950.62363015955998</v>
      </c>
      <c r="BD86" s="22">
        <f>'Activity data'!BD45*EF!$H$149*CtoCO2*ttoGg</f>
        <v>954.91732759988372</v>
      </c>
      <c r="BE86" s="22">
        <f>'Activity data'!BE45*EF!$H$149*CtoCO2*ttoGg</f>
        <v>959.08241762760497</v>
      </c>
      <c r="BF86" s="22">
        <f>'Activity data'!BF45*EF!$H$149*CtoCO2*ttoGg</f>
        <v>963.30072797715457</v>
      </c>
      <c r="BG86" s="22">
        <f>'Activity data'!BG45*EF!$H$149*CtoCO2*ttoGg</f>
        <v>967.67231460968992</v>
      </c>
      <c r="BH86" s="22">
        <f>'Activity data'!BH45*EF!$H$149*CtoCO2*ttoGg</f>
        <v>972.13931979124197</v>
      </c>
      <c r="BI86" s="22">
        <f>'Activity data'!BI45*EF!$H$149*CtoCO2*ttoGg</f>
        <v>976.67976000342844</v>
      </c>
      <c r="BJ86" s="22">
        <f>'Activity data'!BJ45*EF!$H$149*CtoCO2*ttoGg</f>
        <v>981.29410526182983</v>
      </c>
      <c r="BK86" s="22">
        <f>'Activity data'!BK45*EF!$H$149*CtoCO2*ttoGg</f>
        <v>985.97710395450372</v>
      </c>
      <c r="BL86" s="22">
        <f>'Activity data'!BL45*EF!$H$149*CtoCO2*ttoGg</f>
        <v>990.76029770884224</v>
      </c>
      <c r="BM86" s="22">
        <f>'Activity data'!BM45*EF!$H$149*CtoCO2*ttoGg</f>
        <v>995.1821554033088</v>
      </c>
      <c r="BN86" s="22">
        <f>'Activity data'!BN45*EF!$H$149*CtoCO2*ttoGg</f>
        <v>999.68860839302522</v>
      </c>
      <c r="BO86" s="22">
        <f>'Activity data'!BO45*EF!$H$149*CtoCO2*ttoGg</f>
        <v>1004.3059319994804</v>
      </c>
      <c r="BP86" s="22">
        <f>'Activity data'!BP45*EF!$H$149*CtoCO2*ttoGg</f>
        <v>1009.0424822129</v>
      </c>
    </row>
    <row r="87" spans="1:68" x14ac:dyDescent="0.25">
      <c r="A87" t="str">
        <f>A86</f>
        <v>3C Aggregated and non-CO2 emissions on land</v>
      </c>
      <c r="B87" t="str">
        <f>'IPCC Categories'!B72</f>
        <v>3C3 Urea application (CO2)</v>
      </c>
      <c r="E87" t="s">
        <v>387</v>
      </c>
      <c r="F87" t="s">
        <v>380</v>
      </c>
      <c r="G87" t="s">
        <v>382</v>
      </c>
      <c r="H87" s="22">
        <f>'Activity data'!H46*EF!$H$150*CtoCO2*ttoGg</f>
        <v>90.994567483487728</v>
      </c>
      <c r="I87" s="22">
        <f>'Activity data'!I46*EF!$H$150*CtoCO2*ttoGg</f>
        <v>111.62690198838213</v>
      </c>
      <c r="J87" s="22">
        <f>'Activity data'!J46*EF!$H$150*CtoCO2*ttoGg</f>
        <v>132.25923649327655</v>
      </c>
      <c r="K87" s="22">
        <f>'Activity data'!K46*EF!$H$150*CtoCO2*ttoGg</f>
        <v>152.89157099816552</v>
      </c>
      <c r="L87" s="22">
        <f>'Activity data'!L46*EF!$H$150*CtoCO2*ttoGg</f>
        <v>173.52390550305992</v>
      </c>
      <c r="M87" s="22">
        <f>'Activity data'!M46*EF!$H$150*CtoCO2*ttoGg</f>
        <v>194.15624000795432</v>
      </c>
      <c r="N87" s="22">
        <f>'Activity data'!N46*EF!$H$150*CtoCO2*ttoGg</f>
        <v>214.78857451284878</v>
      </c>
      <c r="O87" s="22">
        <f>'Activity data'!O46*EF!$H$150*CtoCO2*ttoGg</f>
        <v>235.42090901774316</v>
      </c>
      <c r="P87" s="22">
        <f>'Activity data'!P46*EF!$H$150*CtoCO2*ttoGg</f>
        <v>256.05324352263762</v>
      </c>
      <c r="Q87" s="22">
        <f>'Activity data'!Q46*EF!$H$150*CtoCO2*ttoGg</f>
        <v>276.68557802753202</v>
      </c>
      <c r="R87" s="22">
        <f>'Activity data'!R46*EF!$H$150*CtoCO2*ttoGg</f>
        <v>297.31791253242642</v>
      </c>
      <c r="S87" s="22">
        <f>'Activity data'!S46*EF!$H$150*CtoCO2*ttoGg</f>
        <v>317.95024703732088</v>
      </c>
      <c r="T87" s="22">
        <f>'Activity data'!T46*EF!$H$150*CtoCO2*ttoGg</f>
        <v>338.58258154220977</v>
      </c>
      <c r="U87" s="22">
        <f>'Activity data'!U46*EF!$H$150*CtoCO2*ttoGg</f>
        <v>359.21491604710423</v>
      </c>
      <c r="V87" s="22">
        <f>'Activity data'!V46*EF!$H$150*CtoCO2*ttoGg</f>
        <v>435.89846666666671</v>
      </c>
      <c r="W87" s="22">
        <f>'Activity data'!W46*EF!$H$150*CtoCO2*ttoGg</f>
        <v>355.08659999999998</v>
      </c>
      <c r="X87" s="22">
        <f>'Activity data'!X46*EF!$H$150*CtoCO2*ttoGg</f>
        <v>393.08573333333334</v>
      </c>
      <c r="Y87" s="22">
        <f>'Activity data'!Y46*EF!$H$150*CtoCO2*ttoGg</f>
        <v>484.55366666666663</v>
      </c>
      <c r="Z87" s="22">
        <f>'Activity data'!Z46*EF!$H$150*CtoCO2*ttoGg</f>
        <v>480.19253333333336</v>
      </c>
      <c r="AA87" s="22">
        <f>'Activity data'!AA46*EF!$H$150*CtoCO2*ttoGg</f>
        <v>380.54426666666666</v>
      </c>
      <c r="AB87" s="22">
        <f>'Activity data'!AB46*EF!$H$150*CtoCO2*ttoGg</f>
        <v>501.48046666666664</v>
      </c>
      <c r="AC87" s="22">
        <f>'Activity data'!AC46*EF!$H$150*CtoCO2*ttoGg</f>
        <v>571.19113333333337</v>
      </c>
      <c r="AD87" s="22">
        <f>'Activity data'!AD46*EF!$H$150*CtoCO2*ttoGg</f>
        <v>470.0955092083982</v>
      </c>
      <c r="AE87" s="22">
        <f>'Activity data'!AE46*EF!$H$150*CtoCO2*ttoGg</f>
        <v>470.04246487127125</v>
      </c>
      <c r="AF87" s="22">
        <f>'Activity data'!AF46*EF!$H$150*CtoCO2*ttoGg</f>
        <v>469.95127184656036</v>
      </c>
      <c r="AG87" s="22">
        <f>'Activity data'!AG46*EF!$H$150*CtoCO2*ttoGg</f>
        <v>469.8884869358094</v>
      </c>
      <c r="AH87" s="22">
        <f>'Activity data'!AH46*EF!$H$150*CtoCO2*ttoGg</f>
        <v>469.84849257099012</v>
      </c>
      <c r="AI87" s="22">
        <f>'Activity data'!AI46*EF!$H$150*CtoCO2*ttoGg</f>
        <v>469.82326000811753</v>
      </c>
      <c r="AJ87" s="22">
        <f>'Activity data'!AJ46*EF!$H$150*CtoCO2*ttoGg</f>
        <v>469.78801849013212</v>
      </c>
      <c r="AK87" s="22">
        <f>'Activity data'!AK46*EF!$H$150*CtoCO2*ttoGg</f>
        <v>469.74688061022079</v>
      </c>
      <c r="AL87" s="22">
        <f>'Activity data'!AL46*EF!$H$150*CtoCO2*ttoGg</f>
        <v>469.70756530288918</v>
      </c>
      <c r="AM87" s="22">
        <f>'Activity data'!AM46*EF!$H$150*CtoCO2*ttoGg</f>
        <v>470.00999074324488</v>
      </c>
      <c r="AN87" s="22">
        <f>'Activity data'!AN46*EF!$H$150*CtoCO2*ttoGg</f>
        <v>469.93153080417898</v>
      </c>
      <c r="AO87" s="22">
        <f>'Activity data'!AO46*EF!$H$150*CtoCO2*ttoGg</f>
        <v>469.8534121281935</v>
      </c>
      <c r="AP87" s="22">
        <f>'Activity data'!AP46*EF!$H$150*CtoCO2*ttoGg</f>
        <v>469.76856455837913</v>
      </c>
      <c r="AQ87" s="22">
        <f>'Activity data'!AQ46*EF!$H$150*CtoCO2*ttoGg</f>
        <v>469.67979159077481</v>
      </c>
      <c r="AR87" s="22">
        <f>'Activity data'!AR46*EF!$H$150*CtoCO2*ttoGg</f>
        <v>469.59342635140592</v>
      </c>
      <c r="AS87" s="22">
        <f>'Activity data'!AS46*EF!$H$150*CtoCO2*ttoGg</f>
        <v>469.49644812570511</v>
      </c>
      <c r="AT87" s="22">
        <f>'Activity data'!AT46*EF!$H$150*CtoCO2*ttoGg</f>
        <v>469.39787324323459</v>
      </c>
      <c r="AU87" s="22">
        <f>'Activity data'!AU46*EF!$H$150*CtoCO2*ttoGg</f>
        <v>469.29610847433844</v>
      </c>
      <c r="AV87" s="22">
        <f>'Activity data'!AV46*EF!$H$150*CtoCO2*ttoGg</f>
        <v>469.19316336566925</v>
      </c>
      <c r="AW87" s="22">
        <f>'Activity data'!AW46*EF!$H$150*CtoCO2*ttoGg</f>
        <v>469.10684645851984</v>
      </c>
      <c r="AX87" s="22">
        <f>'Activity data'!AX46*EF!$H$150*CtoCO2*ttoGg</f>
        <v>469.00132326929798</v>
      </c>
      <c r="AY87" s="22">
        <f>'Activity data'!AY46*EF!$H$150*CtoCO2*ttoGg</f>
        <v>468.89574135473009</v>
      </c>
      <c r="AZ87" s="22">
        <f>'Activity data'!AZ46*EF!$H$150*CtoCO2*ttoGg</f>
        <v>468.78951670538135</v>
      </c>
      <c r="BA87" s="22">
        <f>'Activity data'!BA46*EF!$H$150*CtoCO2*ttoGg</f>
        <v>468.68937123378112</v>
      </c>
      <c r="BB87" s="22">
        <f>'Activity data'!BB46*EF!$H$150*CtoCO2*ttoGg</f>
        <v>468.5858442829329</v>
      </c>
      <c r="BC87" s="22">
        <f>'Activity data'!BC46*EF!$H$150*CtoCO2*ttoGg</f>
        <v>468.47902737522929</v>
      </c>
      <c r="BD87" s="22">
        <f>'Activity data'!BD46*EF!$H$150*CtoCO2*ttoGg</f>
        <v>468.3708440891603</v>
      </c>
      <c r="BE87" s="22">
        <f>'Activity data'!BE46*EF!$H$150*CtoCO2*ttoGg</f>
        <v>468.26590117405385</v>
      </c>
      <c r="BF87" s="22">
        <f>'Activity data'!BF46*EF!$H$150*CtoCO2*ttoGg</f>
        <v>468.15961732857664</v>
      </c>
      <c r="BG87" s="22">
        <f>'Activity data'!BG46*EF!$H$150*CtoCO2*ttoGg</f>
        <v>468.0494715593843</v>
      </c>
      <c r="BH87" s="22">
        <f>'Activity data'!BH46*EF!$H$150*CtoCO2*ttoGg</f>
        <v>467.93692164031239</v>
      </c>
      <c r="BI87" s="22">
        <f>'Activity data'!BI46*EF!$H$150*CtoCO2*ttoGg</f>
        <v>467.82252146443096</v>
      </c>
      <c r="BJ87" s="22">
        <f>'Activity data'!BJ46*EF!$H$150*CtoCO2*ttoGg</f>
        <v>467.70625918930585</v>
      </c>
      <c r="BK87" s="22">
        <f>'Activity data'!BK46*EF!$H$150*CtoCO2*ttoGg</f>
        <v>467.58826713367728</v>
      </c>
      <c r="BL87" s="22">
        <f>'Activity data'!BL46*EF!$H$150*CtoCO2*ttoGg</f>
        <v>467.46775057995154</v>
      </c>
      <c r="BM87" s="22">
        <f>'Activity data'!BM46*EF!$H$150*CtoCO2*ttoGg</f>
        <v>467.35633818944979</v>
      </c>
      <c r="BN87" s="22">
        <f>'Activity data'!BN46*EF!$H$150*CtoCO2*ttoGg</f>
        <v>467.24279434996896</v>
      </c>
      <c r="BO87" s="22">
        <f>'Activity data'!BO46*EF!$H$150*CtoCO2*ttoGg</f>
        <v>467.12645703288194</v>
      </c>
      <c r="BP87" s="22">
        <f>'Activity data'!BP46*EF!$H$150*CtoCO2*ttoGg</f>
        <v>467.00711570204976</v>
      </c>
    </row>
    <row r="88" spans="1:68" x14ac:dyDescent="0.25">
      <c r="A88" t="str">
        <f>A87</f>
        <v>3C Aggregated and non-CO2 emissions on land</v>
      </c>
      <c r="B88" t="str">
        <f>'IPCC Categories'!B73</f>
        <v>3C4 Direct N2O from managed soils (N2O)</v>
      </c>
      <c r="E88" t="s">
        <v>419</v>
      </c>
      <c r="F88" t="s">
        <v>139</v>
      </c>
      <c r="G88" t="s">
        <v>287</v>
      </c>
      <c r="H88" s="22">
        <f>'Activity data'!H47*ttokg*SNEF*NtoN2O*kgtoGg</f>
        <v>5.4008271428571426</v>
      </c>
      <c r="I88" s="22">
        <f>'Activity data'!I47*ttokg*SNEF*NtoN2O*kgtoGg</f>
        <v>5.7362642857142854</v>
      </c>
      <c r="J88" s="22">
        <f>'Activity data'!J47*ttokg*SNEF*NtoN2O*kgtoGg</f>
        <v>5.4611071428571423</v>
      </c>
      <c r="K88" s="22">
        <f>'Activity data'!K47*ttokg*SNEF*NtoN2O*kgtoGg</f>
        <v>6.4186414285714282</v>
      </c>
      <c r="L88" s="22">
        <f>'Activity data'!L47*ttokg*SNEF*NtoN2O*kgtoGg</f>
        <v>5.8938942857142855</v>
      </c>
      <c r="M88" s="22">
        <f>'Activity data'!M47*ttokg*SNEF*NtoN2O*kgtoGg</f>
        <v>5.8377157142857143</v>
      </c>
      <c r="N88" s="22">
        <f>'Activity data'!N47*ttokg*SNEF*NtoN2O*kgtoGg</f>
        <v>6.5227485714285702</v>
      </c>
      <c r="O88" s="22">
        <f>'Activity data'!O47*ttokg*SNEF*NtoN2O*kgtoGg</f>
        <v>6.3943628571428572</v>
      </c>
      <c r="P88" s="22">
        <f>'Activity data'!P47*ttokg*SNEF*NtoN2O*kgtoGg</f>
        <v>6.5296157142857139</v>
      </c>
      <c r="Q88" s="22">
        <f>'Activity data'!Q47*ttokg*SNEF*NtoN2O*kgtoGg</f>
        <v>6.4907071428571426</v>
      </c>
      <c r="R88" s="22">
        <f>'Activity data'!R47*ttokg*SNEF*NtoN2O*kgtoGg</f>
        <v>6.5360899999999997</v>
      </c>
      <c r="S88" s="22">
        <f>'Activity data'!S47*ttokg*SNEF*NtoN2O*kgtoGg</f>
        <v>6.219918571428571</v>
      </c>
      <c r="T88" s="22">
        <f>'Activity data'!T47*ttokg*SNEF*NtoN2O*kgtoGg</f>
        <v>7.4968457142857146</v>
      </c>
      <c r="U88" s="22">
        <f>'Activity data'!U47*ttokg*SNEF*NtoN2O*kgtoGg</f>
        <v>6.6129957142857139</v>
      </c>
      <c r="V88" s="22">
        <f>'Activity data'!V47*ttokg*SNEF*NtoN2O*kgtoGg</f>
        <v>6.7189728571428571</v>
      </c>
      <c r="W88" s="22">
        <f>'Activity data'!W47*ttokg*SNEF*NtoN2O*kgtoGg</f>
        <v>5.4569428571428569</v>
      </c>
      <c r="X88" s="22">
        <f>'Activity data'!X47*ttokg*SNEF*NtoN2O*kgtoGg</f>
        <v>6.7370128571428571</v>
      </c>
      <c r="Y88" s="22">
        <f>'Activity data'!Y47*ttokg*SNEF*NtoN2O*kgtoGg</f>
        <v>6.9061142857142848</v>
      </c>
      <c r="Z88" s="22">
        <f>'Activity data'!Z47*ttokg*SNEF*NtoN2O*kgtoGg</f>
        <v>6.66479</v>
      </c>
      <c r="AA88" s="22">
        <f>'Activity data'!AA47*ttokg*SNEF*NtoN2O*kgtoGg</f>
        <v>7.1307814285714279</v>
      </c>
      <c r="AB88" s="22">
        <f>'Activity data'!AB47*ttokg*SNEF*NtoN2O*kgtoGg</f>
        <v>6.2071428571428573</v>
      </c>
      <c r="AC88" s="22">
        <f>'Activity data'!AC47*ttokg*SNEF*NtoN2O*kgtoGg</f>
        <v>6.5842857142857145</v>
      </c>
      <c r="AD88" s="22">
        <f>'Activity data'!AD47*ttokg*SNEF*NtoN2O*kgtoGg</f>
        <v>6.6064812063358538</v>
      </c>
      <c r="AE88" s="22">
        <f>'Activity data'!AE47*ttokg*SNEF*NtoN2O*kgtoGg</f>
        <v>6.6056451628178294</v>
      </c>
      <c r="AF88" s="22">
        <f>'Activity data'!AF47*ttokg*SNEF*NtoN2O*kgtoGg</f>
        <v>6.6042078494055358</v>
      </c>
      <c r="AG88" s="22">
        <f>'Activity data'!AG47*ttokg*SNEF*NtoN2O*kgtoGg</f>
        <v>6.6032182825543648</v>
      </c>
      <c r="AH88" s="22">
        <f>'Activity data'!AH47*ttokg*SNEF*NtoN2O*kgtoGg</f>
        <v>6.6025879225333757</v>
      </c>
      <c r="AI88" s="22">
        <f>'Activity data'!AI47*ttokg*SNEF*NtoN2O*kgtoGg</f>
        <v>6.6021902265346046</v>
      </c>
      <c r="AJ88" s="22">
        <f>'Activity data'!AJ47*ttokg*SNEF*NtoN2O*kgtoGg</f>
        <v>6.6016347771827446</v>
      </c>
      <c r="AK88" s="22">
        <f>'Activity data'!AK47*ttokg*SNEF*NtoN2O*kgtoGg</f>
        <v>6.6009863939677187</v>
      </c>
      <c r="AL88" s="22">
        <f>'Activity data'!AL47*ttokg*SNEF*NtoN2O*kgtoGg</f>
        <v>6.6003667367218348</v>
      </c>
      <c r="AM88" s="22">
        <f>'Activity data'!AM47*ttokg*SNEF*NtoN2O*kgtoGg</f>
        <v>6.6051333309105873</v>
      </c>
      <c r="AN88" s="22">
        <f>'Activity data'!AN47*ttokg*SNEF*NtoN2O*kgtoGg</f>
        <v>6.6038967064746226</v>
      </c>
      <c r="AO88" s="22">
        <f>'Activity data'!AO47*ttokg*SNEF*NtoN2O*kgtoGg</f>
        <v>6.6026654607614734</v>
      </c>
      <c r="AP88" s="22">
        <f>'Activity data'!AP47*ttokg*SNEF*NtoN2O*kgtoGg</f>
        <v>6.6013281594658837</v>
      </c>
      <c r="AQ88" s="22">
        <f>'Activity data'!AQ47*ttokg*SNEF*NtoN2O*kgtoGg</f>
        <v>6.5999289891083794</v>
      </c>
      <c r="AR88" s="22">
        <f>'Activity data'!AR47*ttokg*SNEF*NtoN2O*kgtoGg</f>
        <v>6.5985677674875989</v>
      </c>
      <c r="AS88" s="22">
        <f>'Activity data'!AS47*ttokg*SNEF*NtoN2O*kgtoGg</f>
        <v>6.5970392722442197</v>
      </c>
      <c r="AT88" s="22">
        <f>'Activity data'!AT47*ttokg*SNEF*NtoN2O*kgtoGg</f>
        <v>6.595485611740699</v>
      </c>
      <c r="AU88" s="22">
        <f>'Activity data'!AU47*ttokg*SNEF*NtoN2O*kgtoGg</f>
        <v>6.5938816747323914</v>
      </c>
      <c r="AV88" s="22">
        <f>'Activity data'!AV47*ttokg*SNEF*NtoN2O*kgtoGg</f>
        <v>6.592259134128116</v>
      </c>
      <c r="AW88" s="22">
        <f>'Activity data'!AW47*ttokg*SNEF*NtoN2O*kgtoGg</f>
        <v>6.5908986742821281</v>
      </c>
      <c r="AX88" s="22">
        <f>'Activity data'!AX47*ttokg*SNEF*NtoN2O*kgtoGg</f>
        <v>6.5892354999806129</v>
      </c>
      <c r="AY88" s="22">
        <f>'Activity data'!AY47*ttokg*SNEF*NtoN2O*kgtoGg</f>
        <v>6.587571400095948</v>
      </c>
      <c r="AZ88" s="22">
        <f>'Activity data'!AZ47*ttokg*SNEF*NtoN2O*kgtoGg</f>
        <v>6.5858971699263806</v>
      </c>
      <c r="BA88" s="22">
        <f>'Activity data'!BA47*ttokg*SNEF*NtoN2O*kgtoGg</f>
        <v>6.5843187550205498</v>
      </c>
      <c r="BB88" s="22">
        <f>'Activity data'!BB47*ttokg*SNEF*NtoN2O*kgtoGg</f>
        <v>6.5826870438731282</v>
      </c>
      <c r="BC88" s="22">
        <f>'Activity data'!BC47*ttokg*SNEF*NtoN2O*kgtoGg</f>
        <v>6.5810034789887686</v>
      </c>
      <c r="BD88" s="22">
        <f>'Activity data'!BD47*ttokg*SNEF*NtoN2O*kgtoGg</f>
        <v>6.5792983783130774</v>
      </c>
      <c r="BE88" s="22">
        <f>'Activity data'!BE47*ttokg*SNEF*NtoN2O*kgtoGg</f>
        <v>6.5776443498401136</v>
      </c>
      <c r="BF88" s="22">
        <f>'Activity data'!BF47*ttokg*SNEF*NtoN2O*kgtoGg</f>
        <v>6.5759691866672867</v>
      </c>
      <c r="BG88" s="22">
        <f>'Activity data'!BG47*ttokg*SNEF*NtoN2O*kgtoGg</f>
        <v>6.5742331548614636</v>
      </c>
      <c r="BH88" s="22">
        <f>'Activity data'!BH47*ttokg*SNEF*NtoN2O*kgtoGg</f>
        <v>6.5724592307181711</v>
      </c>
      <c r="BI88" s="22">
        <f>'Activity data'!BI47*ttokg*SNEF*NtoN2O*kgtoGg</f>
        <v>6.5706561442684768</v>
      </c>
      <c r="BJ88" s="22">
        <f>'Activity data'!BJ47*ttokg*SNEF*NtoN2O*kgtoGg</f>
        <v>6.5688237088611547</v>
      </c>
      <c r="BK88" s="22">
        <f>'Activity data'!BK47*ttokg*SNEF*NtoN2O*kgtoGg</f>
        <v>6.5669640100011106</v>
      </c>
      <c r="BL88" s="22">
        <f>'Activity data'!BL47*ttokg*SNEF*NtoN2O*kgtoGg</f>
        <v>6.5650645219687469</v>
      </c>
      <c r="BM88" s="22">
        <f>'Activity data'!BM47*ttokg*SNEF*NtoN2O*kgtoGg</f>
        <v>6.5633085266645974</v>
      </c>
      <c r="BN88" s="22">
        <f>'Activity data'!BN47*ttokg*SNEF*NtoN2O*kgtoGg</f>
        <v>6.5615189371221261</v>
      </c>
      <c r="BO88" s="22">
        <f>'Activity data'!BO47*ttokg*SNEF*NtoN2O*kgtoGg</f>
        <v>6.5596853189618622</v>
      </c>
      <c r="BP88" s="22">
        <f>'Activity data'!BP47*ttokg*SNEF*NtoN2O*kgtoGg</f>
        <v>6.5578043538772004</v>
      </c>
    </row>
    <row r="89" spans="1:68" x14ac:dyDescent="0.25">
      <c r="A89" t="str">
        <f t="shared" ref="A89:A138" si="29">A88</f>
        <v>3C Aggregated and non-CO2 emissions on land</v>
      </c>
      <c r="B89" t="str">
        <f>B88</f>
        <v>3C4 Direct N2O from managed soils (N2O)</v>
      </c>
      <c r="E89" t="s">
        <v>420</v>
      </c>
      <c r="F89" t="str">
        <f>F88</f>
        <v>N2O</v>
      </c>
      <c r="G89" t="str">
        <f>G88</f>
        <v>Gg N2O</v>
      </c>
      <c r="H89" s="22">
        <f>'Activity data'!H48*ttokg*ONEF*NtoN2O*kgtoGg</f>
        <v>3.5645459142857133E-2</v>
      </c>
      <c r="I89" s="22">
        <f>'Activity data'!I48*ttokg*ONEF*NtoN2O*kgtoGg</f>
        <v>3.7859344285714289E-2</v>
      </c>
      <c r="J89" s="22">
        <f>'Activity data'!J48*ttokg*ONEF*NtoN2O*kgtoGg</f>
        <v>3.6043307142857146E-2</v>
      </c>
      <c r="K89" s="22">
        <f>'Activity data'!K48*ttokg*ONEF*NtoN2O*kgtoGg</f>
        <v>4.236303342857143E-2</v>
      </c>
      <c r="L89" s="22">
        <f>'Activity data'!L48*ttokg*ONEF*NtoN2O*kgtoGg</f>
        <v>3.8899702285714287E-2</v>
      </c>
      <c r="M89" s="22">
        <f>'Activity data'!M48*ttokg*ONEF*NtoN2O*kgtoGg</f>
        <v>3.8528923714285714E-2</v>
      </c>
      <c r="N89" s="22">
        <f>'Activity data'!N48*ttokg*ONEF*NtoN2O*kgtoGg</f>
        <v>4.3050140571428579E-2</v>
      </c>
      <c r="O89" s="22">
        <f>'Activity data'!O48*ttokg*ONEF*NtoN2O*kgtoGg</f>
        <v>4.2202794857142865E-2</v>
      </c>
      <c r="P89" s="22">
        <f>'Activity data'!P48*ttokg*ONEF*NtoN2O*kgtoGg</f>
        <v>4.3095463714285728E-2</v>
      </c>
      <c r="Q89" s="22">
        <f>'Activity data'!Q48*ttokg*ONEF*NtoN2O*kgtoGg</f>
        <v>4.283866714285714E-2</v>
      </c>
      <c r="R89" s="22">
        <f>'Activity data'!R48*ttokg*ONEF*NtoN2O*kgtoGg</f>
        <v>4.3138194000000012E-2</v>
      </c>
      <c r="S89" s="22">
        <f>'Activity data'!S48*ttokg*ONEF*NtoN2O*kgtoGg</f>
        <v>4.1051462571428568E-2</v>
      </c>
      <c r="T89" s="22">
        <f>'Activity data'!T48*ttokg*ONEF*NtoN2O*kgtoGg</f>
        <v>4.9479181714285725E-2</v>
      </c>
      <c r="U89" s="22">
        <f>'Activity data'!U48*ttokg*ONEF*NtoN2O*kgtoGg</f>
        <v>4.3645771714285735E-2</v>
      </c>
      <c r="V89" s="22">
        <f>'Activity data'!V48*ttokg*ONEF*NtoN2O*kgtoGg</f>
        <v>4.4345220857142861E-2</v>
      </c>
      <c r="W89" s="22">
        <f>'Activity data'!W48*ttokg*ONEF*NtoN2O*kgtoGg</f>
        <v>3.6015822857142853E-2</v>
      </c>
      <c r="X89" s="22">
        <f>'Activity data'!X48*ttokg*ONEF*NtoN2O*kgtoGg</f>
        <v>4.4464284857142863E-2</v>
      </c>
      <c r="Y89" s="22">
        <f>'Activity data'!Y48*ttokg*ONEF*NtoN2O*kgtoGg</f>
        <v>4.5580354285714282E-2</v>
      </c>
      <c r="Z89" s="22">
        <f>'Activity data'!Z48*ttokg*ONEF*NtoN2O*kgtoGg</f>
        <v>4.3987614000000001E-2</v>
      </c>
      <c r="AA89" s="22">
        <f>'Activity data'!AA48*ttokg*ONEF*NtoN2O*kgtoGg</f>
        <v>4.706315742857143E-2</v>
      </c>
      <c r="AB89" s="22">
        <f>'Activity data'!AB48*ttokg*ONEF*NtoN2O*kgtoGg</f>
        <v>4.0967142857142855E-2</v>
      </c>
      <c r="AC89" s="22">
        <f>'Activity data'!AC48*ttokg*ONEF*NtoN2O*kgtoGg</f>
        <v>4.3456285714285711E-2</v>
      </c>
      <c r="AD89" s="22">
        <f>'Activity data'!AD48*ttokg*ONEF*NtoN2O*kgtoGg</f>
        <v>4.3602775961816637E-2</v>
      </c>
      <c r="AE89" s="22">
        <f>'Activity data'!AE48*ttokg*ONEF*NtoN2O*kgtoGg</f>
        <v>4.3597258074597682E-2</v>
      </c>
      <c r="AF89" s="22">
        <f>'Activity data'!AF48*ttokg*ONEF*NtoN2O*kgtoGg</f>
        <v>4.3587771806076543E-2</v>
      </c>
      <c r="AG89" s="22">
        <f>'Activity data'!AG48*ttokg*ONEF*NtoN2O*kgtoGg</f>
        <v>4.3581240664858828E-2</v>
      </c>
      <c r="AH89" s="22">
        <f>'Activity data'!AH48*ttokg*ONEF*NtoN2O*kgtoGg</f>
        <v>4.3577080288720295E-2</v>
      </c>
      <c r="AI89" s="22">
        <f>'Activity data'!AI48*ttokg*ONEF*NtoN2O*kgtoGg</f>
        <v>4.3574455495128409E-2</v>
      </c>
      <c r="AJ89" s="22">
        <f>'Activity data'!AJ48*ttokg*ONEF*NtoN2O*kgtoGg</f>
        <v>4.3570789529406122E-2</v>
      </c>
      <c r="AK89" s="22">
        <f>'Activity data'!AK48*ttokg*ONEF*NtoN2O*kgtoGg</f>
        <v>4.3566510200186953E-2</v>
      </c>
      <c r="AL89" s="22">
        <f>'Activity data'!AL48*ttokg*ONEF*NtoN2O*kgtoGg</f>
        <v>4.3562420462364117E-2</v>
      </c>
      <c r="AM89" s="22">
        <f>'Activity data'!AM48*ttokg*ONEF*NtoN2O*kgtoGg</f>
        <v>4.3593879984009883E-2</v>
      </c>
      <c r="AN89" s="22">
        <f>'Activity data'!AN48*ttokg*ONEF*NtoN2O*kgtoGg</f>
        <v>4.3585718262732519E-2</v>
      </c>
      <c r="AO89" s="22">
        <f>'Activity data'!AO48*ttokg*ONEF*NtoN2O*kgtoGg</f>
        <v>4.357759204102573E-2</v>
      </c>
      <c r="AP89" s="22">
        <f>'Activity data'!AP48*ttokg*ONEF*NtoN2O*kgtoGg</f>
        <v>4.3568765852474836E-2</v>
      </c>
      <c r="AQ89" s="22">
        <f>'Activity data'!AQ48*ttokg*ONEF*NtoN2O*kgtoGg</f>
        <v>4.3559531328115311E-2</v>
      </c>
      <c r="AR89" s="22">
        <f>'Activity data'!AR48*ttokg*ONEF*NtoN2O*kgtoGg</f>
        <v>4.3550547265418162E-2</v>
      </c>
      <c r="AS89" s="22">
        <f>'Activity data'!AS48*ttokg*ONEF*NtoN2O*kgtoGg</f>
        <v>4.3540459196811862E-2</v>
      </c>
      <c r="AT89" s="22">
        <f>'Activity data'!AT48*ttokg*ONEF*NtoN2O*kgtoGg</f>
        <v>4.3530205037488619E-2</v>
      </c>
      <c r="AU89" s="22">
        <f>'Activity data'!AU48*ttokg*ONEF*NtoN2O*kgtoGg</f>
        <v>4.3519619053233788E-2</v>
      </c>
      <c r="AV89" s="22">
        <f>'Activity data'!AV48*ttokg*ONEF*NtoN2O*kgtoGg</f>
        <v>4.3508910285245568E-2</v>
      </c>
      <c r="AW89" s="22">
        <f>'Activity data'!AW48*ttokg*ONEF*NtoN2O*kgtoGg</f>
        <v>4.3499931250262053E-2</v>
      </c>
      <c r="AX89" s="22">
        <f>'Activity data'!AX48*ttokg*ONEF*NtoN2O*kgtoGg</f>
        <v>4.3488954299872054E-2</v>
      </c>
      <c r="AY89" s="22">
        <f>'Activity data'!AY48*ttokg*ONEF*NtoN2O*kgtoGg</f>
        <v>4.3477971240633267E-2</v>
      </c>
      <c r="AZ89" s="22">
        <f>'Activity data'!AZ48*ttokg*ONEF*NtoN2O*kgtoGg</f>
        <v>4.346692132151412E-2</v>
      </c>
      <c r="BA89" s="22">
        <f>'Activity data'!BA48*ttokg*ONEF*NtoN2O*kgtoGg</f>
        <v>4.3456503783135633E-2</v>
      </c>
      <c r="BB89" s="22">
        <f>'Activity data'!BB48*ttokg*ONEF*NtoN2O*kgtoGg</f>
        <v>4.3445734489562647E-2</v>
      </c>
      <c r="BC89" s="22">
        <f>'Activity data'!BC48*ttokg*ONEF*NtoN2O*kgtoGg</f>
        <v>4.3434622961325879E-2</v>
      </c>
      <c r="BD89" s="22">
        <f>'Activity data'!BD48*ttokg*ONEF*NtoN2O*kgtoGg</f>
        <v>4.342336929686632E-2</v>
      </c>
      <c r="BE89" s="22">
        <f>'Activity data'!BE48*ttokg*ONEF*NtoN2O*kgtoGg</f>
        <v>4.3412452708944754E-2</v>
      </c>
      <c r="BF89" s="22">
        <f>'Activity data'!BF48*ttokg*ONEF*NtoN2O*kgtoGg</f>
        <v>4.3401396632004097E-2</v>
      </c>
      <c r="BG89" s="22">
        <f>'Activity data'!BG48*ttokg*ONEF*NtoN2O*kgtoGg</f>
        <v>4.3389938822085666E-2</v>
      </c>
      <c r="BH89" s="22">
        <f>'Activity data'!BH48*ttokg*ONEF*NtoN2O*kgtoGg</f>
        <v>4.3378230922739937E-2</v>
      </c>
      <c r="BI89" s="22">
        <f>'Activity data'!BI48*ttokg*ONEF*NtoN2O*kgtoGg</f>
        <v>4.3366330552171949E-2</v>
      </c>
      <c r="BJ89" s="22">
        <f>'Activity data'!BJ48*ttokg*ONEF*NtoN2O*kgtoGg</f>
        <v>4.3354236478483632E-2</v>
      </c>
      <c r="BK89" s="22">
        <f>'Activity data'!BK48*ttokg*ONEF*NtoN2O*kgtoGg</f>
        <v>4.3341962466007335E-2</v>
      </c>
      <c r="BL89" s="22">
        <f>'Activity data'!BL48*ttokg*ONEF*NtoN2O*kgtoGg</f>
        <v>4.3329425844993739E-2</v>
      </c>
      <c r="BM89" s="22">
        <f>'Activity data'!BM48*ttokg*ONEF*NtoN2O*kgtoGg</f>
        <v>4.331783627598635E-2</v>
      </c>
      <c r="BN89" s="22">
        <f>'Activity data'!BN48*ttokg*ONEF*NtoN2O*kgtoGg</f>
        <v>4.3306024985006041E-2</v>
      </c>
      <c r="BO89" s="22">
        <f>'Activity data'!BO48*ttokg*ONEF*NtoN2O*kgtoGg</f>
        <v>4.3293923105148305E-2</v>
      </c>
      <c r="BP89" s="22">
        <f>'Activity data'!BP48*ttokg*ONEF*NtoN2O*kgtoGg</f>
        <v>4.328150873558953E-2</v>
      </c>
    </row>
    <row r="90" spans="1:68" x14ac:dyDescent="0.25">
      <c r="A90" t="str">
        <f t="shared" ref="A90" si="30">A89</f>
        <v>3C Aggregated and non-CO2 emissions on land</v>
      </c>
      <c r="B90" t="str">
        <f>B89</f>
        <v>3C4 Direct N2O from managed soils (N2O)</v>
      </c>
      <c r="E90" t="s">
        <v>58</v>
      </c>
      <c r="F90" t="str">
        <f>F89</f>
        <v>N2O</v>
      </c>
      <c r="G90" t="str">
        <f>G89</f>
        <v>Gg N2O</v>
      </c>
      <c r="H90" s="22">
        <f>'Activity data'!H85*CREF*NtoN2O*kgtoGg</f>
        <v>4.7572664246993837</v>
      </c>
      <c r="I90" s="22">
        <f>'Activity data'!I85*CREF*NtoN2O*kgtoGg</f>
        <v>4.2403582737669279</v>
      </c>
      <c r="J90" s="22">
        <f>'Activity data'!J85*CREF*NtoN2O*kgtoGg</f>
        <v>4.4153625132445411</v>
      </c>
      <c r="K90" s="22">
        <f>'Activity data'!K85*CREF*NtoN2O*kgtoGg</f>
        <v>4.7418888374800598</v>
      </c>
      <c r="L90" s="22">
        <f>'Activity data'!L85*CREF*NtoN2O*kgtoGg</f>
        <v>5.0009128268356475</v>
      </c>
      <c r="M90" s="22">
        <f>'Activity data'!M85*CREF*NtoN2O*kgtoGg</f>
        <v>3.8892379277011866</v>
      </c>
      <c r="N90" s="22">
        <f>'Activity data'!N85*CREF*NtoN2O*kgtoGg</f>
        <v>4.2839264832658595</v>
      </c>
      <c r="O90" s="22">
        <f>'Activity data'!O85*CREF*NtoN2O*kgtoGg</f>
        <v>4.5049773321420563</v>
      </c>
      <c r="P90" s="22">
        <f>'Activity data'!P85*CREF*NtoN2O*kgtoGg</f>
        <v>3.9255738498283432</v>
      </c>
      <c r="Q90" s="22">
        <f>'Activity data'!Q85*CREF*NtoN2O*kgtoGg</f>
        <v>3.8953932469931241</v>
      </c>
      <c r="R90" s="22">
        <f>'Activity data'!R85*CREF*NtoN2O*kgtoGg</f>
        <v>4.4710787977237265</v>
      </c>
      <c r="S90" s="22">
        <f>'Activity data'!S85*CREF*NtoN2O*kgtoGg</f>
        <v>3.6519029734228816</v>
      </c>
      <c r="T90" s="22">
        <f>'Activity data'!T85*CREF*NtoN2O*kgtoGg</f>
        <v>3.982993252892217</v>
      </c>
      <c r="U90" s="22">
        <f>'Activity data'!U85*CREF*NtoN2O*kgtoGg</f>
        <v>3.9301610630705248</v>
      </c>
      <c r="V90" s="22">
        <f>'Activity data'!V85*CREF*NtoN2O*kgtoGg</f>
        <v>3.5144884547415667</v>
      </c>
      <c r="W90" s="22">
        <f>'Activity data'!W85*CREF*NtoN2O*kgtoGg</f>
        <v>3.5698504074879742</v>
      </c>
      <c r="X90" s="22">
        <f>'Activity data'!X85*CREF*NtoN2O*kgtoGg</f>
        <v>2.4003352875845994</v>
      </c>
      <c r="Y90" s="22">
        <f>'Activity data'!Y85*CREF*NtoN2O*kgtoGg</f>
        <v>3.2539877539471691</v>
      </c>
      <c r="Z90" s="22">
        <f>'Activity data'!Z85*CREF*NtoN2O*kgtoGg</f>
        <v>3.7163492663367288</v>
      </c>
      <c r="AA90" s="22">
        <f>'Activity data'!AA85*CREF*NtoN2O*kgtoGg</f>
        <v>3.3020035495326421</v>
      </c>
      <c r="AB90" s="22">
        <f>'Activity data'!AB85*CREF*NtoN2O*kgtoGg</f>
        <v>3.605306989206821</v>
      </c>
      <c r="AC90" s="22">
        <f>'Activity data'!AC85*CREF*NtoN2O*kgtoGg</f>
        <v>3.3383236984964055</v>
      </c>
      <c r="AD90" s="22">
        <f>'Activity data'!AD85*CREF*NtoN2O*kgtoGg</f>
        <v>2.94930909510781</v>
      </c>
      <c r="AE90" s="22">
        <f>'Activity data'!AE85*CREF*NtoN2O*kgtoGg</f>
        <v>2.9555506509302374</v>
      </c>
      <c r="AF90" s="22">
        <f>'Activity data'!AF85*CREF*NtoN2O*kgtoGg</f>
        <v>2.9662810396046693</v>
      </c>
      <c r="AG90" s="22">
        <f>'Activity data'!AG85*CREF*NtoN2O*kgtoGg</f>
        <v>2.9736687372644854</v>
      </c>
      <c r="AH90" s="22">
        <f>'Activity data'!AH85*CREF*NtoN2O*kgtoGg</f>
        <v>2.978374744995429</v>
      </c>
      <c r="AI90" s="22">
        <f>'Activity data'!AI85*CREF*NtoN2O*kgtoGg</f>
        <v>2.9813437791702802</v>
      </c>
      <c r="AJ90" s="22">
        <f>'Activity data'!AJ85*CREF*NtoN2O*kgtoGg</f>
        <v>2.985490534765443</v>
      </c>
      <c r="AK90" s="22">
        <f>'Activity data'!AK85*CREF*NtoN2O*kgtoGg</f>
        <v>2.9903310962238527</v>
      </c>
      <c r="AL90" s="22">
        <f>'Activity data'!AL85*CREF*NtoN2O*kgtoGg</f>
        <v>2.9949572014535071</v>
      </c>
      <c r="AM90" s="22">
        <f>'Activity data'!AM85*CREF*NtoN2O*kgtoGg</f>
        <v>2.959371776687294</v>
      </c>
      <c r="AN90" s="22">
        <f>'Activity data'!AN85*CREF*NtoN2O*kgtoGg</f>
        <v>2.9686039043003261</v>
      </c>
      <c r="AO90" s="22">
        <f>'Activity data'!AO85*CREF*NtoN2O*kgtoGg</f>
        <v>2.977795876588929</v>
      </c>
      <c r="AP90" s="22">
        <f>'Activity data'!AP85*CREF*NtoN2O*kgtoGg</f>
        <v>2.9877796160808017</v>
      </c>
      <c r="AQ90" s="22">
        <f>'Activity data'!AQ85*CREF*NtoN2O*kgtoGg</f>
        <v>2.998225244452013</v>
      </c>
      <c r="AR90" s="22">
        <f>'Activity data'!AR85*CREF*NtoN2O*kgtoGg</f>
        <v>3.0083875632184589</v>
      </c>
      <c r="AS90" s="22">
        <f>'Activity data'!AS85*CREF*NtoN2O*kgtoGg</f>
        <v>3.0197986778078167</v>
      </c>
      <c r="AT90" s="22">
        <f>'Activity data'!AT85*CREF*NtoN2O*kgtoGg</f>
        <v>3.0313976658422499</v>
      </c>
      <c r="AU90" s="22">
        <f>'Activity data'!AU85*CREF*NtoN2O*kgtoGg</f>
        <v>3.0433719975093969</v>
      </c>
      <c r="AV90" s="22">
        <f>'Activity data'!AV85*CREF*NtoN2O*kgtoGg</f>
        <v>3.0554852159452923</v>
      </c>
      <c r="AW90" s="22">
        <f>'Activity data'!AW85*CREF*NtoN2O*kgtoGg</f>
        <v>3.0656418476155727</v>
      </c>
      <c r="AX90" s="22">
        <f>'Activity data'!AX85*CREF*NtoN2O*kgtoGg</f>
        <v>3.0780584204631842</v>
      </c>
      <c r="AY90" s="22">
        <f>'Activity data'!AY85*CREF*NtoN2O*kgtoGg</f>
        <v>3.0904819033325595</v>
      </c>
      <c r="AZ90" s="22">
        <f>'Activity data'!AZ85*CREF*NtoN2O*kgtoGg</f>
        <v>3.1029810147276602</v>
      </c>
      <c r="BA90" s="22">
        <f>'Activity data'!BA85*CREF*NtoN2O*kgtoGg</f>
        <v>3.1147648089121649</v>
      </c>
      <c r="BB90" s="22">
        <f>'Activity data'!BB85*CREF*NtoN2O*kgtoGg</f>
        <v>3.1269464908379772</v>
      </c>
      <c r="BC90" s="22">
        <f>'Activity data'!BC85*CREF*NtoN2O*kgtoGg</f>
        <v>3.1395152913607434</v>
      </c>
      <c r="BD90" s="22">
        <f>'Activity data'!BD85*CREF*NtoN2O*kgtoGg</f>
        <v>3.1522448692125424</v>
      </c>
      <c r="BE90" s="22">
        <f>'Activity data'!BE85*CREF*NtoN2O*kgtoGg</f>
        <v>3.1645931630792012</v>
      </c>
      <c r="BF90" s="22">
        <f>'Activity data'!BF85*CREF*NtoN2O*kgtoGg</f>
        <v>3.1770992398915445</v>
      </c>
      <c r="BG90" s="22">
        <f>'Activity data'!BG85*CREF*NtoN2O*kgtoGg</f>
        <v>3.1900597367938475</v>
      </c>
      <c r="BH90" s="22">
        <f>'Activity data'!BH85*CREF*NtoN2O*kgtoGg</f>
        <v>3.2033031222473585</v>
      </c>
      <c r="BI90" s="22">
        <f>'Activity data'!BI85*CREF*NtoN2O*kgtoGg</f>
        <v>3.2167642214435128</v>
      </c>
      <c r="BJ90" s="22">
        <f>'Activity data'!BJ85*CREF*NtoN2O*kgtoGg</f>
        <v>3.2304444278433095</v>
      </c>
      <c r="BK90" s="22">
        <f>'Activity data'!BK85*CREF*NtoN2O*kgtoGg</f>
        <v>3.2443281719279353</v>
      </c>
      <c r="BL90" s="22">
        <f>'Activity data'!BL85*CREF*NtoN2O*kgtoGg</f>
        <v>3.2585089655498316</v>
      </c>
      <c r="BM90" s="22">
        <f>'Activity data'!BM85*CREF*NtoN2O*kgtoGg</f>
        <v>3.2716185016905635</v>
      </c>
      <c r="BN90" s="22">
        <f>'Activity data'!BN85*CREF*NtoN2O*kgtoGg</f>
        <v>3.2849788385483345</v>
      </c>
      <c r="BO90" s="22">
        <f>'Activity data'!BO85*CREF*NtoN2O*kgtoGg</f>
        <v>3.2986678748934048</v>
      </c>
      <c r="BP90" s="22">
        <f>'Activity data'!BP85*CREF*NtoN2O*kgtoGg</f>
        <v>3.3127103838332372</v>
      </c>
    </row>
    <row r="91" spans="1:68" x14ac:dyDescent="0.25">
      <c r="A91" t="str">
        <f>A89</f>
        <v>3C Aggregated and non-CO2 emissions on land</v>
      </c>
      <c r="B91" t="str">
        <f>B89</f>
        <v>3C4 Direct N2O from managed soils (N2O)</v>
      </c>
      <c r="C91" t="s">
        <v>421</v>
      </c>
      <c r="D91" t="str">
        <f>'Activity data'!D50</f>
        <v xml:space="preserve"> - TMR</v>
      </c>
      <c r="E91" t="str">
        <f>C91&amp;D91</f>
        <v>MM emissions - TMR</v>
      </c>
      <c r="F91" t="str">
        <f>F89</f>
        <v>N2O</v>
      </c>
      <c r="G91" t="str">
        <f>G89</f>
        <v>Gg N2O</v>
      </c>
      <c r="H91" s="22">
        <f>'Activity data'!H50*ManureNEF*NtoN2O*kgtoGg</f>
        <v>0.26350583749371725</v>
      </c>
      <c r="I91" s="22">
        <f>'Activity data'!I50*ManureNEF*NtoN2O*kgtoGg</f>
        <v>0.30336366372659757</v>
      </c>
      <c r="J91" s="22">
        <f>'Activity data'!J50*ManureNEF*NtoN2O*kgtoGg</f>
        <v>0.26244882124379881</v>
      </c>
      <c r="K91" s="22">
        <f>'Activity data'!K50*ManureNEF*NtoN2O*kgtoGg</f>
        <v>0.27835157134088651</v>
      </c>
      <c r="L91" s="22">
        <f>'Activity data'!L50*ManureNEF*NtoN2O*kgtoGg</f>
        <v>0.25822075624412494</v>
      </c>
      <c r="M91" s="22">
        <f>'Activity data'!M50*ManureNEF*NtoN2O*kgtoGg</f>
        <v>0.27623753884104962</v>
      </c>
      <c r="N91" s="22">
        <f>'Activity data'!N50*ManureNEF*NtoN2O*kgtoGg</f>
        <v>0.27729455509096812</v>
      </c>
      <c r="O91" s="22">
        <f>'Activity data'!O50*ManureNEF*NtoN2O*kgtoGg</f>
        <v>0.26733009853274803</v>
      </c>
      <c r="P91" s="22">
        <f>'Activity data'!P50*ManureNEF*NtoN2O*kgtoGg</f>
        <v>0.26415904978299276</v>
      </c>
      <c r="Q91" s="22">
        <f>'Activity data'!Q50*ManureNEF*NtoN2O*kgtoGg</f>
        <v>0.25947967447436493</v>
      </c>
      <c r="R91" s="22">
        <f>'Activity data'!R50*ManureNEF*NtoN2O*kgtoGg</f>
        <v>0.33411214767085473</v>
      </c>
      <c r="S91" s="22">
        <f>'Activity data'!S50*ManureNEF*NtoN2O*kgtoGg</f>
        <v>0.33305513142093623</v>
      </c>
      <c r="T91" s="22">
        <f>'Activity data'!T50*ManureNEF*NtoN2O*kgtoGg</f>
        <v>0.29043006039894359</v>
      </c>
      <c r="U91" s="22">
        <f>'Activity data'!U50*ManureNEF*NtoN2O*kgtoGg</f>
        <v>0.26415904978299276</v>
      </c>
      <c r="V91" s="22">
        <f>'Activity data'!V50*ManureNEF*NtoN2O*kgtoGg</f>
        <v>0.25504970749436956</v>
      </c>
      <c r="W91" s="22">
        <f>'Activity data'!W50*ManureNEF*NtoN2O*kgtoGg</f>
        <v>0.27306649009129436</v>
      </c>
      <c r="X91" s="22">
        <f>'Activity data'!X50*ManureNEF*NtoN2O*kgtoGg</f>
        <v>0.26712819655242653</v>
      </c>
      <c r="Y91" s="22">
        <f>'Activity data'!Y50*ManureNEF*NtoN2O*kgtoGg</f>
        <v>0.26521606603291115</v>
      </c>
      <c r="Z91" s="22">
        <f>'Activity data'!Z50*ManureNEF*NtoN2O*kgtoGg</f>
        <v>0.32480090340191009</v>
      </c>
      <c r="AA91" s="22">
        <f>'Activity data'!AA50*ManureNEF*NtoN2O*kgtoGg</f>
        <v>0.33285322944061474</v>
      </c>
      <c r="AB91" s="22">
        <f>'Activity data'!AB50*ManureNEF*NtoN2O*kgtoGg</f>
        <v>0.33285322944061474</v>
      </c>
      <c r="AC91" s="22">
        <f>'Activity data'!AC50*ManureNEF*NtoN2O*kgtoGg</f>
        <v>0.32077474038255771</v>
      </c>
      <c r="AD91" s="22">
        <f>'Activity data'!AD50*ManureNEF*NtoN2O*kgtoGg</f>
        <v>0.31911939157450442</v>
      </c>
      <c r="AE91" s="22">
        <f>'Activity data'!AE50*ManureNEF*NtoN2O*kgtoGg</f>
        <v>0.32143288996442282</v>
      </c>
      <c r="AF91" s="22">
        <f>'Activity data'!AF50*ManureNEF*NtoN2O*kgtoGg</f>
        <v>0.32291373287091163</v>
      </c>
      <c r="AG91" s="22">
        <f>'Activity data'!AG50*ManureNEF*NtoN2O*kgtoGg</f>
        <v>0.32373980057414131</v>
      </c>
      <c r="AH91" s="22">
        <f>'Activity data'!AH50*ManureNEF*NtoN2O*kgtoGg</f>
        <v>0.32419136749280064</v>
      </c>
      <c r="AI91" s="22">
        <f>'Activity data'!AI50*ManureNEF*NtoN2O*kgtoGg</f>
        <v>0.32516374956980637</v>
      </c>
      <c r="AJ91" s="22">
        <f>'Activity data'!AJ50*ManureNEF*NtoN2O*kgtoGg</f>
        <v>0.32645312825009504</v>
      </c>
      <c r="AK91" s="22">
        <f>'Activity data'!AK50*ManureNEF*NtoN2O*kgtoGg</f>
        <v>0.32777604729725618</v>
      </c>
      <c r="AL91" s="22">
        <f>'Activity data'!AL50*ManureNEF*NtoN2O*kgtoGg</f>
        <v>0.31708809474479421</v>
      </c>
      <c r="AM91" s="22">
        <f>'Activity data'!AM50*ManureNEF*NtoN2O*kgtoGg</f>
        <v>0.31955932744763887</v>
      </c>
      <c r="AN91" s="22">
        <f>'Activity data'!AN50*ManureNEF*NtoN2O*kgtoGg</f>
        <v>0.3219941135957744</v>
      </c>
      <c r="AO91" s="22">
        <f>'Activity data'!AO50*ManureNEF*NtoN2O*kgtoGg</f>
        <v>0.32463593302364813</v>
      </c>
      <c r="AP91" s="22">
        <f>'Activity data'!AP50*ManureNEF*NtoN2O*kgtoGg</f>
        <v>0.32746369453493607</v>
      </c>
      <c r="AQ91" s="22">
        <f>'Activity data'!AQ50*ManureNEF*NtoN2O*kgtoGg</f>
        <v>0.3302503280213922</v>
      </c>
      <c r="AR91" s="22">
        <f>'Activity data'!AR50*ManureNEF*NtoN2O*kgtoGg</f>
        <v>0.33346791459317504</v>
      </c>
      <c r="AS91" s="22">
        <f>'Activity data'!AS50*ManureNEF*NtoN2O*kgtoGg</f>
        <v>0.33679485641932028</v>
      </c>
      <c r="AT91" s="22">
        <f>'Activity data'!AT50*ManureNEF*NtoN2O*kgtoGg</f>
        <v>0.34029263047223002</v>
      </c>
      <c r="AU91" s="22">
        <f>'Activity data'!AU50*ManureNEF*NtoN2O*kgtoGg</f>
        <v>0.34389750855146695</v>
      </c>
      <c r="AV91" s="22">
        <f>'Activity data'!AV50*ManureNEF*NtoN2O*kgtoGg</f>
        <v>0.34691400861626337</v>
      </c>
      <c r="AW91" s="22">
        <f>'Activity data'!AW50*ManureNEF*NtoN2O*kgtoGg</f>
        <v>0.35073408789810306</v>
      </c>
      <c r="AX91" s="22">
        <f>'Activity data'!AX50*ManureNEF*NtoN2O*kgtoGg</f>
        <v>0.35462078168930278</v>
      </c>
      <c r="AY91" s="22">
        <f>'Activity data'!AY50*ManureNEF*NtoN2O*kgtoGg</f>
        <v>0.3585979942682116</v>
      </c>
      <c r="AZ91" s="22">
        <f>'Activity data'!AZ50*ManureNEF*NtoN2O*kgtoGg</f>
        <v>0.36238838838276011</v>
      </c>
      <c r="BA91" s="22">
        <f>'Activity data'!BA50*ManureNEF*NtoN2O*kgtoGg</f>
        <v>0.36638148099381496</v>
      </c>
      <c r="BB91" s="22">
        <f>'Activity data'!BB50*ManureNEF*NtoN2O*kgtoGg</f>
        <v>0.37058073412065079</v>
      </c>
      <c r="BC91" s="22">
        <f>'Activity data'!BC50*ManureNEF*NtoN2O*kgtoGg</f>
        <v>0.374909245314203</v>
      </c>
      <c r="BD91" s="22">
        <f>'Activity data'!BD50*ManureNEF*NtoN2O*kgtoGg</f>
        <v>0.37916393461400044</v>
      </c>
      <c r="BE91" s="22">
        <f>'Activity data'!BE50*ManureNEF*NtoN2O*kgtoGg</f>
        <v>0.38354975563817256</v>
      </c>
      <c r="BF91" s="22">
        <f>'Activity data'!BF50*ManureNEF*NtoN2O*kgtoGg</f>
        <v>0.3881880866992436</v>
      </c>
      <c r="BG91" s="22">
        <f>'Activity data'!BG50*ManureNEF*NtoN2O*kgtoGg</f>
        <v>0.3930207898359116</v>
      </c>
      <c r="BH91" s="22">
        <f>'Activity data'!BH50*ManureNEF*NtoN2O*kgtoGg</f>
        <v>0.39802888160199429</v>
      </c>
      <c r="BI91" s="22">
        <f>'Activity data'!BI50*ManureNEF*NtoN2O*kgtoGg</f>
        <v>0.40321972007138807</v>
      </c>
      <c r="BJ91" s="22">
        <f>'Activity data'!BJ50*ManureNEF*NtoN2O*kgtoGg</f>
        <v>0.40859400426006998</v>
      </c>
      <c r="BK91" s="22">
        <f>'Activity data'!BK50*ManureNEF*NtoN2O*kgtoGg</f>
        <v>0.41420002703221359</v>
      </c>
      <c r="BL91" s="22">
        <f>'Activity data'!BL50*ManureNEF*NtoN2O*kgtoGg</f>
        <v>0.4194360261560765</v>
      </c>
      <c r="BM91" s="22">
        <f>'Activity data'!BM50*ManureNEF*NtoN2O*kgtoGg</f>
        <v>0.42487801434777028</v>
      </c>
      <c r="BN91" s="22">
        <f>'Activity data'!BN50*ManureNEF*NtoN2O*kgtoGg</f>
        <v>0.43057095200498602</v>
      </c>
      <c r="BO91" s="22">
        <f>'Activity data'!BO50*ManureNEF*NtoN2O*kgtoGg</f>
        <v>0.43653783004480368</v>
      </c>
      <c r="BP91" s="22">
        <f>'Activity data'!BP50*ManureNEF*NtoN2O*kgtoGg</f>
        <v>0.44292027203308992</v>
      </c>
    </row>
    <row r="92" spans="1:68" x14ac:dyDescent="0.25">
      <c r="A92" t="str">
        <f t="shared" si="29"/>
        <v>3C Aggregated and non-CO2 emissions on land</v>
      </c>
      <c r="B92" t="str">
        <f t="shared" ref="B92:B134" si="31">B91</f>
        <v>3C4 Direct N2O from managed soils (N2O)</v>
      </c>
      <c r="C92" t="str">
        <f>C91</f>
        <v>MM emissions</v>
      </c>
      <c r="D92" t="str">
        <f>'Activity data'!D51</f>
        <v xml:space="preserve"> - Pasture</v>
      </c>
      <c r="E92" t="str">
        <f t="shared" ref="E92:E138" si="32">C92&amp;D92</f>
        <v>MM emissions - Pasture</v>
      </c>
      <c r="F92" t="str">
        <f t="shared" ref="F92:F106" si="33">F91</f>
        <v>N2O</v>
      </c>
      <c r="G92" t="str">
        <f t="shared" ref="G92:G106" si="34">G91</f>
        <v>Gg N2O</v>
      </c>
      <c r="H92" s="22">
        <f>'Activity data'!H51*ManureNEF*NtoN2O*kgtoGg</f>
        <v>0.76209725247791893</v>
      </c>
      <c r="I92" s="22">
        <f>'Activity data'!I51*ManureNEF*NtoN2O*kgtoGg</f>
        <v>0.87737188984736481</v>
      </c>
      <c r="J92" s="22">
        <f>'Activity data'!J51*ManureNEF*NtoN2O*kgtoGg</f>
        <v>0.75904020756555868</v>
      </c>
      <c r="K92" s="22">
        <f>'Activity data'!K51*ManureNEF*NtoN2O*kgtoGg</f>
        <v>0.80503327652792112</v>
      </c>
      <c r="L92" s="22">
        <f>'Activity data'!L51*ManureNEF*NtoN2O*kgtoGg</f>
        <v>0.74681202791611823</v>
      </c>
      <c r="M92" s="22">
        <f>'Activity data'!M51*ManureNEF*NtoN2O*kgtoGg</f>
        <v>0.79891918670320072</v>
      </c>
      <c r="N92" s="22">
        <f>'Activity data'!N51*ManureNEF*NtoN2O*kgtoGg</f>
        <v>0.80197623161556097</v>
      </c>
      <c r="O92" s="22">
        <f>'Activity data'!O51*ManureNEF*NtoN2O*kgtoGg</f>
        <v>0.77315757227319948</v>
      </c>
      <c r="P92" s="22">
        <f>'Activity data'!P51*ManureNEF*NtoN2O*kgtoGg</f>
        <v>0.76398643753611906</v>
      </c>
      <c r="Q92" s="22">
        <f>'Activity data'!Q51*ManureNEF*NtoN2O*kgtoGg</f>
        <v>0.75045300275555815</v>
      </c>
      <c r="R92" s="22">
        <f>'Activity data'!R51*ManureNEF*NtoN2O*kgtoGg</f>
        <v>0.96630098285972954</v>
      </c>
      <c r="S92" s="22">
        <f>'Activity data'!S51*ManureNEF*NtoN2O*kgtoGg</f>
        <v>0.9632439379473694</v>
      </c>
      <c r="T92" s="22">
        <f>'Activity data'!T51*ManureNEF*NtoN2O*kgtoGg</f>
        <v>0.83996602569500267</v>
      </c>
      <c r="U92" s="22">
        <f>'Activity data'!U51*ManureNEF*NtoN2O*kgtoGg</f>
        <v>0.76398643753611906</v>
      </c>
      <c r="V92" s="22">
        <f>'Activity data'!V51*ManureNEF*NtoN2O*kgtoGg</f>
        <v>0.73764089317903758</v>
      </c>
      <c r="W92" s="22">
        <f>'Activity data'!W51*ManureNEF*NtoN2O*kgtoGg</f>
        <v>0.78974805196612041</v>
      </c>
      <c r="X92" s="22">
        <f>'Activity data'!X51*ManureNEF*NtoN2O*kgtoGg</f>
        <v>0.77257364234611936</v>
      </c>
      <c r="Y92" s="22">
        <f>'Activity data'!Y51*ManureNEF*NtoN2O*kgtoGg</f>
        <v>0.7670434824484792</v>
      </c>
      <c r="Z92" s="22">
        <f>'Activity data'!Z51*ManureNEF*NtoN2O*kgtoGg</f>
        <v>0.93937150857556795</v>
      </c>
      <c r="AA92" s="22">
        <f>'Activity data'!AA51*ManureNEF*NtoN2O*kgtoGg</f>
        <v>0.96266000802028917</v>
      </c>
      <c r="AB92" s="22">
        <f>'Activity data'!AB51*ManureNEF*NtoN2O*kgtoGg</f>
        <v>0.96266000802028917</v>
      </c>
      <c r="AC92" s="22">
        <f>'Activity data'!AC51*ManureNEF*NtoN2O*kgtoGg</f>
        <v>0.92772725885320717</v>
      </c>
      <c r="AD92" s="22">
        <f>'Activity data'!AD51*ManureNEF*NtoN2O*kgtoGg</f>
        <v>0.93309577122444476</v>
      </c>
      <c r="AE92" s="22">
        <f>'Activity data'!AE51*ManureNEF*NtoN2O*kgtoGg</f>
        <v>0.93986037287938218</v>
      </c>
      <c r="AF92" s="22">
        <f>'Activity data'!AF51*ManureNEF*NtoN2O*kgtoGg</f>
        <v>0.94419031424419508</v>
      </c>
      <c r="AG92" s="22">
        <f>'Activity data'!AG51*ManureNEF*NtoN2O*kgtoGg</f>
        <v>0.94660571205761412</v>
      </c>
      <c r="AH92" s="22">
        <f>'Activity data'!AH51*ManureNEF*NtoN2O*kgtoGg</f>
        <v>0.94792608052581329</v>
      </c>
      <c r="AI92" s="22">
        <f>'Activity data'!AI51*ManureNEF*NtoN2O*kgtoGg</f>
        <v>0.95076929729052273</v>
      </c>
      <c r="AJ92" s="22">
        <f>'Activity data'!AJ51*ManureNEF*NtoN2O*kgtoGg</f>
        <v>0.9545394028555535</v>
      </c>
      <c r="AK92" s="22">
        <f>'Activity data'!AK51*ManureNEF*NtoN2O*kgtoGg</f>
        <v>0.95840757947273714</v>
      </c>
      <c r="AL92" s="22">
        <f>'Activity data'!AL51*ManureNEF*NtoN2O*kgtoGg</f>
        <v>0.92715631868114268</v>
      </c>
      <c r="AM92" s="22">
        <f>'Activity data'!AM51*ManureNEF*NtoN2O*kgtoGg</f>
        <v>0.93438213085557331</v>
      </c>
      <c r="AN92" s="22">
        <f>'Activity data'!AN51*ManureNEF*NtoN2O*kgtoGg</f>
        <v>0.94150137436958159</v>
      </c>
      <c r="AO92" s="22">
        <f>'Activity data'!AO51*ManureNEF*NtoN2O*kgtoGg</f>
        <v>0.94922597714074231</v>
      </c>
      <c r="AP92" s="22">
        <f>'Activity data'!AP51*ManureNEF*NtoN2O*kgtoGg</f>
        <v>0.95749426912762403</v>
      </c>
      <c r="AQ92" s="22">
        <f>'Activity data'!AQ51*ManureNEF*NtoN2O*kgtoGg</f>
        <v>0.96564230397231177</v>
      </c>
      <c r="AR92" s="22">
        <f>'Activity data'!AR51*ManureNEF*NtoN2O*kgtoGg</f>
        <v>0.97505043303919803</v>
      </c>
      <c r="AS92" s="22">
        <f>'Activity data'!AS51*ManureNEF*NtoN2O*kgtoGg</f>
        <v>0.9847783136727416</v>
      </c>
      <c r="AT92" s="22">
        <f>'Activity data'!AT51*ManureNEF*NtoN2O*kgtoGg</f>
        <v>0.99500570274291267</v>
      </c>
      <c r="AU92" s="22">
        <f>'Activity data'!AU51*ManureNEF*NtoN2O*kgtoGg</f>
        <v>1.0055462608547827</v>
      </c>
      <c r="AV92" s="22">
        <f>'Activity data'!AV51*ManureNEF*NtoN2O*kgtoGg</f>
        <v>1.0143664188541834</v>
      </c>
      <c r="AW92" s="22">
        <f>'Activity data'!AW51*ManureNEF*NtoN2O*kgtoGg</f>
        <v>1.0255362189908657</v>
      </c>
      <c r="AX92" s="22">
        <f>'Activity data'!AX51*ManureNEF*NtoN2O*kgtoGg</f>
        <v>1.0369007980053815</v>
      </c>
      <c r="AY92" s="22">
        <f>'Activity data'!AY51*ManureNEF*NtoN2O*kgtoGg</f>
        <v>1.0485300513087619</v>
      </c>
      <c r="AZ92" s="22">
        <f>'Activity data'!AZ51*ManureNEF*NtoN2O*kgtoGg</f>
        <v>1.0596130528841563</v>
      </c>
      <c r="BA92" s="22">
        <f>'Activity data'!BA51*ManureNEF*NtoN2O*kgtoGg</f>
        <v>1.0712887389372645</v>
      </c>
      <c r="BB92" s="22">
        <f>'Activity data'!BB51*ManureNEF*NtoN2O*kgtoGg</f>
        <v>1.0835672323112306</v>
      </c>
      <c r="BC92" s="22">
        <f>'Activity data'!BC51*ManureNEF*NtoN2O*kgtoGg</f>
        <v>1.0962236724933003</v>
      </c>
      <c r="BD92" s="22">
        <f>'Activity data'!BD51*ManureNEF*NtoN2O*kgtoGg</f>
        <v>1.1086642596162799</v>
      </c>
      <c r="BE92" s="22">
        <f>'Activity data'!BE51*ManureNEF*NtoN2O*kgtoGg</f>
        <v>1.121488272067579</v>
      </c>
      <c r="BF92" s="22">
        <f>'Activity data'!BF51*ManureNEF*NtoN2O*kgtoGg</f>
        <v>1.1350506164844143</v>
      </c>
      <c r="BG92" s="22">
        <f>'Activity data'!BG51*ManureNEF*NtoN2O*kgtoGg</f>
        <v>1.1491812991676542</v>
      </c>
      <c r="BH92" s="22">
        <f>'Activity data'!BH51*ManureNEF*NtoN2O*kgtoGg</f>
        <v>1.1638248130756605</v>
      </c>
      <c r="BI92" s="22">
        <f>'Activity data'!BI51*ManureNEF*NtoN2O*kgtoGg</f>
        <v>1.1790026730013858</v>
      </c>
      <c r="BJ92" s="22">
        <f>'Activity data'!BJ51*ManureNEF*NtoN2O*kgtoGg</f>
        <v>1.1947169228471106</v>
      </c>
      <c r="BK92" s="22">
        <f>'Activity data'!BK51*ManureNEF*NtoN2O*kgtoGg</f>
        <v>1.2111087695357938</v>
      </c>
      <c r="BL92" s="22">
        <f>'Activity data'!BL51*ManureNEF*NtoN2O*kgtoGg</f>
        <v>1.2264186778948749</v>
      </c>
      <c r="BM92" s="22">
        <f>'Activity data'!BM51*ManureNEF*NtoN2O*kgtoGg</f>
        <v>1.2423308922660199</v>
      </c>
      <c r="BN92" s="22">
        <f>'Activity data'!BN51*ManureNEF*NtoN2O*kgtoGg</f>
        <v>1.2589768755376198</v>
      </c>
      <c r="BO92" s="22">
        <f>'Activity data'!BO51*ManureNEF*NtoN2O*kgtoGg</f>
        <v>1.276423852479057</v>
      </c>
      <c r="BP92" s="22">
        <f>'Activity data'!BP51*ManureNEF*NtoN2O*kgtoGg</f>
        <v>1.2950859262564347</v>
      </c>
    </row>
    <row r="93" spans="1:68" x14ac:dyDescent="0.25">
      <c r="A93" t="str">
        <f t="shared" si="29"/>
        <v>3C Aggregated and non-CO2 emissions on land</v>
      </c>
      <c r="B93" t="str">
        <f t="shared" si="31"/>
        <v>3C4 Direct N2O from managed soils (N2O)</v>
      </c>
      <c r="C93" t="str">
        <f t="shared" ref="C93:C106" si="35">C92</f>
        <v>MM emissions</v>
      </c>
      <c r="D93" t="str">
        <f>'Activity data'!D52</f>
        <v xml:space="preserve"> - Non-lactating</v>
      </c>
      <c r="E93" t="str">
        <f t="shared" si="32"/>
        <v>MM emissions - Non-lactating</v>
      </c>
      <c r="F93" t="str">
        <f t="shared" si="33"/>
        <v>N2O</v>
      </c>
      <c r="G93" t="str">
        <f t="shared" si="34"/>
        <v>Gg N2O</v>
      </c>
      <c r="H93" s="22">
        <f>'Activity data'!H52*ManureNEF*NtoN2O*kgtoGg</f>
        <v>4.8126809955822768E-2</v>
      </c>
      <c r="I93" s="22">
        <f>'Activity data'!I52*ManureNEF*NtoN2O*kgtoGg</f>
        <v>5.4703801917722318E-2</v>
      </c>
      <c r="J93" s="22">
        <f>'Activity data'!J52*ManureNEF*NtoN2O*kgtoGg</f>
        <v>4.73189311103272E-2</v>
      </c>
      <c r="K93" s="22">
        <f>'Activity data'!K52*ManureNEF*NtoN2O*kgtoGg</f>
        <v>4.9520758530788335E-2</v>
      </c>
      <c r="L93" s="22">
        <f>'Activity data'!L52*ManureNEF*NtoN2O*kgtoGg</f>
        <v>4.4087415728345042E-2</v>
      </c>
      <c r="M93" s="22">
        <f>'Activity data'!M52*ManureNEF*NtoN2O*kgtoGg</f>
        <v>4.7905000839797235E-2</v>
      </c>
      <c r="N93" s="22">
        <f>'Activity data'!N52*ManureNEF*NtoN2O*kgtoGg</f>
        <v>4.8712879685292768E-2</v>
      </c>
      <c r="O93" s="22">
        <f>'Activity data'!O52*ManureNEF*NtoN2O*kgtoGg</f>
        <v>4.7068631694817883E-2</v>
      </c>
      <c r="P93" s="22">
        <f>'Activity data'!P52*ManureNEF*NtoN2O*kgtoGg</f>
        <v>4.4644995158331258E-2</v>
      </c>
      <c r="Q93" s="22">
        <f>'Activity data'!Q52*ManureNEF*NtoN2O*kgtoGg</f>
        <v>4.7040141395334092E-2</v>
      </c>
      <c r="R93" s="22">
        <f>'Activity data'!R52*ManureNEF*NtoN2O*kgtoGg</f>
        <v>5.8299577913148978E-2</v>
      </c>
      <c r="S93" s="22">
        <f>'Activity data'!S52*ManureNEF*NtoN2O*kgtoGg</f>
        <v>5.7491699067653446E-2</v>
      </c>
      <c r="T93" s="22">
        <f>'Activity data'!T52*ManureNEF*NtoN2O*kgtoGg</f>
        <v>5.2780764212254298E-2</v>
      </c>
      <c r="U93" s="22">
        <f>'Activity data'!U52*ManureNEF*NtoN2O*kgtoGg</f>
        <v>4.4644995158331258E-2</v>
      </c>
      <c r="V93" s="22">
        <f>'Activity data'!V52*ManureNEF*NtoN2O*kgtoGg</f>
        <v>4.1663779191858388E-2</v>
      </c>
      <c r="W93" s="22">
        <f>'Activity data'!W52*ManureNEF*NtoN2O*kgtoGg</f>
        <v>4.5481364303310602E-2</v>
      </c>
      <c r="X93" s="22">
        <f>'Activity data'!X52*ManureNEF*NtoN2O*kgtoGg</f>
        <v>4.4923784873324366E-2</v>
      </c>
      <c r="Y93" s="22">
        <f>'Activity data'!Y52*ManureNEF*NtoN2O*kgtoGg</f>
        <v>4.5452874003826804E-2</v>
      </c>
      <c r="Z93" s="22">
        <f>'Activity data'!Z52*ManureNEF*NtoN2O*kgtoGg</f>
        <v>5.3173515125182619E-2</v>
      </c>
      <c r="AA93" s="22">
        <f>'Activity data'!AA52*ManureNEF*NtoN2O*kgtoGg</f>
        <v>5.5346852246159921E-2</v>
      </c>
      <c r="AB93" s="22">
        <f>'Activity data'!AB52*ManureNEF*NtoN2O*kgtoGg</f>
        <v>5.5346852246159921E-2</v>
      </c>
      <c r="AC93" s="22">
        <f>'Activity data'!AC52*ManureNEF*NtoN2O*kgtoGg</f>
        <v>5.2086846564693957E-2</v>
      </c>
      <c r="AD93" s="22">
        <f>'Activity data'!AD52*ManureNEF*NtoN2O*kgtoGg</f>
        <v>4.9915362606897426E-2</v>
      </c>
      <c r="AE93" s="22">
        <f>'Activity data'!AE52*ManureNEF*NtoN2O*kgtoGg</f>
        <v>5.0277230654005085E-2</v>
      </c>
      <c r="AF93" s="22">
        <f>'Activity data'!AF52*ManureNEF*NtoN2O*kgtoGg</f>
        <v>5.0508858103144233E-2</v>
      </c>
      <c r="AG93" s="22">
        <f>'Activity data'!AG52*ManureNEF*NtoN2O*kgtoGg</f>
        <v>5.0638068267218284E-2</v>
      </c>
      <c r="AH93" s="22">
        <f>'Activity data'!AH52*ManureNEF*NtoN2O*kgtoGg</f>
        <v>5.0708700535520589E-2</v>
      </c>
      <c r="AI93" s="22">
        <f>'Activity data'!AI52*ManureNEF*NtoN2O*kgtoGg</f>
        <v>5.0860796601280532E-2</v>
      </c>
      <c r="AJ93" s="22">
        <f>'Activity data'!AJ52*ManureNEF*NtoN2O*kgtoGg</f>
        <v>5.106247599170137E-2</v>
      </c>
      <c r="AK93" s="22">
        <f>'Activity data'!AK52*ManureNEF*NtoN2O*kgtoGg</f>
        <v>5.1269401630449962E-2</v>
      </c>
      <c r="AL93" s="22">
        <f>'Activity data'!AL52*ManureNEF*NtoN2O*kgtoGg</f>
        <v>4.9597635384753494E-2</v>
      </c>
      <c r="AM93" s="22">
        <f>'Activity data'!AM52*ManureNEF*NtoN2O*kgtoGg</f>
        <v>4.9984175594171364E-2</v>
      </c>
      <c r="AN93" s="22">
        <f>'Activity data'!AN52*ManureNEF*NtoN2O*kgtoGg</f>
        <v>5.0365014981131835E-2</v>
      </c>
      <c r="AO93" s="22">
        <f>'Activity data'!AO52*ManureNEF*NtoN2O*kgtoGg</f>
        <v>5.0778237675101152E-2</v>
      </c>
      <c r="AP93" s="22">
        <f>'Activity data'!AP52*ManureNEF*NtoN2O*kgtoGg</f>
        <v>5.1220544676582172E-2</v>
      </c>
      <c r="AQ93" s="22">
        <f>'Activity data'!AQ52*ManureNEF*NtoN2O*kgtoGg</f>
        <v>5.1656418599011933E-2</v>
      </c>
      <c r="AR93" s="22">
        <f>'Activity data'!AR52*ManureNEF*NtoN2O*kgtoGg</f>
        <v>5.2159700457432408E-2</v>
      </c>
      <c r="AS93" s="22">
        <f>'Activity data'!AS52*ManureNEF*NtoN2O*kgtoGg</f>
        <v>5.2680087221786465E-2</v>
      </c>
      <c r="AT93" s="22">
        <f>'Activity data'!AT52*ManureNEF*NtoN2O*kgtoGg</f>
        <v>5.3227194871078985E-2</v>
      </c>
      <c r="AU93" s="22">
        <f>'Activity data'!AU52*ManureNEF*NtoN2O*kgtoGg</f>
        <v>5.3791055298334646E-2</v>
      </c>
      <c r="AV93" s="22">
        <f>'Activity data'!AV52*ManureNEF*NtoN2O*kgtoGg</f>
        <v>5.4262884019852159E-2</v>
      </c>
      <c r="AW93" s="22">
        <f>'Activity data'!AW52*ManureNEF*NtoN2O*kgtoGg</f>
        <v>5.4860405347526189E-2</v>
      </c>
      <c r="AX93" s="22">
        <f>'Activity data'!AX52*ManureNEF*NtoN2O*kgtoGg</f>
        <v>5.5468346246925967E-2</v>
      </c>
      <c r="AY93" s="22">
        <f>'Activity data'!AY52*ManureNEF*NtoN2O*kgtoGg</f>
        <v>5.6090445728444287E-2</v>
      </c>
      <c r="AZ93" s="22">
        <f>'Activity data'!AZ52*ManureNEF*NtoN2O*kgtoGg</f>
        <v>5.6683323822493206E-2</v>
      </c>
      <c r="BA93" s="22">
        <f>'Activity data'!BA52*ManureNEF*NtoN2O*kgtoGg</f>
        <v>5.7307907194316263E-2</v>
      </c>
      <c r="BB93" s="22">
        <f>'Activity data'!BB52*ManureNEF*NtoN2O*kgtoGg</f>
        <v>5.7964737358945161E-2</v>
      </c>
      <c r="BC93" s="22">
        <f>'Activity data'!BC52*ManureNEF*NtoN2O*kgtoGg</f>
        <v>5.8641785546797866E-2</v>
      </c>
      <c r="BD93" s="22">
        <f>'Activity data'!BD52*ManureNEF*NtoN2O*kgtoGg</f>
        <v>5.9307286813051967E-2</v>
      </c>
      <c r="BE93" s="22">
        <f>'Activity data'!BE52*ManureNEF*NtoN2O*kgtoGg</f>
        <v>5.999329917247137E-2</v>
      </c>
      <c r="BF93" s="22">
        <f>'Activity data'!BF52*ManureNEF*NtoN2O*kgtoGg</f>
        <v>6.0718808129046772E-2</v>
      </c>
      <c r="BG93" s="22">
        <f>'Activity data'!BG52*ManureNEF*NtoN2O*kgtoGg</f>
        <v>6.1474719978364609E-2</v>
      </c>
      <c r="BH93" s="22">
        <f>'Activity data'!BH52*ManureNEF*NtoN2O*kgtoGg</f>
        <v>6.2258065406667333E-2</v>
      </c>
      <c r="BI93" s="22">
        <f>'Activity data'!BI52*ManureNEF*NtoN2O*kgtoGg</f>
        <v>6.3069995334069248E-2</v>
      </c>
      <c r="BJ93" s="22">
        <f>'Activity data'!BJ52*ManureNEF*NtoN2O*kgtoGg</f>
        <v>6.3910619097817992E-2</v>
      </c>
      <c r="BK93" s="22">
        <f>'Activity data'!BK52*ManureNEF*NtoN2O*kgtoGg</f>
        <v>6.4787490472112838E-2</v>
      </c>
      <c r="BL93" s="22">
        <f>'Activity data'!BL52*ManureNEF*NtoN2O*kgtoGg</f>
        <v>6.5606484246159308E-2</v>
      </c>
      <c r="BM93" s="22">
        <f>'Activity data'!BM52*ManureNEF*NtoN2O*kgtoGg</f>
        <v>6.6457697995817758E-2</v>
      </c>
      <c r="BN93" s="22">
        <f>'Activity data'!BN52*ManureNEF*NtoN2O*kgtoGg</f>
        <v>6.734816424437863E-2</v>
      </c>
      <c r="BO93" s="22">
        <f>'Activity data'!BO52*ManureNEF*NtoN2O*kgtoGg</f>
        <v>6.8281479137964757E-2</v>
      </c>
      <c r="BP93" s="22">
        <f>'Activity data'!BP52*ManureNEF*NtoN2O*kgtoGg</f>
        <v>6.9279794861089386E-2</v>
      </c>
    </row>
    <row r="94" spans="1:68" x14ac:dyDescent="0.25">
      <c r="A94" t="str">
        <f t="shared" si="29"/>
        <v>3C Aggregated and non-CO2 emissions on land</v>
      </c>
      <c r="B94" t="str">
        <f t="shared" si="31"/>
        <v>3C4 Direct N2O from managed soils (N2O)</v>
      </c>
      <c r="C94" t="str">
        <f t="shared" si="35"/>
        <v>MM emissions</v>
      </c>
      <c r="D94" t="str">
        <f>'Activity data'!D53</f>
        <v xml:space="preserve"> - Commercial cattle</v>
      </c>
      <c r="E94" t="str">
        <f t="shared" si="32"/>
        <v>MM emissions - Commercial cattle</v>
      </c>
      <c r="F94" t="str">
        <f t="shared" si="33"/>
        <v>N2O</v>
      </c>
      <c r="G94" t="str">
        <f t="shared" si="34"/>
        <v>Gg N2O</v>
      </c>
      <c r="H94" s="22">
        <f>'Activity data'!H53*ManureNEF*NtoN2O*kgtoGg</f>
        <v>0.45791661524455107</v>
      </c>
      <c r="I94" s="22">
        <f>'Activity data'!I53*ManureNEF*NtoN2O*kgtoGg</f>
        <v>0.43815199614411882</v>
      </c>
      <c r="J94" s="22">
        <f>'Activity data'!J53*ManureNEF*NtoN2O*kgtoGg</f>
        <v>0.43799279906939059</v>
      </c>
      <c r="K94" s="22">
        <f>'Activity data'!K53*ManureNEF*NtoN2O*kgtoGg</f>
        <v>0.40975782084523449</v>
      </c>
      <c r="L94" s="22">
        <f>'Activity data'!L53*ManureNEF*NtoN2O*kgtoGg</f>
        <v>0.42211070778300469</v>
      </c>
      <c r="M94" s="22">
        <f>'Activity data'!M53*ManureNEF*NtoN2O*kgtoGg</f>
        <v>0.43170820906450869</v>
      </c>
      <c r="N94" s="22">
        <f>'Activity data'!N53*ManureNEF*NtoN2O*kgtoGg</f>
        <v>0.44961687239500847</v>
      </c>
      <c r="O94" s="22">
        <f>'Activity data'!O53*ManureNEF*NtoN2O*kgtoGg</f>
        <v>0.46664894423808073</v>
      </c>
      <c r="P94" s="22">
        <f>'Activity data'!P53*ManureNEF*NtoN2O*kgtoGg</f>
        <v>0.47069066912685531</v>
      </c>
      <c r="Q94" s="22">
        <f>'Activity data'!Q53*ManureNEF*NtoN2O*kgtoGg</f>
        <v>0.46307406309165272</v>
      </c>
      <c r="R94" s="22">
        <f>'Activity data'!R53*ManureNEF*NtoN2O*kgtoGg</f>
        <v>0.43161685546888418</v>
      </c>
      <c r="S94" s="22">
        <f>'Activity data'!S53*ManureNEF*NtoN2O*kgtoGg</f>
        <v>0.43385972058499156</v>
      </c>
      <c r="T94" s="22">
        <f>'Activity data'!T53*ManureNEF*NtoN2O*kgtoGg</f>
        <v>0.40436124152723313</v>
      </c>
      <c r="U94" s="22">
        <f>'Activity data'!U53*ManureNEF*NtoN2O*kgtoGg</f>
        <v>0.41493810709124229</v>
      </c>
      <c r="V94" s="22">
        <f>'Activity data'!V53*ManureNEF*NtoN2O*kgtoGg</f>
        <v>0.41876353890802326</v>
      </c>
      <c r="W94" s="22">
        <f>'Activity data'!W53*ManureNEF*NtoN2O*kgtoGg</f>
        <v>0.42231558165554511</v>
      </c>
      <c r="X94" s="22">
        <f>'Activity data'!X53*ManureNEF*NtoN2O*kgtoGg</f>
        <v>0.41269524197513491</v>
      </c>
      <c r="Y94" s="22">
        <f>'Activity data'!Y53*ManureNEF*NtoN2O*kgtoGg</f>
        <v>0.42478615904309913</v>
      </c>
      <c r="Z94" s="22">
        <f>'Activity data'!Z53*ManureNEF*NtoN2O*kgtoGg</f>
        <v>0.41298221653315503</v>
      </c>
      <c r="AA94" s="22">
        <f>'Activity data'!AA53*ManureNEF*NtoN2O*kgtoGg</f>
        <v>0.40604796364174167</v>
      </c>
      <c r="AB94" s="22">
        <f>'Activity data'!AB53*ManureNEF*NtoN2O*kgtoGg</f>
        <v>0.40477150425581887</v>
      </c>
      <c r="AC94" s="22">
        <f>'Activity data'!AC53*ManureNEF*NtoN2O*kgtoGg</f>
        <v>0.40331805287602013</v>
      </c>
      <c r="AD94" s="22">
        <f>'Activity data'!AD53*ManureNEF*NtoN2O*kgtoGg</f>
        <v>0.4021950138053082</v>
      </c>
      <c r="AE94" s="22">
        <f>'Activity data'!AE53*ManureNEF*NtoN2O*kgtoGg</f>
        <v>0.40077036725019877</v>
      </c>
      <c r="AF94" s="22">
        <f>'Activity data'!AF53*ManureNEF*NtoN2O*kgtoGg</f>
        <v>0.39552805642665106</v>
      </c>
      <c r="AG94" s="22">
        <f>'Activity data'!AG53*ManureNEF*NtoN2O*kgtoGg</f>
        <v>0.38741956772400782</v>
      </c>
      <c r="AH94" s="22">
        <f>'Activity data'!AH53*ManureNEF*NtoN2O*kgtoGg</f>
        <v>0.37766872568518683</v>
      </c>
      <c r="AI94" s="22">
        <f>'Activity data'!AI53*ManureNEF*NtoN2O*kgtoGg</f>
        <v>0.36949339724927827</v>
      </c>
      <c r="AJ94" s="22">
        <f>'Activity data'!AJ53*ManureNEF*NtoN2O*kgtoGg</f>
        <v>0.36226671213278749</v>
      </c>
      <c r="AK94" s="22">
        <f>'Activity data'!AK53*ManureNEF*NtoN2O*kgtoGg</f>
        <v>0.35498755422050521</v>
      </c>
      <c r="AL94" s="22">
        <f>'Activity data'!AL53*ManureNEF*NtoN2O*kgtoGg</f>
        <v>0.30945523408355963</v>
      </c>
      <c r="AM94" s="22">
        <f>'Activity data'!AM53*ManureNEF*NtoN2O*kgtoGg</f>
        <v>0.31122417126180174</v>
      </c>
      <c r="AN94" s="22">
        <f>'Activity data'!AN53*ManureNEF*NtoN2O*kgtoGg</f>
        <v>0.3129923549092154</v>
      </c>
      <c r="AO94" s="22">
        <f>'Activity data'!AO53*ManureNEF*NtoN2O*kgtoGg</f>
        <v>0.31551147686079634</v>
      </c>
      <c r="AP94" s="22">
        <f>'Activity data'!AP53*ManureNEF*NtoN2O*kgtoGg</f>
        <v>0.31846124209095378</v>
      </c>
      <c r="AQ94" s="22">
        <f>'Activity data'!AQ53*ManureNEF*NtoN2O*kgtoGg</f>
        <v>0.32115956065044149</v>
      </c>
      <c r="AR94" s="22">
        <f>'Activity data'!AR53*ManureNEF*NtoN2O*kgtoGg</f>
        <v>0.32499211805671852</v>
      </c>
      <c r="AS94" s="22">
        <f>'Activity data'!AS53*ManureNEF*NtoN2O*kgtoGg</f>
        <v>0.32899351231227386</v>
      </c>
      <c r="AT94" s="22">
        <f>'Activity data'!AT53*ManureNEF*NtoN2O*kgtoGg</f>
        <v>0.33333229948404874</v>
      </c>
      <c r="AU94" s="22">
        <f>'Activity data'!AU53*ManureNEF*NtoN2O*kgtoGg</f>
        <v>0.33779189103511598</v>
      </c>
      <c r="AV94" s="22">
        <f>'Activity data'!AV53*ManureNEF*NtoN2O*kgtoGg</f>
        <v>0.34046318061350783</v>
      </c>
      <c r="AW94" s="22">
        <f>'Activity data'!AW53*ManureNEF*NtoN2O*kgtoGg</f>
        <v>0.34227968627047173</v>
      </c>
      <c r="AX94" s="22">
        <f>'Activity data'!AX53*ManureNEF*NtoN2O*kgtoGg</f>
        <v>0.34396492335757689</v>
      </c>
      <c r="AY94" s="22">
        <f>'Activity data'!AY53*ManureNEF*NtoN2O*kgtoGg</f>
        <v>0.34557582867694214</v>
      </c>
      <c r="AZ94" s="22">
        <f>'Activity data'!AZ53*ManureNEF*NtoN2O*kgtoGg</f>
        <v>0.34640456236830369</v>
      </c>
      <c r="BA94" s="22">
        <f>'Activity data'!BA53*ManureNEF*NtoN2O*kgtoGg</f>
        <v>0.34744043273512815</v>
      </c>
      <c r="BB94" s="22">
        <f>'Activity data'!BB53*ManureNEF*NtoN2O*kgtoGg</f>
        <v>0.34866258472657075</v>
      </c>
      <c r="BC94" s="22">
        <f>'Activity data'!BC53*ManureNEF*NtoN2O*kgtoGg</f>
        <v>0.3498630945679011</v>
      </c>
      <c r="BD94" s="22">
        <f>'Activity data'!BD53*ManureNEF*NtoN2O*kgtoGg</f>
        <v>0.35056588237475095</v>
      </c>
      <c r="BE94" s="22">
        <f>'Activity data'!BE53*ManureNEF*NtoN2O*kgtoGg</f>
        <v>0.3512354003111316</v>
      </c>
      <c r="BF94" s="22">
        <f>'Activity data'!BF53*ManureNEF*NtoN2O*kgtoGg</f>
        <v>0.35211694445656072</v>
      </c>
      <c r="BG94" s="22">
        <f>'Activity data'!BG53*ManureNEF*NtoN2O*kgtoGg</f>
        <v>0.3548537211001157</v>
      </c>
      <c r="BH94" s="22">
        <f>'Activity data'!BH53*ManureNEF*NtoN2O*kgtoGg</f>
        <v>0.3576642321315805</v>
      </c>
      <c r="BI94" s="22">
        <f>'Activity data'!BI53*ManureNEF*NtoN2O*kgtoGg</f>
        <v>0.36054555462437232</v>
      </c>
      <c r="BJ94" s="22">
        <f>'Activity data'!BJ53*ManureNEF*NtoN2O*kgtoGg</f>
        <v>0.36348027335538713</v>
      </c>
      <c r="BK94" s="22">
        <f>'Activity data'!BK53*ManureNEF*NtoN2O*kgtoGg</f>
        <v>0.36654371292285465</v>
      </c>
      <c r="BL94" s="22">
        <f>'Activity data'!BL53*ManureNEF*NtoN2O*kgtoGg</f>
        <v>0.36856827034066642</v>
      </c>
      <c r="BM94" s="22">
        <f>'Activity data'!BM53*ManureNEF*NtoN2O*kgtoGg</f>
        <v>0.3706747081124841</v>
      </c>
      <c r="BN94" s="22">
        <f>'Activity data'!BN53*ManureNEF*NtoN2O*kgtoGg</f>
        <v>0.37292362266797735</v>
      </c>
      <c r="BO94" s="22">
        <f>'Activity data'!BO53*ManureNEF*NtoN2O*kgtoGg</f>
        <v>0.37533034109059554</v>
      </c>
      <c r="BP94" s="22">
        <f>'Activity data'!BP53*ManureNEF*NtoN2O*kgtoGg</f>
        <v>0.37811260415006193</v>
      </c>
    </row>
    <row r="95" spans="1:68" x14ac:dyDescent="0.25">
      <c r="A95" t="str">
        <f t="shared" si="29"/>
        <v>3C Aggregated and non-CO2 emissions on land</v>
      </c>
      <c r="B95" t="str">
        <f t="shared" si="31"/>
        <v>3C4 Direct N2O from managed soils (N2O)</v>
      </c>
      <c r="C95" t="str">
        <f t="shared" si="35"/>
        <v>MM emissions</v>
      </c>
      <c r="D95" t="str">
        <f>'Activity data'!D54</f>
        <v xml:space="preserve"> - Subsistence cattle</v>
      </c>
      <c r="E95" t="str">
        <f t="shared" si="32"/>
        <v>MM emissions - Subsistence cattle</v>
      </c>
      <c r="F95" t="str">
        <f t="shared" si="33"/>
        <v>N2O</v>
      </c>
      <c r="G95" t="str">
        <f t="shared" si="34"/>
        <v>Gg N2O</v>
      </c>
      <c r="H95" s="22">
        <f>'Activity data'!H54*ManureNEF*NtoN2O*kgtoGg</f>
        <v>2.3123208692915074</v>
      </c>
      <c r="I95" s="22">
        <f>'Activity data'!I54*ManureNEF*NtoN2O*kgtoGg</f>
        <v>2.4533774800543875</v>
      </c>
      <c r="J95" s="22">
        <f>'Activity data'!J54*ManureNEF*NtoN2O*kgtoGg</f>
        <v>2.5692454103238966</v>
      </c>
      <c r="K95" s="22">
        <f>'Activity data'!K54*ManureNEF*NtoN2O*kgtoGg</f>
        <v>2.5390189937318506</v>
      </c>
      <c r="L95" s="22">
        <f>'Activity data'!L54*ManureNEF*NtoN2O*kgtoGg</f>
        <v>2.2115661473180213</v>
      </c>
      <c r="M95" s="22">
        <f>'Activity data'!M54*ManureNEF*NtoN2O*kgtoGg</f>
        <v>2.1360001058379061</v>
      </c>
      <c r="N95" s="22">
        <f>'Activity data'!N54*ManureNEF*NtoN2O*kgtoGg</f>
        <v>2.1964529390219978</v>
      </c>
      <c r="O95" s="22">
        <f>'Activity data'!O54*ManureNEF*NtoN2O*kgtoGg</f>
        <v>2.2972076609954839</v>
      </c>
      <c r="P95" s="22">
        <f>'Activity data'!P54*ManureNEF*NtoN2O*kgtoGg</f>
        <v>2.4382642717583649</v>
      </c>
      <c r="Q95" s="22">
        <f>'Activity data'!Q54*ManureNEF*NtoN2O*kgtoGg</f>
        <v>2.5390189937318506</v>
      </c>
      <c r="R95" s="22">
        <f>'Activity data'!R54*ManureNEF*NtoN2O*kgtoGg</f>
        <v>2.4785661605477589</v>
      </c>
      <c r="S95" s="22">
        <f>'Activity data'!S54*ManureNEF*NtoN2O*kgtoGg</f>
        <v>2.4181133273636677</v>
      </c>
      <c r="T95" s="22">
        <f>'Activity data'!T54*ManureNEF*NtoN2O*kgtoGg</f>
        <v>2.7405284376788228</v>
      </c>
      <c r="U95" s="22">
        <f>'Activity data'!U54*ManureNEF*NtoN2O*kgtoGg</f>
        <v>2.8060190069615891</v>
      </c>
      <c r="V95" s="22">
        <f>'Activity data'!V54*ManureNEF*NtoN2O*kgtoGg</f>
        <v>2.7606793820735205</v>
      </c>
      <c r="W95" s="22">
        <f>'Activity data'!W54*ManureNEF*NtoN2O*kgtoGg</f>
        <v>2.6800756044947311</v>
      </c>
      <c r="X95" s="22">
        <f>'Activity data'!X54*ManureNEF*NtoN2O*kgtoGg</f>
        <v>2.7657171181721947</v>
      </c>
      <c r="Y95" s="22">
        <f>'Activity data'!Y54*ManureNEF*NtoN2O*kgtoGg</f>
        <v>2.8765473123430296</v>
      </c>
      <c r="Z95" s="22">
        <f>'Activity data'!Z54*ManureNEF*NtoN2O*kgtoGg</f>
        <v>2.8312076874549605</v>
      </c>
      <c r="AA95" s="22">
        <f>'Activity data'!AA54*ManureNEF*NtoN2O*kgtoGg</f>
        <v>2.8009812708629149</v>
      </c>
      <c r="AB95" s="22">
        <f>'Activity data'!AB54*ManureNEF*NtoN2O*kgtoGg</f>
        <v>2.7606793820735205</v>
      </c>
      <c r="AC95" s="22">
        <f>'Activity data'!AC54*ManureNEF*NtoN2O*kgtoGg</f>
        <v>2.7808303264682173</v>
      </c>
      <c r="AD95" s="22">
        <f>'Activity data'!AD54*ManureNEF*NtoN2O*kgtoGg</f>
        <v>2.6748987422049813</v>
      </c>
      <c r="AE95" s="22">
        <f>'Activity data'!AE54*ManureNEF*NtoN2O*kgtoGg</f>
        <v>2.6654237732283814</v>
      </c>
      <c r="AF95" s="22">
        <f>'Activity data'!AF54*ManureNEF*NtoN2O*kgtoGg</f>
        <v>2.6305584712061556</v>
      </c>
      <c r="AG95" s="22">
        <f>'Activity data'!AG54*ManureNEF*NtoN2O*kgtoGg</f>
        <v>2.5766309348434513</v>
      </c>
      <c r="AH95" s="22">
        <f>'Activity data'!AH54*ManureNEF*NtoN2O*kgtoGg</f>
        <v>2.5117805159923932</v>
      </c>
      <c r="AI95" s="22">
        <f>'Activity data'!AI54*ManureNEF*NtoN2O*kgtoGg</f>
        <v>2.4574084452314402</v>
      </c>
      <c r="AJ95" s="22">
        <f>'Activity data'!AJ54*ManureNEF*NtoN2O*kgtoGg</f>
        <v>2.4093455646265354</v>
      </c>
      <c r="AK95" s="22">
        <f>'Activity data'!AK54*ManureNEF*NtoN2O*kgtoGg</f>
        <v>2.3609337005418647</v>
      </c>
      <c r="AL95" s="22">
        <f>'Activity data'!AL54*ManureNEF*NtoN2O*kgtoGg</f>
        <v>2.0581095936200713</v>
      </c>
      <c r="AM95" s="22">
        <f>'Activity data'!AM54*ManureNEF*NtoN2O*kgtoGg</f>
        <v>2.0698743536760227</v>
      </c>
      <c r="AN95" s="22">
        <f>'Activity data'!AN54*ManureNEF*NtoN2O*kgtoGg</f>
        <v>2.0816341021863409</v>
      </c>
      <c r="AO95" s="22">
        <f>'Activity data'!AO54*ManureNEF*NtoN2O*kgtoGg</f>
        <v>2.0983881540976022</v>
      </c>
      <c r="AP95" s="22">
        <f>'Activity data'!AP54*ManureNEF*NtoN2O*kgtoGg</f>
        <v>2.118006307065972</v>
      </c>
      <c r="AQ95" s="22">
        <f>'Activity data'!AQ54*ManureNEF*NtoN2O*kgtoGg</f>
        <v>2.1359521509305006</v>
      </c>
      <c r="AR95" s="22">
        <f>'Activity data'!AR54*ManureNEF*NtoN2O*kgtoGg</f>
        <v>2.1614415345220177</v>
      </c>
      <c r="AS95" s="22">
        <f>'Activity data'!AS54*ManureNEF*NtoN2O*kgtoGg</f>
        <v>2.1880538098955578</v>
      </c>
      <c r="AT95" s="22">
        <f>'Activity data'!AT54*ManureNEF*NtoN2O*kgtoGg</f>
        <v>2.2169100014198349</v>
      </c>
      <c r="AU95" s="22">
        <f>'Activity data'!AU54*ManureNEF*NtoN2O*kgtoGg</f>
        <v>2.2465696327460258</v>
      </c>
      <c r="AV95" s="22">
        <f>'Activity data'!AV54*ManureNEF*NtoN2O*kgtoGg</f>
        <v>2.2643357135974522</v>
      </c>
      <c r="AW95" s="22">
        <f>'Activity data'!AW54*ManureNEF*NtoN2O*kgtoGg</f>
        <v>2.2764168397433187</v>
      </c>
      <c r="AX95" s="22">
        <f>'Activity data'!AX54*ManureNEF*NtoN2O*kgtoGg</f>
        <v>2.2876249313652535</v>
      </c>
      <c r="AY95" s="22">
        <f>'Activity data'!AY54*ManureNEF*NtoN2O*kgtoGg</f>
        <v>2.2983386609359231</v>
      </c>
      <c r="AZ95" s="22">
        <f>'Activity data'!AZ54*ManureNEF*NtoN2O*kgtoGg</f>
        <v>2.303850362057406</v>
      </c>
      <c r="BA95" s="22">
        <f>'Activity data'!BA54*ManureNEF*NtoN2O*kgtoGg</f>
        <v>2.3107396775541114</v>
      </c>
      <c r="BB95" s="22">
        <f>'Activity data'!BB54*ManureNEF*NtoN2O*kgtoGg</f>
        <v>2.3188679056834518</v>
      </c>
      <c r="BC95" s="22">
        <f>'Activity data'!BC54*ManureNEF*NtoN2O*kgtoGg</f>
        <v>2.3268521972692588</v>
      </c>
      <c r="BD95" s="22">
        <f>'Activity data'!BD54*ManureNEF*NtoN2O*kgtoGg</f>
        <v>2.331526263719744</v>
      </c>
      <c r="BE95" s="22">
        <f>'Activity data'!BE54*ManureNEF*NtoN2O*kgtoGg</f>
        <v>2.3359790605581834</v>
      </c>
      <c r="BF95" s="22">
        <f>'Activity data'!BF54*ManureNEF*NtoN2O*kgtoGg</f>
        <v>2.3418419908404262</v>
      </c>
      <c r="BG95" s="22">
        <f>'Activity data'!BG54*ManureNEF*NtoN2O*kgtoGg</f>
        <v>2.3600436098318669</v>
      </c>
      <c r="BH95" s="22">
        <f>'Activity data'!BH54*ManureNEF*NtoN2O*kgtoGg</f>
        <v>2.3787356178502899</v>
      </c>
      <c r="BI95" s="22">
        <f>'Activity data'!BI54*ManureNEF*NtoN2O*kgtoGg</f>
        <v>2.3978985752398772</v>
      </c>
      <c r="BJ95" s="22">
        <f>'Activity data'!BJ54*ManureNEF*NtoN2O*kgtoGg</f>
        <v>2.4174166576945657</v>
      </c>
      <c r="BK95" s="22">
        <f>'Activity data'!BK54*ManureNEF*NtoN2O*kgtoGg</f>
        <v>2.4377908303336295</v>
      </c>
      <c r="BL95" s="22">
        <f>'Activity data'!BL54*ManureNEF*NtoN2O*kgtoGg</f>
        <v>2.4512556568594204</v>
      </c>
      <c r="BM95" s="22">
        <f>'Activity data'!BM54*ManureNEF*NtoN2O*kgtoGg</f>
        <v>2.4652650492013541</v>
      </c>
      <c r="BN95" s="22">
        <f>'Activity data'!BN54*ManureNEF*NtoN2O*kgtoGg</f>
        <v>2.4802220191023472</v>
      </c>
      <c r="BO95" s="22">
        <f>'Activity data'!BO54*ManureNEF*NtoN2O*kgtoGg</f>
        <v>2.4962285031723344</v>
      </c>
      <c r="BP95" s="22">
        <f>'Activity data'!BP54*ManureNEF*NtoN2O*kgtoGg</f>
        <v>2.5147326409731394</v>
      </c>
    </row>
    <row r="96" spans="1:68" x14ac:dyDescent="0.25">
      <c r="A96" t="str">
        <f t="shared" si="29"/>
        <v>3C Aggregated and non-CO2 emissions on land</v>
      </c>
      <c r="B96" t="str">
        <f t="shared" si="31"/>
        <v>3C4 Direct N2O from managed soils (N2O)</v>
      </c>
      <c r="C96" t="str">
        <f t="shared" si="35"/>
        <v>MM emissions</v>
      </c>
      <c r="D96" t="str">
        <f>'Activity data'!D55</f>
        <v xml:space="preserve"> - Feedlot</v>
      </c>
      <c r="E96" t="str">
        <f t="shared" si="32"/>
        <v>MM emissions - Feedlot</v>
      </c>
      <c r="F96" t="str">
        <f t="shared" si="33"/>
        <v>N2O</v>
      </c>
      <c r="G96" t="str">
        <f t="shared" si="34"/>
        <v>Gg N2O</v>
      </c>
      <c r="H96" s="22">
        <f>'Activity data'!H55*ManureNEF*NtoN2O*kgtoGg</f>
        <v>0.26650892267999993</v>
      </c>
      <c r="I96" s="22">
        <f>'Activity data'!I55*ManureNEF*NtoN2O*kgtoGg</f>
        <v>0.26650892267999993</v>
      </c>
      <c r="J96" s="22">
        <f>'Activity data'!J55*ManureNEF*NtoN2O*kgtoGg</f>
        <v>0.26650892267999993</v>
      </c>
      <c r="K96" s="22">
        <f>'Activity data'!K55*ManureNEF*NtoN2O*kgtoGg</f>
        <v>0.26650892267999993</v>
      </c>
      <c r="L96" s="22">
        <f>'Activity data'!L55*ManureNEF*NtoN2O*kgtoGg</f>
        <v>0.26650892267999993</v>
      </c>
      <c r="M96" s="22">
        <f>'Activity data'!M55*ManureNEF*NtoN2O*kgtoGg</f>
        <v>0.26650892267999993</v>
      </c>
      <c r="N96" s="22">
        <f>'Activity data'!N55*ManureNEF*NtoN2O*kgtoGg</f>
        <v>0.26650892267999993</v>
      </c>
      <c r="O96" s="22">
        <f>'Activity data'!O55*ManureNEF*NtoN2O*kgtoGg</f>
        <v>0.26650892267999993</v>
      </c>
      <c r="P96" s="22">
        <f>'Activity data'!P55*ManureNEF*NtoN2O*kgtoGg</f>
        <v>0.26650892267999993</v>
      </c>
      <c r="Q96" s="22">
        <f>'Activity data'!Q55*ManureNEF*NtoN2O*kgtoGg</f>
        <v>0.26650892267999993</v>
      </c>
      <c r="R96" s="22">
        <f>'Activity data'!R55*ManureNEF*NtoN2O*kgtoGg</f>
        <v>0.26650892267999993</v>
      </c>
      <c r="S96" s="22">
        <f>'Activity data'!S55*ManureNEF*NtoN2O*kgtoGg</f>
        <v>0.26650892267999993</v>
      </c>
      <c r="T96" s="22">
        <f>'Activity data'!T55*ManureNEF*NtoN2O*kgtoGg</f>
        <v>0.26650892267999993</v>
      </c>
      <c r="U96" s="22">
        <f>'Activity data'!U55*ManureNEF*NtoN2O*kgtoGg</f>
        <v>0.26650892267999993</v>
      </c>
      <c r="V96" s="22">
        <f>'Activity data'!V55*ManureNEF*NtoN2O*kgtoGg</f>
        <v>0.26650892267999993</v>
      </c>
      <c r="W96" s="22">
        <f>'Activity data'!W55*ManureNEF*NtoN2O*kgtoGg</f>
        <v>0.26650892267999993</v>
      </c>
      <c r="X96" s="22">
        <f>'Activity data'!X55*ManureNEF*NtoN2O*kgtoGg</f>
        <v>0.26650892267999993</v>
      </c>
      <c r="Y96" s="22">
        <f>'Activity data'!Y55*ManureNEF*NtoN2O*kgtoGg</f>
        <v>0.26650892267999993</v>
      </c>
      <c r="Z96" s="22">
        <f>'Activity data'!Z55*ManureNEF*NtoN2O*kgtoGg</f>
        <v>0.24820087014572845</v>
      </c>
      <c r="AA96" s="22">
        <f>'Activity data'!AA55*ManureNEF*NtoN2O*kgtoGg</f>
        <v>0.25433797839299843</v>
      </c>
      <c r="AB96" s="22">
        <f>'Activity data'!AB55*ManureNEF*NtoN2O*kgtoGg</f>
        <v>0.25370528409540599</v>
      </c>
      <c r="AC96" s="22">
        <f>'Activity data'!AC55*ManureNEF*NtoN2O*kgtoGg</f>
        <v>0.29303301169470902</v>
      </c>
      <c r="AD96" s="22">
        <f>'Activity data'!AD55*ManureNEF*NtoN2O*kgtoGg</f>
        <v>0.34471917110037598</v>
      </c>
      <c r="AE96" s="22">
        <f>'Activity data'!AE55*ManureNEF*NtoN2O*kgtoGg</f>
        <v>0.35813274199663003</v>
      </c>
      <c r="AF96" s="22">
        <f>'Activity data'!AF55*ManureNEF*NtoN2O*kgtoGg</f>
        <v>0.36830453454175094</v>
      </c>
      <c r="AG96" s="22">
        <f>'Activity data'!AG55*ManureNEF*NtoN2O*kgtoGg</f>
        <v>0.37574643069837377</v>
      </c>
      <c r="AH96" s="22">
        <f>'Activity data'!AH55*ManureNEF*NtoN2O*kgtoGg</f>
        <v>0.38136891751474367</v>
      </c>
      <c r="AI96" s="22">
        <f>'Activity data'!AI55*ManureNEF*NtoN2O*kgtoGg</f>
        <v>0.38835631073415483</v>
      </c>
      <c r="AJ96" s="22">
        <f>'Activity data'!AJ55*ManureNEF*NtoN2O*kgtoGg</f>
        <v>0.39622117400684309</v>
      </c>
      <c r="AK96" s="22">
        <f>'Activity data'!AK55*ManureNEF*NtoN2O*kgtoGg</f>
        <v>0.40395140617660413</v>
      </c>
      <c r="AL96" s="22">
        <f>'Activity data'!AL55*ManureNEF*NtoN2O*kgtoGg</f>
        <v>0.36632338124664693</v>
      </c>
      <c r="AM96" s="22">
        <f>'Activity data'!AM55*ManureNEF*NtoN2O*kgtoGg</f>
        <v>0.37724567397464309</v>
      </c>
      <c r="AN96" s="22">
        <f>'Activity data'!AN55*ManureNEF*NtoN2O*kgtoGg</f>
        <v>0.3883553930895422</v>
      </c>
      <c r="AO96" s="22">
        <f>'Activity data'!AO55*ManureNEF*NtoN2O*kgtoGg</f>
        <v>0.40061580583014583</v>
      </c>
      <c r="AP96" s="22">
        <f>'Activity data'!AP55*ManureNEF*NtoN2O*kgtoGg</f>
        <v>0.41368554047155492</v>
      </c>
      <c r="AQ96" s="22">
        <f>'Activity data'!AQ55*ManureNEF*NtoN2O*kgtoGg</f>
        <v>0.42670604936559403</v>
      </c>
      <c r="AR96" s="22">
        <f>'Activity data'!AR55*ManureNEF*NtoN2O*kgtoGg</f>
        <v>0.44154727535423161</v>
      </c>
      <c r="AS96" s="22">
        <f>'Activity data'!AS55*ManureNEF*NtoN2O*kgtoGg</f>
        <v>0.45698137317730253</v>
      </c>
      <c r="AT96" s="22">
        <f>'Activity data'!AT55*ManureNEF*NtoN2O*kgtoGg</f>
        <v>0.47327449002241817</v>
      </c>
      <c r="AU96" s="22">
        <f>'Activity data'!AU55*ManureNEF*NtoN2O*kgtoGg</f>
        <v>0.49015562751483371</v>
      </c>
      <c r="AV96" s="22">
        <f>'Activity data'!AV55*ManureNEF*NtoN2O*kgtoGg</f>
        <v>0.50481796175776106</v>
      </c>
      <c r="AW96" s="22">
        <f>'Activity data'!AW55*ManureNEF*NtoN2O*kgtoGg</f>
        <v>0.52428274906043926</v>
      </c>
      <c r="AX96" s="22">
        <f>'Activity data'!AX55*ManureNEF*NtoN2O*kgtoGg</f>
        <v>0.5443090268931815</v>
      </c>
      <c r="AY96" s="22">
        <f>'Activity data'!AY55*ManureNEF*NtoN2O*kgtoGg</f>
        <v>0.56501208375322987</v>
      </c>
      <c r="AZ96" s="22">
        <f>'Activity data'!AZ55*ManureNEF*NtoN2O*kgtoGg</f>
        <v>0.58522900495738484</v>
      </c>
      <c r="BA96" s="22">
        <f>'Activity data'!BA55*ManureNEF*NtoN2O*kgtoGg</f>
        <v>0.60660231018710498</v>
      </c>
      <c r="BB96" s="22">
        <f>'Activity data'!BB55*ManureNEF*NtoN2O*kgtoGg</f>
        <v>0.62917700029750689</v>
      </c>
      <c r="BC96" s="22">
        <f>'Activity data'!BC55*ManureNEF*NtoN2O*kgtoGg</f>
        <v>0.6526502368251631</v>
      </c>
      <c r="BD96" s="22">
        <f>'Activity data'!BD55*ManureNEF*NtoN2O*kgtoGg</f>
        <v>0.67615584239754423</v>
      </c>
      <c r="BE96" s="22">
        <f>'Activity data'!BE55*ManureNEF*NtoN2O*kgtoGg</f>
        <v>0.70058220574573526</v>
      </c>
      <c r="BF96" s="22">
        <f>'Activity data'!BF55*ManureNEF*NtoN2O*kgtoGg</f>
        <v>0.72648960825910824</v>
      </c>
      <c r="BG96" s="22">
        <f>'Activity data'!BG55*ManureNEF*NtoN2O*kgtoGg</f>
        <v>0.75271432476284472</v>
      </c>
      <c r="BH96" s="22">
        <f>'Activity data'!BH55*ManureNEF*NtoN2O*kgtoGg</f>
        <v>0.78007451300930075</v>
      </c>
      <c r="BI96" s="22">
        <f>'Activity data'!BI55*ManureNEF*NtoN2O*kgtoGg</f>
        <v>0.80862519880696937</v>
      </c>
      <c r="BJ96" s="22">
        <f>'Activity data'!BJ55*ManureNEF*NtoN2O*kgtoGg</f>
        <v>0.83839115521185648</v>
      </c>
      <c r="BK96" s="22">
        <f>'Activity data'!BK55*ManureNEF*NtoN2O*kgtoGg</f>
        <v>0.86961679491304222</v>
      </c>
      <c r="BL96" s="22">
        <f>'Activity data'!BL55*ManureNEF*NtoN2O*kgtoGg</f>
        <v>0.89953786804989144</v>
      </c>
      <c r="BM96" s="22">
        <f>'Activity data'!BM55*ManureNEF*NtoN2O*kgtoGg</f>
        <v>0.93081298771632281</v>
      </c>
      <c r="BN96" s="22">
        <f>'Activity data'!BN55*ManureNEF*NtoN2O*kgtoGg</f>
        <v>0.9636772557327703</v>
      </c>
      <c r="BO96" s="22">
        <f>'Activity data'!BO55*ManureNEF*NtoN2O*kgtoGg</f>
        <v>0.99826914776828435</v>
      </c>
      <c r="BP96" s="22">
        <f>'Activity data'!BP55*ManureNEF*NtoN2O*kgtoGg</f>
        <v>1.0352931051843357</v>
      </c>
    </row>
    <row r="97" spans="1:68" x14ac:dyDescent="0.25">
      <c r="A97" t="str">
        <f t="shared" si="29"/>
        <v>3C Aggregated and non-CO2 emissions on land</v>
      </c>
      <c r="B97" t="str">
        <f t="shared" si="31"/>
        <v>3C4 Direct N2O from managed soils (N2O)</v>
      </c>
      <c r="C97" t="str">
        <f t="shared" si="35"/>
        <v>MM emissions</v>
      </c>
      <c r="D97" t="str">
        <f>'Activity data'!D56</f>
        <v xml:space="preserve"> - Commercial sheep</v>
      </c>
      <c r="E97" t="str">
        <f t="shared" si="32"/>
        <v>MM emissions - Commercial sheep</v>
      </c>
      <c r="F97" t="str">
        <f t="shared" si="33"/>
        <v>N2O</v>
      </c>
      <c r="G97" t="str">
        <f t="shared" si="34"/>
        <v>Gg N2O</v>
      </c>
      <c r="H97" s="22">
        <f>'Activity data'!H56*ManureNEF*NtoN2O*kgtoGg</f>
        <v>9.1991860386242574E-2</v>
      </c>
      <c r="I97" s="22">
        <f>'Activity data'!I56*ManureNEF*NtoN2O*kgtoGg</f>
        <v>8.7855463982071155E-2</v>
      </c>
      <c r="J97" s="22">
        <f>'Activity data'!J56*ManureNEF*NtoN2O*kgtoGg</f>
        <v>8.4225377226778267E-2</v>
      </c>
      <c r="K97" s="22">
        <f>'Activity data'!K56*ManureNEF*NtoN2O*kgtoGg</f>
        <v>7.8769507192196109E-2</v>
      </c>
      <c r="L97" s="22">
        <f>'Activity data'!L56*ManureNEF*NtoN2O*kgtoGg</f>
        <v>7.9324913534299213E-2</v>
      </c>
      <c r="M97" s="22">
        <f>'Activity data'!M56*ManureNEF*NtoN2O*kgtoGg</f>
        <v>7.8189552503480655E-2</v>
      </c>
      <c r="N97" s="22">
        <f>'Activity data'!N56*ManureNEF*NtoN2O*kgtoGg</f>
        <v>7.8450378686236291E-2</v>
      </c>
      <c r="O97" s="22">
        <f>'Activity data'!O56*ManureNEF*NtoN2O*kgtoGg</f>
        <v>7.6744268596681903E-2</v>
      </c>
      <c r="P97" s="22">
        <f>'Activity data'!P56*ManureNEF*NtoN2O*kgtoGg</f>
        <v>7.6955998086212937E-2</v>
      </c>
      <c r="Q97" s="22">
        <f>'Activity data'!Q56*ManureNEF*NtoN2O*kgtoGg</f>
        <v>7.5065775397066339E-2</v>
      </c>
      <c r="R97" s="22">
        <f>'Activity data'!R56*ManureNEF*NtoN2O*kgtoGg</f>
        <v>7.2374662899693701E-2</v>
      </c>
      <c r="S97" s="22">
        <f>'Activity data'!S56*ManureNEF*NtoN2O*kgtoGg</f>
        <v>7.0570359423690138E-2</v>
      </c>
      <c r="T97" s="22">
        <f>'Activity data'!T56*ManureNEF*NtoN2O*kgtoGg</f>
        <v>6.9392038786300056E-2</v>
      </c>
      <c r="U97" s="22">
        <f>'Activity data'!U56*ManureNEF*NtoN2O*kgtoGg</f>
        <v>6.9634453709096461E-2</v>
      </c>
      <c r="V97" s="22">
        <f>'Activity data'!V56*ManureNEF*NtoN2O*kgtoGg</f>
        <v>6.8394762205175638E-2</v>
      </c>
      <c r="W97" s="22">
        <f>'Activity data'!W56*ManureNEF*NtoN2O*kgtoGg</f>
        <v>6.8232129408869205E-2</v>
      </c>
      <c r="X97" s="22">
        <f>'Activity data'!X56*ManureNEF*NtoN2O*kgtoGg</f>
        <v>6.7339183300847025E-2</v>
      </c>
      <c r="Y97" s="22">
        <f>'Activity data'!Y56*ManureNEF*NtoN2O*kgtoGg</f>
        <v>6.7274743890989752E-2</v>
      </c>
      <c r="Z97" s="22">
        <f>'Activity data'!Z56*ManureNEF*NtoN2O*kgtoGg</f>
        <v>6.7492610467173877E-2</v>
      </c>
      <c r="AA97" s="22">
        <f>'Activity data'!AA56*ManureNEF*NtoN2O*kgtoGg</f>
        <v>6.7253264087704004E-2</v>
      </c>
      <c r="AB97" s="22">
        <f>'Activity data'!AB56*ManureNEF*NtoN2O*kgtoGg</f>
        <v>6.5952201717252468E-2</v>
      </c>
      <c r="AC97" s="22">
        <f>'Activity data'!AC56*ManureNEF*NtoN2O*kgtoGg</f>
        <v>6.5436686438394301E-2</v>
      </c>
      <c r="AD97" s="22">
        <f>'Activity data'!AD56*ManureNEF*NtoN2O*kgtoGg</f>
        <v>5.8357365769422062E-2</v>
      </c>
      <c r="AE97" s="22">
        <f>'Activity data'!AE56*ManureNEF*NtoN2O*kgtoGg</f>
        <v>5.8390177998620743E-2</v>
      </c>
      <c r="AF97" s="22">
        <f>'Activity data'!AF56*ManureNEF*NtoN2O*kgtoGg</f>
        <v>5.8461873710886778E-2</v>
      </c>
      <c r="AG97" s="22">
        <f>'Activity data'!AG56*ManureNEF*NtoN2O*kgtoGg</f>
        <v>5.8570537094180787E-2</v>
      </c>
      <c r="AH97" s="22">
        <f>'Activity data'!AH56*ManureNEF*NtoN2O*kgtoGg</f>
        <v>5.8715088292787598E-2</v>
      </c>
      <c r="AI97" s="22">
        <f>'Activity data'!AI56*ManureNEF*NtoN2O*kgtoGg</f>
        <v>5.8896745309951676E-2</v>
      </c>
      <c r="AJ97" s="22">
        <f>'Activity data'!AJ56*ManureNEF*NtoN2O*kgtoGg</f>
        <v>5.9099395796660598E-2</v>
      </c>
      <c r="AK97" s="22">
        <f>'Activity data'!AK56*ManureNEF*NtoN2O*kgtoGg</f>
        <v>5.932248223847477E-2</v>
      </c>
      <c r="AL97" s="22">
        <f>'Activity data'!AL56*ManureNEF*NtoN2O*kgtoGg</f>
        <v>5.9528148481629253E-2</v>
      </c>
      <c r="AM97" s="22">
        <f>'Activity data'!AM56*ManureNEF*NtoN2O*kgtoGg</f>
        <v>5.9682628897327873E-2</v>
      </c>
      <c r="AN97" s="22">
        <f>'Activity data'!AN56*ManureNEF*NtoN2O*kgtoGg</f>
        <v>5.9816574998376185E-2</v>
      </c>
      <c r="AO97" s="22">
        <f>'Activity data'!AO56*ManureNEF*NtoN2O*kgtoGg</f>
        <v>5.9929162100790523E-2</v>
      </c>
      <c r="AP97" s="22">
        <f>'Activity data'!AP56*ManureNEF*NtoN2O*kgtoGg</f>
        <v>6.0042207683690944E-2</v>
      </c>
      <c r="AQ97" s="22">
        <f>'Activity data'!AQ56*ManureNEF*NtoN2O*kgtoGg</f>
        <v>6.0154110936390365E-2</v>
      </c>
      <c r="AR97" s="22">
        <f>'Activity data'!AR56*ManureNEF*NtoN2O*kgtoGg</f>
        <v>6.0265474170981728E-2</v>
      </c>
      <c r="AS97" s="22">
        <f>'Activity data'!AS56*ManureNEF*NtoN2O*kgtoGg</f>
        <v>6.0374550679186921E-2</v>
      </c>
      <c r="AT97" s="22">
        <f>'Activity data'!AT56*ManureNEF*NtoN2O*kgtoGg</f>
        <v>6.0480818069708848E-2</v>
      </c>
      <c r="AU97" s="22">
        <f>'Activity data'!AU56*ManureNEF*NtoN2O*kgtoGg</f>
        <v>6.0586269830742341E-2</v>
      </c>
      <c r="AV97" s="22">
        <f>'Activity data'!AV56*ManureNEF*NtoN2O*kgtoGg</f>
        <v>6.0688221519229257E-2</v>
      </c>
      <c r="AW97" s="22">
        <f>'Activity data'!AW56*ManureNEF*NtoN2O*kgtoGg</f>
        <v>6.0790373307210432E-2</v>
      </c>
      <c r="AX97" s="22">
        <f>'Activity data'!AX56*ManureNEF*NtoN2O*kgtoGg</f>
        <v>6.0889989586159286E-2</v>
      </c>
      <c r="AY97" s="22">
        <f>'Activity data'!AY56*ManureNEF*NtoN2O*kgtoGg</f>
        <v>6.0986679965678241E-2</v>
      </c>
      <c r="AZ97" s="22">
        <f>'Activity data'!AZ56*ManureNEF*NtoN2O*kgtoGg</f>
        <v>6.1079978945071584E-2</v>
      </c>
      <c r="BA97" s="22">
        <f>'Activity data'!BA56*ManureNEF*NtoN2O*kgtoGg</f>
        <v>6.117067231038719E-2</v>
      </c>
      <c r="BB97" s="22">
        <f>'Activity data'!BB56*ManureNEF*NtoN2O*kgtoGg</f>
        <v>6.125839691961376E-2</v>
      </c>
      <c r="BC97" s="22">
        <f>'Activity data'!BC56*ManureNEF*NtoN2O*kgtoGg</f>
        <v>6.1342567749793381E-2</v>
      </c>
      <c r="BD97" s="22">
        <f>'Activity data'!BD56*ManureNEF*NtoN2O*kgtoGg</f>
        <v>6.1422237461009797E-2</v>
      </c>
      <c r="BE97" s="22">
        <f>'Activity data'!BE56*ManureNEF*NtoN2O*kgtoGg</f>
        <v>6.1498573659839469E-2</v>
      </c>
      <c r="BF97" s="22">
        <f>'Activity data'!BF56*ManureNEF*NtoN2O*kgtoGg</f>
        <v>6.1571658268523496E-2</v>
      </c>
      <c r="BG97" s="22">
        <f>'Activity data'!BG56*ManureNEF*NtoN2O*kgtoGg</f>
        <v>6.1641044366363362E-2</v>
      </c>
      <c r="BH97" s="22">
        <f>'Activity data'!BH56*ManureNEF*NtoN2O*kgtoGg</f>
        <v>6.170641876510085E-2</v>
      </c>
      <c r="BI97" s="22">
        <f>'Activity data'!BI56*ManureNEF*NtoN2O*kgtoGg</f>
        <v>6.1767562188984465E-2</v>
      </c>
      <c r="BJ97" s="22">
        <f>'Activity data'!BJ56*ManureNEF*NtoN2O*kgtoGg</f>
        <v>6.182428341091939E-2</v>
      </c>
      <c r="BK97" s="22">
        <f>'Activity data'!BK56*ManureNEF*NtoN2O*kgtoGg</f>
        <v>6.1876513278098066E-2</v>
      </c>
      <c r="BL97" s="22">
        <f>'Activity data'!BL56*ManureNEF*NtoN2O*kgtoGg</f>
        <v>6.1922224686719374E-2</v>
      </c>
      <c r="BM97" s="22">
        <f>'Activity data'!BM56*ManureNEF*NtoN2O*kgtoGg</f>
        <v>6.1962971482028582E-2</v>
      </c>
      <c r="BN97" s="22">
        <f>'Activity data'!BN56*ManureNEF*NtoN2O*kgtoGg</f>
        <v>6.1998708637840391E-2</v>
      </c>
      <c r="BO97" s="22">
        <f>'Activity data'!BO56*ManureNEF*NtoN2O*kgtoGg</f>
        <v>6.2029219583343412E-2</v>
      </c>
      <c r="BP97" s="22">
        <f>'Activity data'!BP56*ManureNEF*NtoN2O*kgtoGg</f>
        <v>6.2054772042180441E-2</v>
      </c>
    </row>
    <row r="98" spans="1:68" x14ac:dyDescent="0.25">
      <c r="A98" t="str">
        <f t="shared" si="29"/>
        <v>3C Aggregated and non-CO2 emissions on land</v>
      </c>
      <c r="B98" t="str">
        <f t="shared" si="31"/>
        <v>3C4 Direct N2O from managed soils (N2O)</v>
      </c>
      <c r="C98" t="str">
        <f t="shared" si="35"/>
        <v>MM emissions</v>
      </c>
      <c r="D98" t="str">
        <f>'Activity data'!D57</f>
        <v xml:space="preserve"> - Subsistence sheep</v>
      </c>
      <c r="E98" t="str">
        <f t="shared" si="32"/>
        <v>MM emissions - Subsistence sheep</v>
      </c>
      <c r="F98" t="str">
        <f t="shared" si="33"/>
        <v>N2O</v>
      </c>
      <c r="G98" t="str">
        <f t="shared" si="34"/>
        <v>Gg N2O</v>
      </c>
      <c r="H98" s="22">
        <f>'Activity data'!H57*ManureNEF*NtoN2O*kgtoGg</f>
        <v>6.9925803620037946E-2</v>
      </c>
      <c r="I98" s="22">
        <f>'Activity data'!I57*ManureNEF*NtoN2O*kgtoGg</f>
        <v>6.6781603237109521E-2</v>
      </c>
      <c r="J98" s="22">
        <f>'Activity data'!J57*ManureNEF*NtoN2O*kgtoGg</f>
        <v>6.4022264177017271E-2</v>
      </c>
      <c r="K98" s="22">
        <f>'Activity data'!K57*ManureNEF*NtoN2O*kgtoGg</f>
        <v>5.9875091861849083E-2</v>
      </c>
      <c r="L98" s="22">
        <f>'Activity data'!L57*ManureNEF*NtoN2O*kgtoGg</f>
        <v>6.0297273070536055E-2</v>
      </c>
      <c r="M98" s="22">
        <f>'Activity data'!M57*ManureNEF*NtoN2O*kgtoGg</f>
        <v>5.9434250710236718E-2</v>
      </c>
      <c r="N98" s="22">
        <f>'Activity data'!N57*ManureNEF*NtoN2O*kgtoGg</f>
        <v>5.9632512603818993E-2</v>
      </c>
      <c r="O98" s="22">
        <f>'Activity data'!O57*ManureNEF*NtoN2O*kgtoGg</f>
        <v>5.8335646570504315E-2</v>
      </c>
      <c r="P98" s="22">
        <f>'Activity data'!P57*ManureNEF*NtoN2O*kgtoGg</f>
        <v>5.8496588578235996E-2</v>
      </c>
      <c r="Q98" s="22">
        <f>'Activity data'!Q57*ManureNEF*NtoN2O*kgtoGg</f>
        <v>5.7059772972980871E-2</v>
      </c>
      <c r="R98" s="22">
        <f>'Activity data'!R57*ManureNEF*NtoN2O*kgtoGg</f>
        <v>5.5014176729784849E-2</v>
      </c>
      <c r="S98" s="22">
        <f>'Activity data'!S57*ManureNEF*NtoN2O*kgtoGg</f>
        <v>5.3642670924768585E-2</v>
      </c>
      <c r="T98" s="22">
        <f>'Activity data'!T57*ManureNEF*NtoN2O*kgtoGg</f>
        <v>5.2746993664349803E-2</v>
      </c>
      <c r="U98" s="22">
        <f>'Activity data'!U57*ManureNEF*NtoN2O*kgtoGg</f>
        <v>5.2931260600738043E-2</v>
      </c>
      <c r="V98" s="22">
        <f>'Activity data'!V57*ManureNEF*NtoN2O*kgtoGg</f>
        <v>5.1988933483005775E-2</v>
      </c>
      <c r="W98" s="22">
        <f>'Activity data'!W57*ManureNEF*NtoN2O*kgtoGg</f>
        <v>5.1865311361125072E-2</v>
      </c>
      <c r="X98" s="22">
        <f>'Activity data'!X57*ManureNEF*NtoN2O*kgtoGg</f>
        <v>5.1186555937213961E-2</v>
      </c>
      <c r="Y98" s="22">
        <f>'Activity data'!Y57*ManureNEF*NtoN2O*kgtoGg</f>
        <v>5.1137573587034801E-2</v>
      </c>
      <c r="Z98" s="22">
        <f>'Activity data'!Z57*ManureNEF*NtoN2O*kgtoGg</f>
        <v>5.1303180580497661E-2</v>
      </c>
      <c r="AA98" s="22">
        <f>'Activity data'!AA57*ManureNEF*NtoN2O*kgtoGg</f>
        <v>5.1121246136975086E-2</v>
      </c>
      <c r="AB98" s="22">
        <f>'Activity data'!AB57*ManureNEF*NtoN2O*kgtoGg</f>
        <v>5.0132269161929359E-2</v>
      </c>
      <c r="AC98" s="22">
        <f>'Activity data'!AC57*ManureNEF*NtoN2O*kgtoGg</f>
        <v>4.9740410360496132E-2</v>
      </c>
      <c r="AD98" s="22">
        <f>'Activity data'!AD57*ManureNEF*NtoN2O*kgtoGg</f>
        <v>4.7494963150828511E-2</v>
      </c>
      <c r="AE98" s="22">
        <f>'Activity data'!AE57*ManureNEF*NtoN2O*kgtoGg</f>
        <v>4.7521667845191275E-2</v>
      </c>
      <c r="AF98" s="22">
        <f>'Activity data'!AF57*ManureNEF*NtoN2O*kgtoGg</f>
        <v>4.7580018409293177E-2</v>
      </c>
      <c r="AG98" s="22">
        <f>'Activity data'!AG57*ManureNEF*NtoN2O*kgtoGg</f>
        <v>4.7668455632552807E-2</v>
      </c>
      <c r="AH98" s="22">
        <f>'Activity data'!AH57*ManureNEF*NtoN2O*kgtoGg</f>
        <v>4.778610065920403E-2</v>
      </c>
      <c r="AI98" s="22">
        <f>'Activity data'!AI57*ManureNEF*NtoN2O*kgtoGg</f>
        <v>4.7933944778323218E-2</v>
      </c>
      <c r="AJ98" s="22">
        <f>'Activity data'!AJ57*ManureNEF*NtoN2O*kgtoGg</f>
        <v>4.8098874727984867E-2</v>
      </c>
      <c r="AK98" s="22">
        <f>'Activity data'!AK57*ManureNEF*NtoN2O*kgtoGg</f>
        <v>4.8280436767218757E-2</v>
      </c>
      <c r="AL98" s="22">
        <f>'Activity data'!AL57*ManureNEF*NtoN2O*kgtoGg</f>
        <v>4.8447821132691769E-2</v>
      </c>
      <c r="AM98" s="22">
        <f>'Activity data'!AM57*ManureNEF*NtoN2O*kgtoGg</f>
        <v>4.8573547192365549E-2</v>
      </c>
      <c r="AN98" s="22">
        <f>'Activity data'!AN57*ManureNEF*NtoN2O*kgtoGg</f>
        <v>4.868256111116756E-2</v>
      </c>
      <c r="AO98" s="22">
        <f>'Activity data'!AO57*ManureNEF*NtoN2O*kgtoGg</f>
        <v>4.8774191708435347E-2</v>
      </c>
      <c r="AP98" s="22">
        <f>'Activity data'!AP57*ManureNEF*NtoN2O*kgtoGg</f>
        <v>4.8866195446497028E-2</v>
      </c>
      <c r="AQ98" s="22">
        <f>'Activity data'!AQ57*ManureNEF*NtoN2O*kgtoGg</f>
        <v>4.895726948305338E-2</v>
      </c>
      <c r="AR98" s="22">
        <f>'Activity data'!AR57*ManureNEF*NtoN2O*kgtoGg</f>
        <v>4.9047904018275072E-2</v>
      </c>
      <c r="AS98" s="22">
        <f>'Activity data'!AS57*ManureNEF*NtoN2O*kgtoGg</f>
        <v>4.9136677469055853E-2</v>
      </c>
      <c r="AT98" s="22">
        <f>'Activity data'!AT57*ManureNEF*NtoN2O*kgtoGg</f>
        <v>4.9223164679889096E-2</v>
      </c>
      <c r="AU98" s="22">
        <f>'Activity data'!AU57*ManureNEF*NtoN2O*kgtoGg</f>
        <v>4.930898807918823E-2</v>
      </c>
      <c r="AV98" s="22">
        <f>'Activity data'!AV57*ManureNEF*NtoN2O*kgtoGg</f>
        <v>4.9391962895203471E-2</v>
      </c>
      <c r="AW98" s="22">
        <f>'Activity data'!AW57*ManureNEF*NtoN2O*kgtoGg</f>
        <v>4.9475100565007257E-2</v>
      </c>
      <c r="AX98" s="22">
        <f>'Activity data'!AX57*ManureNEF*NtoN2O*kgtoGg</f>
        <v>4.9556174675113467E-2</v>
      </c>
      <c r="AY98" s="22">
        <f>'Activity data'!AY57*ManureNEF*NtoN2O*kgtoGg</f>
        <v>4.9634867500804689E-2</v>
      </c>
      <c r="AZ98" s="22">
        <f>'Activity data'!AZ57*ManureNEF*NtoN2O*kgtoGg</f>
        <v>4.9710800187790685E-2</v>
      </c>
      <c r="BA98" s="22">
        <f>'Activity data'!BA57*ManureNEF*NtoN2O*kgtoGg</f>
        <v>4.9784612259101607E-2</v>
      </c>
      <c r="BB98" s="22">
        <f>'Activity data'!BB57*ManureNEF*NtoN2O*kgtoGg</f>
        <v>4.9856008166502562E-2</v>
      </c>
      <c r="BC98" s="22">
        <f>'Activity data'!BC57*ManureNEF*NtoN2O*kgtoGg</f>
        <v>4.9924511780828656E-2</v>
      </c>
      <c r="BD98" s="22">
        <f>'Activity data'!BD57*ManureNEF*NtoN2O*kgtoGg</f>
        <v>4.9989352096161108E-2</v>
      </c>
      <c r="BE98" s="22">
        <f>'Activity data'!BE57*ManureNEF*NtoN2O*kgtoGg</f>
        <v>5.0051479385539013E-2</v>
      </c>
      <c r="BF98" s="22">
        <f>'Activity data'!BF57*ManureNEF*NtoN2O*kgtoGg</f>
        <v>5.0110960322530852E-2</v>
      </c>
      <c r="BG98" s="22">
        <f>'Activity data'!BG57*ManureNEF*NtoN2O*kgtoGg</f>
        <v>5.0167431174438483E-2</v>
      </c>
      <c r="BH98" s="22">
        <f>'Activity data'!BH57*ManureNEF*NtoN2O*kgtoGg</f>
        <v>5.0220637048591747E-2</v>
      </c>
      <c r="BI98" s="22">
        <f>'Activity data'!BI57*ManureNEF*NtoN2O*kgtoGg</f>
        <v>5.0270399484335364E-2</v>
      </c>
      <c r="BJ98" s="22">
        <f>'Activity data'!BJ57*ManureNEF*NtoN2O*kgtoGg</f>
        <v>5.0316562848807887E-2</v>
      </c>
      <c r="BK98" s="22">
        <f>'Activity data'!BK57*ManureNEF*NtoN2O*kgtoGg</f>
        <v>5.0359070861023959E-2</v>
      </c>
      <c r="BL98" s="22">
        <f>'Activity data'!BL57*ManureNEF*NtoN2O*kgtoGg</f>
        <v>5.0396273734036059E-2</v>
      </c>
      <c r="BM98" s="22">
        <f>'Activity data'!BM57*ManureNEF*NtoN2O*kgtoGg</f>
        <v>5.0429436086657876E-2</v>
      </c>
      <c r="BN98" s="22">
        <f>'Activity data'!BN57*ManureNEF*NtoN2O*kgtoGg</f>
        <v>5.0458521273694983E-2</v>
      </c>
      <c r="BO98" s="22">
        <f>'Activity data'!BO57*ManureNEF*NtoN2O*kgtoGg</f>
        <v>5.0483353035945686E-2</v>
      </c>
      <c r="BP98" s="22">
        <f>'Activity data'!BP57*ManureNEF*NtoN2O*kgtoGg</f>
        <v>5.0504149264063172E-2</v>
      </c>
    </row>
    <row r="99" spans="1:68" x14ac:dyDescent="0.25">
      <c r="A99" t="str">
        <f t="shared" si="29"/>
        <v>3C Aggregated and non-CO2 emissions on land</v>
      </c>
      <c r="B99" t="str">
        <f t="shared" si="31"/>
        <v>3C4 Direct N2O from managed soils (N2O)</v>
      </c>
      <c r="C99" t="str">
        <f t="shared" si="35"/>
        <v>MM emissions</v>
      </c>
      <c r="D99" t="str">
        <f>'Activity data'!D58</f>
        <v xml:space="preserve"> - Commercial goats</v>
      </c>
      <c r="E99" t="str">
        <f t="shared" si="32"/>
        <v>MM emissions - Commercial goats</v>
      </c>
      <c r="F99" t="str">
        <f t="shared" si="33"/>
        <v>N2O</v>
      </c>
      <c r="G99" t="str">
        <f t="shared" si="34"/>
        <v>Gg N2O</v>
      </c>
      <c r="H99" s="22">
        <f>'Activity data'!H58*ManureNEF*NtoN2O*kgtoGg</f>
        <v>9.6765143377954225E-3</v>
      </c>
      <c r="I99" s="22">
        <f>'Activity data'!I58*ManureNEF*NtoN2O*kgtoGg</f>
        <v>8.5567734933713682E-3</v>
      </c>
      <c r="J99" s="22">
        <f>'Activity data'!J58*ManureNEF*NtoN2O*kgtoGg</f>
        <v>7.9707409018970922E-3</v>
      </c>
      <c r="K99" s="22">
        <f>'Activity data'!K58*ManureNEF*NtoN2O*kgtoGg</f>
        <v>7.5312164582913869E-3</v>
      </c>
      <c r="L99" s="22">
        <f>'Activity data'!L58*ManureNEF*NtoN2O*kgtoGg</f>
        <v>8.152131942115318E-3</v>
      </c>
      <c r="M99" s="22">
        <f>'Activity data'!M58*ManureNEF*NtoN2O*kgtoGg</f>
        <v>8.2637571976342285E-3</v>
      </c>
      <c r="N99" s="22">
        <f>'Activity data'!N58*ManureNEF*NtoN2O*kgtoGg</f>
        <v>8.3928238993279686E-3</v>
      </c>
      <c r="O99" s="22">
        <f>'Activity data'!O58*ManureNEF*NtoN2O*kgtoGg</f>
        <v>8.350964428508377E-3</v>
      </c>
      <c r="P99" s="22">
        <f>'Activity data'!P58*ManureNEF*NtoN2O*kgtoGg</f>
        <v>8.232362594519536E-3</v>
      </c>
      <c r="Q99" s="22">
        <f>'Activity data'!Q58*ManureNEF*NtoN2O*kgtoGg</f>
        <v>8.1102724712957298E-3</v>
      </c>
      <c r="R99" s="22">
        <f>'Activity data'!R58*ManureNEF*NtoN2O*kgtoGg</f>
        <v>8.2149211483447063E-3</v>
      </c>
      <c r="S99" s="22">
        <f>'Activity data'!S58*ManureNEF*NtoN2O*kgtoGg</f>
        <v>8.4660779732622544E-3</v>
      </c>
      <c r="T99" s="22">
        <f>'Activity data'!T58*ManureNEF*NtoN2O*kgtoGg</f>
        <v>7.7300489446844476E-3</v>
      </c>
      <c r="U99" s="22">
        <f>'Activity data'!U58*ManureNEF*NtoN2O*kgtoGg</f>
        <v>7.5347047475263548E-3</v>
      </c>
      <c r="V99" s="22">
        <f>'Activity data'!V58*ManureNEF*NtoN2O*kgtoGg</f>
        <v>7.548657904466221E-3</v>
      </c>
      <c r="W99" s="22">
        <f>'Activity data'!W58*ManureNEF*NtoN2O*kgtoGg</f>
        <v>7.4509858058871732E-3</v>
      </c>
      <c r="X99" s="22">
        <f>'Activity data'!X58*ManureNEF*NtoN2O*kgtoGg</f>
        <v>7.6079588214606388E-3</v>
      </c>
      <c r="Y99" s="22">
        <f>'Activity data'!Y58*ManureNEF*NtoN2O*kgtoGg</f>
        <v>7.3812200211878561E-3</v>
      </c>
      <c r="Z99" s="22">
        <f>'Activity data'!Z58*ManureNEF*NtoN2O*kgtoGg</f>
        <v>7.3742434427179256E-3</v>
      </c>
      <c r="AA99" s="22">
        <f>'Activity data'!AA58*ManureNEF*NtoN2O*kgtoGg</f>
        <v>7.2451767410241855E-3</v>
      </c>
      <c r="AB99" s="22">
        <f>'Activity data'!AB58*ManureNEF*NtoN2O*kgtoGg</f>
        <v>7.1579695101500369E-3</v>
      </c>
      <c r="AC99" s="22">
        <f>'Activity data'!AC58*ManureNEF*NtoN2O*kgtoGg</f>
        <v>7.0916920146856851E-3</v>
      </c>
      <c r="AD99" s="22">
        <f>'Activity data'!AD58*ManureNEF*NtoN2O*kgtoGg</f>
        <v>7.213618279047233E-3</v>
      </c>
      <c r="AE99" s="22">
        <f>'Activity data'!AE58*ManureNEF*NtoN2O*kgtoGg</f>
        <v>7.2326190239332105E-3</v>
      </c>
      <c r="AF99" s="22">
        <f>'Activity data'!AF58*ManureNEF*NtoN2O*kgtoGg</f>
        <v>7.2577576778098821E-3</v>
      </c>
      <c r="AG99" s="22">
        <f>'Activity data'!AG58*ManureNEF*NtoN2O*kgtoGg</f>
        <v>7.288774209562171E-3</v>
      </c>
      <c r="AH99" s="22">
        <f>'Activity data'!AH58*ManureNEF*NtoN2O*kgtoGg</f>
        <v>7.3255490673505607E-3</v>
      </c>
      <c r="AI99" s="22">
        <f>'Activity data'!AI58*ManureNEF*NtoN2O*kgtoGg</f>
        <v>7.3683887418119079E-3</v>
      </c>
      <c r="AJ99" s="22">
        <f>'Activity data'!AJ58*ManureNEF*NtoN2O*kgtoGg</f>
        <v>7.4142418961747605E-3</v>
      </c>
      <c r="AK99" s="22">
        <f>'Activity data'!AK58*ManureNEF*NtoN2O*kgtoGg</f>
        <v>7.4630674172412479E-3</v>
      </c>
      <c r="AL99" s="22">
        <f>'Activity data'!AL58*ManureNEF*NtoN2O*kgtoGg</f>
        <v>7.5076661857933465E-3</v>
      </c>
      <c r="AM99" s="22">
        <f>'Activity data'!AM58*ManureNEF*NtoN2O*kgtoGg</f>
        <v>7.5416866222996143E-3</v>
      </c>
      <c r="AN99" s="22">
        <f>'Activity data'!AN58*ManureNEF*NtoN2O*kgtoGg</f>
        <v>7.5711120768277912E-3</v>
      </c>
      <c r="AO99" s="22">
        <f>'Activity data'!AO58*ManureNEF*NtoN2O*kgtoGg</f>
        <v>7.5958701098435295E-3</v>
      </c>
      <c r="AP99" s="22">
        <f>'Activity data'!AP58*ManureNEF*NtoN2O*kgtoGg</f>
        <v>7.6201772967812538E-3</v>
      </c>
      <c r="AQ99" s="22">
        <f>'Activity data'!AQ58*ManureNEF*NtoN2O*kgtoGg</f>
        <v>7.6437718255222926E-3</v>
      </c>
      <c r="AR99" s="22">
        <f>'Activity data'!AR58*ManureNEF*NtoN2O*kgtoGg</f>
        <v>7.6668060612584098E-3</v>
      </c>
      <c r="AS99" s="22">
        <f>'Activity data'!AS58*ManureNEF*NtoN2O*kgtoGg</f>
        <v>7.6889846711345649E-3</v>
      </c>
      <c r="AT99" s="22">
        <f>'Activity data'!AT58*ManureNEF*NtoN2O*kgtoGg</f>
        <v>7.7102418974051255E-3</v>
      </c>
      <c r="AU99" s="22">
        <f>'Activity data'!AU58*ManureNEF*NtoN2O*kgtoGg</f>
        <v>7.7309816729426405E-3</v>
      </c>
      <c r="AV99" s="22">
        <f>'Activity data'!AV58*ManureNEF*NtoN2O*kgtoGg</f>
        <v>7.7507263006543758E-3</v>
      </c>
      <c r="AW99" s="22">
        <f>'Activity data'!AW58*ManureNEF*NtoN2O*kgtoGg</f>
        <v>7.7701926582675893E-3</v>
      </c>
      <c r="AX99" s="22">
        <f>'Activity data'!AX58*ManureNEF*NtoN2O*kgtoGg</f>
        <v>7.7888899900374889E-3</v>
      </c>
      <c r="AY99" s="22">
        <f>'Activity data'!AY58*ManureNEF*NtoN2O*kgtoGg</f>
        <v>7.8067662187027639E-3</v>
      </c>
      <c r="AZ99" s="22">
        <f>'Activity data'!AZ58*ManureNEF*NtoN2O*kgtoGg</f>
        <v>7.8237542242139742E-3</v>
      </c>
      <c r="BA99" s="22">
        <f>'Activity data'!BA58*ManureNEF*NtoN2O*kgtoGg</f>
        <v>7.8400179636429809E-3</v>
      </c>
      <c r="BB99" s="22">
        <f>'Activity data'!BB58*ManureNEF*NtoN2O*kgtoGg</f>
        <v>7.8555063961915292E-3</v>
      </c>
      <c r="BC99" s="22">
        <f>'Activity data'!BC58*ManureNEF*NtoN2O*kgtoGg</f>
        <v>7.8701268281905924E-3</v>
      </c>
      <c r="BD99" s="22">
        <f>'Activity data'!BD58*ManureNEF*NtoN2O*kgtoGg</f>
        <v>7.8837195079196776E-3</v>
      </c>
      <c r="BE99" s="22">
        <f>'Activity data'!BE58*ManureNEF*NtoN2O*kgtoGg</f>
        <v>7.8965140274971281E-3</v>
      </c>
      <c r="BF99" s="22">
        <f>'Activity data'!BF58*ManureNEF*NtoN2O*kgtoGg</f>
        <v>7.9085381439595853E-3</v>
      </c>
      <c r="BG99" s="22">
        <f>'Activity data'!BG58*ManureNEF*NtoN2O*kgtoGg</f>
        <v>7.9197217591385847E-3</v>
      </c>
      <c r="BH99" s="22">
        <f>'Activity data'!BH58*ManureNEF*NtoN2O*kgtoGg</f>
        <v>7.9300190855637314E-3</v>
      </c>
      <c r="BI99" s="22">
        <f>'Activity data'!BI58*ManureNEF*NtoN2O*kgtoGg</f>
        <v>7.9394012060183938E-3</v>
      </c>
      <c r="BJ99" s="22">
        <f>'Activity data'!BJ58*ManureNEF*NtoN2O*kgtoGg</f>
        <v>7.9478439613052451E-3</v>
      </c>
      <c r="BK99" s="22">
        <f>'Activity data'!BK58*ManureNEF*NtoN2O*kgtoGg</f>
        <v>7.9553450690671382E-3</v>
      </c>
      <c r="BL99" s="22">
        <f>'Activity data'!BL58*ManureNEF*NtoN2O*kgtoGg</f>
        <v>7.9615459181187984E-3</v>
      </c>
      <c r="BM99" s="22">
        <f>'Activity data'!BM58*ManureNEF*NtoN2O*kgtoGg</f>
        <v>7.9667396118881639E-3</v>
      </c>
      <c r="BN99" s="22">
        <f>'Activity data'!BN58*ManureNEF*NtoN2O*kgtoGg</f>
        <v>7.9709272616331171E-3</v>
      </c>
      <c r="BO99" s="22">
        <f>'Activity data'!BO58*ManureNEF*NtoN2O*kgtoGg</f>
        <v>7.9740785694144833E-3</v>
      </c>
      <c r="BP99" s="22">
        <f>'Activity data'!BP58*ManureNEF*NtoN2O*kgtoGg</f>
        <v>7.9762505438570313E-3</v>
      </c>
    </row>
    <row r="100" spans="1:68" x14ac:dyDescent="0.25">
      <c r="A100" t="str">
        <f t="shared" si="29"/>
        <v>3C Aggregated and non-CO2 emissions on land</v>
      </c>
      <c r="B100" t="str">
        <f t="shared" si="31"/>
        <v>3C4 Direct N2O from managed soils (N2O)</v>
      </c>
      <c r="C100" t="str">
        <f t="shared" si="35"/>
        <v>MM emissions</v>
      </c>
      <c r="D100" t="str">
        <f>'Activity data'!D59</f>
        <v xml:space="preserve"> - Subsistence goats</v>
      </c>
      <c r="E100" t="str">
        <f t="shared" si="32"/>
        <v>MM emissions - Subsistence goats</v>
      </c>
      <c r="F100" t="str">
        <f t="shared" si="33"/>
        <v>N2O</v>
      </c>
      <c r="G100" t="str">
        <f t="shared" si="34"/>
        <v>Gg N2O</v>
      </c>
      <c r="H100" s="22">
        <f>'Activity data'!H59*ManureNEF*NtoN2O*kgtoGg</f>
        <v>0.11880557253341303</v>
      </c>
      <c r="I100" s="22">
        <f>'Activity data'!I59*ManureNEF*NtoN2O*kgtoGg</f>
        <v>0.10505770346952495</v>
      </c>
      <c r="J100" s="22">
        <f>'Activity data'!J59*ManureNEF*NtoN2O*kgtoGg</f>
        <v>9.7862557043564835E-2</v>
      </c>
      <c r="K100" s="22">
        <f>'Activity data'!K59*ManureNEF*NtoN2O*kgtoGg</f>
        <v>9.2466197224094729E-2</v>
      </c>
      <c r="L100" s="22">
        <f>'Activity data'!L59*ManureNEF*NtoN2O*kgtoGg</f>
        <v>0.10008962617540962</v>
      </c>
      <c r="M100" s="22">
        <f>'Activity data'!M59*ManureNEF*NtoN2O*kgtoGg</f>
        <v>0.10146013025654488</v>
      </c>
      <c r="N100" s="22">
        <f>'Activity data'!N59*ManureNEF*NtoN2O*kgtoGg</f>
        <v>0.10304477560035755</v>
      </c>
      <c r="O100" s="22">
        <f>'Activity data'!O59*ManureNEF*NtoN2O*kgtoGg</f>
        <v>0.10253083656993182</v>
      </c>
      <c r="P100" s="22">
        <f>'Activity data'!P59*ManureNEF*NtoN2O*kgtoGg</f>
        <v>0.1010746759837256</v>
      </c>
      <c r="Q100" s="22">
        <f>'Activity data'!Q59*ManureNEF*NtoN2O*kgtoGg</f>
        <v>9.9575687144983924E-2</v>
      </c>
      <c r="R100" s="22">
        <f>'Activity data'!R59*ManureNEF*NtoN2O*kgtoGg</f>
        <v>0.10086053472104822</v>
      </c>
      <c r="S100" s="22">
        <f>'Activity data'!S59*ManureNEF*NtoN2O*kgtoGg</f>
        <v>0.10394416890360253</v>
      </c>
      <c r="T100" s="22">
        <f>'Activity data'!T59*ManureNEF*NtoN2O*kgtoGg</f>
        <v>9.4907407618616907E-2</v>
      </c>
      <c r="U100" s="22">
        <f>'Activity data'!U59*ManureNEF*NtoN2O*kgtoGg</f>
        <v>9.2509025476630202E-2</v>
      </c>
      <c r="V100" s="22">
        <f>'Activity data'!V59*ManureNEF*NtoN2O*kgtoGg</f>
        <v>9.268033848677211E-2</v>
      </c>
      <c r="W100" s="22">
        <f>'Activity data'!W59*ManureNEF*NtoN2O*kgtoGg</f>
        <v>9.1481147415778757E-2</v>
      </c>
      <c r="X100" s="22">
        <f>'Activity data'!X59*ManureNEF*NtoN2O*kgtoGg</f>
        <v>9.3408418779875241E-2</v>
      </c>
      <c r="Y100" s="22">
        <f>'Activity data'!Y59*ManureNEF*NtoN2O*kgtoGg</f>
        <v>9.0624582365069234E-2</v>
      </c>
      <c r="Z100" s="22">
        <f>'Activity data'!Z59*ManureNEF*NtoN2O*kgtoGg</f>
        <v>9.0538925859998259E-2</v>
      </c>
      <c r="AA100" s="22">
        <f>'Activity data'!AA59*ManureNEF*NtoN2O*kgtoGg</f>
        <v>8.8954280516185633E-2</v>
      </c>
      <c r="AB100" s="22">
        <f>'Activity data'!AB59*ManureNEF*NtoN2O*kgtoGg</f>
        <v>8.7883574202798714E-2</v>
      </c>
      <c r="AC100" s="22">
        <f>'Activity data'!AC59*ManureNEF*NtoN2O*kgtoGg</f>
        <v>8.7069837404624637E-2</v>
      </c>
      <c r="AD100" s="22">
        <f>'Activity data'!AD59*ManureNEF*NtoN2O*kgtoGg</f>
        <v>8.7039946620792327E-2</v>
      </c>
      <c r="AE100" s="22">
        <f>'Activity data'!AE59*ManureNEF*NtoN2O*kgtoGg</f>
        <v>8.7269210737169894E-2</v>
      </c>
      <c r="AF100" s="22">
        <f>'Activity data'!AF59*ManureNEF*NtoN2O*kgtoGg</f>
        <v>8.7572535228001305E-2</v>
      </c>
      <c r="AG100" s="22">
        <f>'Activity data'!AG59*ManureNEF*NtoN2O*kgtoGg</f>
        <v>8.7946782542407009E-2</v>
      </c>
      <c r="AH100" s="22">
        <f>'Activity data'!AH59*ManureNEF*NtoN2O*kgtoGg</f>
        <v>8.83905101607904E-2</v>
      </c>
      <c r="AI100" s="22">
        <f>'Activity data'!AI59*ManureNEF*NtoN2O*kgtoGg</f>
        <v>8.8907416217380408E-2</v>
      </c>
      <c r="AJ100" s="22">
        <f>'Activity data'!AJ59*ManureNEF*NtoN2O*kgtoGg</f>
        <v>8.946068310145297E-2</v>
      </c>
      <c r="AK100" s="22">
        <f>'Activity data'!AK59*ManureNEF*NtoN2O*kgtoGg</f>
        <v>9.0049814738720702E-2</v>
      </c>
      <c r="AL100" s="22">
        <f>'Activity data'!AL59*ManureNEF*NtoN2O*kgtoGg</f>
        <v>9.0587946129094279E-2</v>
      </c>
      <c r="AM100" s="22">
        <f>'Activity data'!AM59*ManureNEF*NtoN2O*kgtoGg</f>
        <v>9.099843873668377E-2</v>
      </c>
      <c r="AN100" s="22">
        <f>'Activity data'!AN59*ManureNEF*NtoN2O*kgtoGg</f>
        <v>9.1353488018798487E-2</v>
      </c>
      <c r="AO100" s="22">
        <f>'Activity data'!AO59*ManureNEF*NtoN2O*kgtoGg</f>
        <v>9.1652219915714164E-2</v>
      </c>
      <c r="AP100" s="22">
        <f>'Activity data'!AP59*ManureNEF*NtoN2O*kgtoGg</f>
        <v>9.1945511877073796E-2</v>
      </c>
      <c r="AQ100" s="22">
        <f>'Activity data'!AQ59*ManureNEF*NtoN2O*kgtoGg</f>
        <v>9.2230204862302545E-2</v>
      </c>
      <c r="AR100" s="22">
        <f>'Activity data'!AR59*ManureNEF*NtoN2O*kgtoGg</f>
        <v>9.2508137318854336E-2</v>
      </c>
      <c r="AS100" s="22">
        <f>'Activity data'!AS59*ManureNEF*NtoN2O*kgtoGg</f>
        <v>9.2775745742958368E-2</v>
      </c>
      <c r="AT100" s="22">
        <f>'Activity data'!AT59*ManureNEF*NtoN2O*kgtoGg</f>
        <v>9.3032236697750056E-2</v>
      </c>
      <c r="AU100" s="22">
        <f>'Activity data'!AU59*ManureNEF*NtoN2O*kgtoGg</f>
        <v>9.3282484061261925E-2</v>
      </c>
      <c r="AV100" s="22">
        <f>'Activity data'!AV59*ManureNEF*NtoN2O*kgtoGg</f>
        <v>9.3520723911999351E-2</v>
      </c>
      <c r="AW100" s="22">
        <f>'Activity data'!AW59*ManureNEF*NtoN2O*kgtoGg</f>
        <v>9.3755606139199643E-2</v>
      </c>
      <c r="AX100" s="22">
        <f>'Activity data'!AX59*ManureNEF*NtoN2O*kgtoGg</f>
        <v>9.3981209254896836E-2</v>
      </c>
      <c r="AY100" s="22">
        <f>'Activity data'!AY59*ManureNEF*NtoN2O*kgtoGg</f>
        <v>9.4196904891762745E-2</v>
      </c>
      <c r="AZ100" s="22">
        <f>'Activity data'!AZ59*ManureNEF*NtoN2O*kgtoGg</f>
        <v>9.4401883175294077E-2</v>
      </c>
      <c r="BA100" s="22">
        <f>'Activity data'!BA59*ManureNEF*NtoN2O*kgtoGg</f>
        <v>9.4598122421258493E-2</v>
      </c>
      <c r="BB100" s="22">
        <f>'Activity data'!BB59*ManureNEF*NtoN2O*kgtoGg</f>
        <v>9.4785006768352525E-2</v>
      </c>
      <c r="BC100" s="22">
        <f>'Activity data'!BC59*ManureNEF*NtoN2O*kgtoGg</f>
        <v>9.4961417769260023E-2</v>
      </c>
      <c r="BD100" s="22">
        <f>'Activity data'!BD59*ManureNEF*NtoN2O*kgtoGg</f>
        <v>9.5125427850232758E-2</v>
      </c>
      <c r="BE100" s="22">
        <f>'Activity data'!BE59*ManureNEF*NtoN2O*kgtoGg</f>
        <v>9.5279807283407777E-2</v>
      </c>
      <c r="BF100" s="22">
        <f>'Activity data'!BF59*ManureNEF*NtoN2O*kgtoGg</f>
        <v>9.5424890986837749E-2</v>
      </c>
      <c r="BG100" s="22">
        <f>'Activity data'!BG59*ManureNEF*NtoN2O*kgtoGg</f>
        <v>9.5559833151858439E-2</v>
      </c>
      <c r="BH100" s="22">
        <f>'Activity data'!BH59*ManureNEF*NtoN2O*kgtoGg</f>
        <v>9.5684081304132446E-2</v>
      </c>
      <c r="BI100" s="22">
        <f>'Activity data'!BI59*ManureNEF*NtoN2O*kgtoGg</f>
        <v>9.5797286526806358E-2</v>
      </c>
      <c r="BJ100" s="22">
        <f>'Activity data'!BJ59*ManureNEF*NtoN2O*kgtoGg</f>
        <v>9.5899157313570085E-2</v>
      </c>
      <c r="BK100" s="22">
        <f>'Activity data'!BK59*ManureNEF*NtoN2O*kgtoGg</f>
        <v>9.5989666125366843E-2</v>
      </c>
      <c r="BL100" s="22">
        <f>'Activity data'!BL59*ManureNEF*NtoN2O*kgtoGg</f>
        <v>9.6064485938334707E-2</v>
      </c>
      <c r="BM100" s="22">
        <f>'Activity data'!BM59*ManureNEF*NtoN2O*kgtoGg</f>
        <v>9.6127153355844638E-2</v>
      </c>
      <c r="BN100" s="22">
        <f>'Activity data'!BN59*ManureNEF*NtoN2O*kgtoGg</f>
        <v>9.6177681786400238E-2</v>
      </c>
      <c r="BO100" s="22">
        <f>'Activity data'!BO59*ManureNEF*NtoN2O*kgtoGg</f>
        <v>9.6215705653267786E-2</v>
      </c>
      <c r="BP100" s="22">
        <f>'Activity data'!BP59*ManureNEF*NtoN2O*kgtoGg</f>
        <v>9.6241912825899903E-2</v>
      </c>
    </row>
    <row r="101" spans="1:68" x14ac:dyDescent="0.25">
      <c r="A101" t="str">
        <f t="shared" si="29"/>
        <v>3C Aggregated and non-CO2 emissions on land</v>
      </c>
      <c r="B101" t="str">
        <f t="shared" si="31"/>
        <v>3C4 Direct N2O from managed soils (N2O)</v>
      </c>
      <c r="C101" t="str">
        <f t="shared" si="35"/>
        <v>MM emissions</v>
      </c>
      <c r="D101" t="str">
        <f>'Activity data'!D60</f>
        <v xml:space="preserve"> - Horses</v>
      </c>
      <c r="E101" t="str">
        <f t="shared" si="32"/>
        <v>MM emissions - Horses</v>
      </c>
      <c r="F101" t="str">
        <f t="shared" si="33"/>
        <v>N2O</v>
      </c>
      <c r="G101" t="str">
        <f t="shared" si="34"/>
        <v>Gg N2O</v>
      </c>
      <c r="H101" s="22">
        <f>'Activity data'!H60*ManureNEF*NtoN2O*kgtoGg</f>
        <v>0</v>
      </c>
      <c r="I101" s="22">
        <f>'Activity data'!I60*ManureNEF*NtoN2O*kgtoGg</f>
        <v>0</v>
      </c>
      <c r="J101" s="22">
        <f>'Activity data'!J60*ManureNEF*NtoN2O*kgtoGg</f>
        <v>0</v>
      </c>
      <c r="K101" s="22">
        <f>'Activity data'!K60*ManureNEF*NtoN2O*kgtoGg</f>
        <v>0</v>
      </c>
      <c r="L101" s="22">
        <f>'Activity data'!L60*ManureNEF*NtoN2O*kgtoGg</f>
        <v>0</v>
      </c>
      <c r="M101" s="22">
        <f>'Activity data'!M60*ManureNEF*NtoN2O*kgtoGg</f>
        <v>0</v>
      </c>
      <c r="N101" s="22">
        <f>'Activity data'!N60*ManureNEF*NtoN2O*kgtoGg</f>
        <v>0</v>
      </c>
      <c r="O101" s="22">
        <f>'Activity data'!O60*ManureNEF*NtoN2O*kgtoGg</f>
        <v>0</v>
      </c>
      <c r="P101" s="22">
        <f>'Activity data'!P60*ManureNEF*NtoN2O*kgtoGg</f>
        <v>0</v>
      </c>
      <c r="Q101" s="22">
        <f>'Activity data'!Q60*ManureNEF*NtoN2O*kgtoGg</f>
        <v>0</v>
      </c>
      <c r="R101" s="22">
        <f>'Activity data'!R60*ManureNEF*NtoN2O*kgtoGg</f>
        <v>0</v>
      </c>
      <c r="S101" s="22">
        <f>'Activity data'!S60*ManureNEF*NtoN2O*kgtoGg</f>
        <v>0</v>
      </c>
      <c r="T101" s="22">
        <f>'Activity data'!T60*ManureNEF*NtoN2O*kgtoGg</f>
        <v>0</v>
      </c>
      <c r="U101" s="22">
        <f>'Activity data'!U60*ManureNEF*NtoN2O*kgtoGg</f>
        <v>0</v>
      </c>
      <c r="V101" s="22">
        <f>'Activity data'!V60*ManureNEF*NtoN2O*kgtoGg</f>
        <v>0</v>
      </c>
      <c r="W101" s="22">
        <f>'Activity data'!W60*ManureNEF*NtoN2O*kgtoGg</f>
        <v>0</v>
      </c>
      <c r="X101" s="22">
        <f>'Activity data'!X60*ManureNEF*NtoN2O*kgtoGg</f>
        <v>0</v>
      </c>
      <c r="Y101" s="22">
        <f>'Activity data'!Y60*ManureNEF*NtoN2O*kgtoGg</f>
        <v>0</v>
      </c>
      <c r="Z101" s="22">
        <f>'Activity data'!Z60*ManureNEF*NtoN2O*kgtoGg</f>
        <v>0</v>
      </c>
      <c r="AA101" s="22">
        <f>'Activity data'!AA60*ManureNEF*NtoN2O*kgtoGg</f>
        <v>0</v>
      </c>
      <c r="AB101" s="22">
        <f>'Activity data'!AB60*ManureNEF*NtoN2O*kgtoGg</f>
        <v>0</v>
      </c>
      <c r="AC101" s="22">
        <f>'Activity data'!AC60*ManureNEF*NtoN2O*kgtoGg</f>
        <v>0</v>
      </c>
      <c r="AD101" s="22">
        <f>'Activity data'!AD60*ManureNEF*NtoN2O*kgtoGg</f>
        <v>0</v>
      </c>
      <c r="AE101" s="22">
        <f>'Activity data'!AE60*ManureNEF*NtoN2O*kgtoGg</f>
        <v>0</v>
      </c>
      <c r="AF101" s="22">
        <f>'Activity data'!AF60*ManureNEF*NtoN2O*kgtoGg</f>
        <v>0</v>
      </c>
      <c r="AG101" s="22">
        <f>'Activity data'!AG60*ManureNEF*NtoN2O*kgtoGg</f>
        <v>0</v>
      </c>
      <c r="AH101" s="22">
        <f>'Activity data'!AH60*ManureNEF*NtoN2O*kgtoGg</f>
        <v>0</v>
      </c>
      <c r="AI101" s="22">
        <f>'Activity data'!AI60*ManureNEF*NtoN2O*kgtoGg</f>
        <v>0</v>
      </c>
      <c r="AJ101" s="22">
        <f>'Activity data'!AJ60*ManureNEF*NtoN2O*kgtoGg</f>
        <v>0</v>
      </c>
      <c r="AK101" s="22">
        <f>'Activity data'!AK60*ManureNEF*NtoN2O*kgtoGg</f>
        <v>0</v>
      </c>
      <c r="AL101" s="22">
        <f>'Activity data'!AL60*ManureNEF*NtoN2O*kgtoGg</f>
        <v>0</v>
      </c>
      <c r="AM101" s="22">
        <f>'Activity data'!AM60*ManureNEF*NtoN2O*kgtoGg</f>
        <v>0</v>
      </c>
      <c r="AN101" s="22">
        <f>'Activity data'!AN60*ManureNEF*NtoN2O*kgtoGg</f>
        <v>0</v>
      </c>
      <c r="AO101" s="22">
        <f>'Activity data'!AO60*ManureNEF*NtoN2O*kgtoGg</f>
        <v>0</v>
      </c>
      <c r="AP101" s="22">
        <f>'Activity data'!AP60*ManureNEF*NtoN2O*kgtoGg</f>
        <v>0</v>
      </c>
      <c r="AQ101" s="22">
        <f>'Activity data'!AQ60*ManureNEF*NtoN2O*kgtoGg</f>
        <v>0</v>
      </c>
      <c r="AR101" s="22">
        <f>'Activity data'!AR60*ManureNEF*NtoN2O*kgtoGg</f>
        <v>0</v>
      </c>
      <c r="AS101" s="22">
        <f>'Activity data'!AS60*ManureNEF*NtoN2O*kgtoGg</f>
        <v>0</v>
      </c>
      <c r="AT101" s="22">
        <f>'Activity data'!AT60*ManureNEF*NtoN2O*kgtoGg</f>
        <v>0</v>
      </c>
      <c r="AU101" s="22">
        <f>'Activity data'!AU60*ManureNEF*NtoN2O*kgtoGg</f>
        <v>0</v>
      </c>
      <c r="AV101" s="22">
        <f>'Activity data'!AV60*ManureNEF*NtoN2O*kgtoGg</f>
        <v>0</v>
      </c>
      <c r="AW101" s="22">
        <f>'Activity data'!AW60*ManureNEF*NtoN2O*kgtoGg</f>
        <v>0</v>
      </c>
      <c r="AX101" s="22">
        <f>'Activity data'!AX60*ManureNEF*NtoN2O*kgtoGg</f>
        <v>0</v>
      </c>
      <c r="AY101" s="22">
        <f>'Activity data'!AY60*ManureNEF*NtoN2O*kgtoGg</f>
        <v>0</v>
      </c>
      <c r="AZ101" s="22">
        <f>'Activity data'!AZ60*ManureNEF*NtoN2O*kgtoGg</f>
        <v>0</v>
      </c>
      <c r="BA101" s="22">
        <f>'Activity data'!BA60*ManureNEF*NtoN2O*kgtoGg</f>
        <v>0</v>
      </c>
      <c r="BB101" s="22">
        <f>'Activity data'!BB60*ManureNEF*NtoN2O*kgtoGg</f>
        <v>0</v>
      </c>
      <c r="BC101" s="22">
        <f>'Activity data'!BC60*ManureNEF*NtoN2O*kgtoGg</f>
        <v>0</v>
      </c>
      <c r="BD101" s="22">
        <f>'Activity data'!BD60*ManureNEF*NtoN2O*kgtoGg</f>
        <v>0</v>
      </c>
      <c r="BE101" s="22">
        <f>'Activity data'!BE60*ManureNEF*NtoN2O*kgtoGg</f>
        <v>0</v>
      </c>
      <c r="BF101" s="22">
        <f>'Activity data'!BF60*ManureNEF*NtoN2O*kgtoGg</f>
        <v>0</v>
      </c>
      <c r="BG101" s="22">
        <f>'Activity data'!BG60*ManureNEF*NtoN2O*kgtoGg</f>
        <v>0</v>
      </c>
      <c r="BH101" s="22">
        <f>'Activity data'!BH60*ManureNEF*NtoN2O*kgtoGg</f>
        <v>0</v>
      </c>
      <c r="BI101" s="22">
        <f>'Activity data'!BI60*ManureNEF*NtoN2O*kgtoGg</f>
        <v>0</v>
      </c>
      <c r="BJ101" s="22">
        <f>'Activity data'!BJ60*ManureNEF*NtoN2O*kgtoGg</f>
        <v>0</v>
      </c>
      <c r="BK101" s="22">
        <f>'Activity data'!BK60*ManureNEF*NtoN2O*kgtoGg</f>
        <v>0</v>
      </c>
      <c r="BL101" s="22">
        <f>'Activity data'!BL60*ManureNEF*NtoN2O*kgtoGg</f>
        <v>0</v>
      </c>
      <c r="BM101" s="22">
        <f>'Activity data'!BM60*ManureNEF*NtoN2O*kgtoGg</f>
        <v>0</v>
      </c>
      <c r="BN101" s="22">
        <f>'Activity data'!BN60*ManureNEF*NtoN2O*kgtoGg</f>
        <v>0</v>
      </c>
      <c r="BO101" s="22">
        <f>'Activity data'!BO60*ManureNEF*NtoN2O*kgtoGg</f>
        <v>0</v>
      </c>
      <c r="BP101" s="22">
        <f>'Activity data'!BP60*ManureNEF*NtoN2O*kgtoGg</f>
        <v>0</v>
      </c>
    </row>
    <row r="102" spans="1:68" x14ac:dyDescent="0.25">
      <c r="A102" t="str">
        <f t="shared" si="29"/>
        <v>3C Aggregated and non-CO2 emissions on land</v>
      </c>
      <c r="B102" t="str">
        <f t="shared" si="31"/>
        <v>3C4 Direct N2O from managed soils (N2O)</v>
      </c>
      <c r="C102" t="str">
        <f t="shared" si="35"/>
        <v>MM emissions</v>
      </c>
      <c r="D102" t="str">
        <f>'Activity data'!D61</f>
        <v xml:space="preserve"> - Mules &amp; Asses</v>
      </c>
      <c r="E102" t="str">
        <f t="shared" si="32"/>
        <v>MM emissions - Mules &amp; Asses</v>
      </c>
      <c r="F102" t="str">
        <f t="shared" si="33"/>
        <v>N2O</v>
      </c>
      <c r="G102" t="str">
        <f t="shared" si="34"/>
        <v>Gg N2O</v>
      </c>
      <c r="H102" s="22">
        <f>'Activity data'!H61*ManureNEF*NtoN2O*kgtoGg</f>
        <v>0</v>
      </c>
      <c r="I102" s="22">
        <f>'Activity data'!I61*ManureNEF*NtoN2O*kgtoGg</f>
        <v>0</v>
      </c>
      <c r="J102" s="22">
        <f>'Activity data'!J61*ManureNEF*NtoN2O*kgtoGg</f>
        <v>0</v>
      </c>
      <c r="K102" s="22">
        <f>'Activity data'!K61*ManureNEF*NtoN2O*kgtoGg</f>
        <v>0</v>
      </c>
      <c r="L102" s="22">
        <f>'Activity data'!L61*ManureNEF*NtoN2O*kgtoGg</f>
        <v>0</v>
      </c>
      <c r="M102" s="22">
        <f>'Activity data'!M61*ManureNEF*NtoN2O*kgtoGg</f>
        <v>0</v>
      </c>
      <c r="N102" s="22">
        <f>'Activity data'!N61*ManureNEF*NtoN2O*kgtoGg</f>
        <v>0</v>
      </c>
      <c r="O102" s="22">
        <f>'Activity data'!O61*ManureNEF*NtoN2O*kgtoGg</f>
        <v>0</v>
      </c>
      <c r="P102" s="22">
        <f>'Activity data'!P61*ManureNEF*NtoN2O*kgtoGg</f>
        <v>0</v>
      </c>
      <c r="Q102" s="22">
        <f>'Activity data'!Q61*ManureNEF*NtoN2O*kgtoGg</f>
        <v>0</v>
      </c>
      <c r="R102" s="22">
        <f>'Activity data'!R61*ManureNEF*NtoN2O*kgtoGg</f>
        <v>0</v>
      </c>
      <c r="S102" s="22">
        <f>'Activity data'!S61*ManureNEF*NtoN2O*kgtoGg</f>
        <v>0</v>
      </c>
      <c r="T102" s="22">
        <f>'Activity data'!T61*ManureNEF*NtoN2O*kgtoGg</f>
        <v>0</v>
      </c>
      <c r="U102" s="22">
        <f>'Activity data'!U61*ManureNEF*NtoN2O*kgtoGg</f>
        <v>0</v>
      </c>
      <c r="V102" s="22">
        <f>'Activity data'!V61*ManureNEF*NtoN2O*kgtoGg</f>
        <v>0</v>
      </c>
      <c r="W102" s="22">
        <f>'Activity data'!W61*ManureNEF*NtoN2O*kgtoGg</f>
        <v>0</v>
      </c>
      <c r="X102" s="22">
        <f>'Activity data'!X61*ManureNEF*NtoN2O*kgtoGg</f>
        <v>0</v>
      </c>
      <c r="Y102" s="22">
        <f>'Activity data'!Y61*ManureNEF*NtoN2O*kgtoGg</f>
        <v>0</v>
      </c>
      <c r="Z102" s="22">
        <f>'Activity data'!Z61*ManureNEF*NtoN2O*kgtoGg</f>
        <v>0</v>
      </c>
      <c r="AA102" s="22">
        <f>'Activity data'!AA61*ManureNEF*NtoN2O*kgtoGg</f>
        <v>0</v>
      </c>
      <c r="AB102" s="22">
        <f>'Activity data'!AB61*ManureNEF*NtoN2O*kgtoGg</f>
        <v>0</v>
      </c>
      <c r="AC102" s="22">
        <f>'Activity data'!AC61*ManureNEF*NtoN2O*kgtoGg</f>
        <v>0</v>
      </c>
      <c r="AD102" s="22">
        <f>'Activity data'!AD61*ManureNEF*NtoN2O*kgtoGg</f>
        <v>0</v>
      </c>
      <c r="AE102" s="22">
        <f>'Activity data'!AE61*ManureNEF*NtoN2O*kgtoGg</f>
        <v>0</v>
      </c>
      <c r="AF102" s="22">
        <f>'Activity data'!AF61*ManureNEF*NtoN2O*kgtoGg</f>
        <v>0</v>
      </c>
      <c r="AG102" s="22">
        <f>'Activity data'!AG61*ManureNEF*NtoN2O*kgtoGg</f>
        <v>0</v>
      </c>
      <c r="AH102" s="22">
        <f>'Activity data'!AH61*ManureNEF*NtoN2O*kgtoGg</f>
        <v>0</v>
      </c>
      <c r="AI102" s="22">
        <f>'Activity data'!AI61*ManureNEF*NtoN2O*kgtoGg</f>
        <v>0</v>
      </c>
      <c r="AJ102" s="22">
        <f>'Activity data'!AJ61*ManureNEF*NtoN2O*kgtoGg</f>
        <v>0</v>
      </c>
      <c r="AK102" s="22">
        <f>'Activity data'!AK61*ManureNEF*NtoN2O*kgtoGg</f>
        <v>0</v>
      </c>
      <c r="AL102" s="22">
        <f>'Activity data'!AL61*ManureNEF*NtoN2O*kgtoGg</f>
        <v>0</v>
      </c>
      <c r="AM102" s="22">
        <f>'Activity data'!AM61*ManureNEF*NtoN2O*kgtoGg</f>
        <v>0</v>
      </c>
      <c r="AN102" s="22">
        <f>'Activity data'!AN61*ManureNEF*NtoN2O*kgtoGg</f>
        <v>0</v>
      </c>
      <c r="AO102" s="22">
        <f>'Activity data'!AO61*ManureNEF*NtoN2O*kgtoGg</f>
        <v>0</v>
      </c>
      <c r="AP102" s="22">
        <f>'Activity data'!AP61*ManureNEF*NtoN2O*kgtoGg</f>
        <v>0</v>
      </c>
      <c r="AQ102" s="22">
        <f>'Activity data'!AQ61*ManureNEF*NtoN2O*kgtoGg</f>
        <v>0</v>
      </c>
      <c r="AR102" s="22">
        <f>'Activity data'!AR61*ManureNEF*NtoN2O*kgtoGg</f>
        <v>0</v>
      </c>
      <c r="AS102" s="22">
        <f>'Activity data'!AS61*ManureNEF*NtoN2O*kgtoGg</f>
        <v>0</v>
      </c>
      <c r="AT102" s="22">
        <f>'Activity data'!AT61*ManureNEF*NtoN2O*kgtoGg</f>
        <v>0</v>
      </c>
      <c r="AU102" s="22">
        <f>'Activity data'!AU61*ManureNEF*NtoN2O*kgtoGg</f>
        <v>0</v>
      </c>
      <c r="AV102" s="22">
        <f>'Activity data'!AV61*ManureNEF*NtoN2O*kgtoGg</f>
        <v>0</v>
      </c>
      <c r="AW102" s="22">
        <f>'Activity data'!AW61*ManureNEF*NtoN2O*kgtoGg</f>
        <v>0</v>
      </c>
      <c r="AX102" s="22">
        <f>'Activity data'!AX61*ManureNEF*NtoN2O*kgtoGg</f>
        <v>0</v>
      </c>
      <c r="AY102" s="22">
        <f>'Activity data'!AY61*ManureNEF*NtoN2O*kgtoGg</f>
        <v>0</v>
      </c>
      <c r="AZ102" s="22">
        <f>'Activity data'!AZ61*ManureNEF*NtoN2O*kgtoGg</f>
        <v>0</v>
      </c>
      <c r="BA102" s="22">
        <f>'Activity data'!BA61*ManureNEF*NtoN2O*kgtoGg</f>
        <v>0</v>
      </c>
      <c r="BB102" s="22">
        <f>'Activity data'!BB61*ManureNEF*NtoN2O*kgtoGg</f>
        <v>0</v>
      </c>
      <c r="BC102" s="22">
        <f>'Activity data'!BC61*ManureNEF*NtoN2O*kgtoGg</f>
        <v>0</v>
      </c>
      <c r="BD102" s="22">
        <f>'Activity data'!BD61*ManureNEF*NtoN2O*kgtoGg</f>
        <v>0</v>
      </c>
      <c r="BE102" s="22">
        <f>'Activity data'!BE61*ManureNEF*NtoN2O*kgtoGg</f>
        <v>0</v>
      </c>
      <c r="BF102" s="22">
        <f>'Activity data'!BF61*ManureNEF*NtoN2O*kgtoGg</f>
        <v>0</v>
      </c>
      <c r="BG102" s="22">
        <f>'Activity data'!BG61*ManureNEF*NtoN2O*kgtoGg</f>
        <v>0</v>
      </c>
      <c r="BH102" s="22">
        <f>'Activity data'!BH61*ManureNEF*NtoN2O*kgtoGg</f>
        <v>0</v>
      </c>
      <c r="BI102" s="22">
        <f>'Activity data'!BI61*ManureNEF*NtoN2O*kgtoGg</f>
        <v>0</v>
      </c>
      <c r="BJ102" s="22">
        <f>'Activity data'!BJ61*ManureNEF*NtoN2O*kgtoGg</f>
        <v>0</v>
      </c>
      <c r="BK102" s="22">
        <f>'Activity data'!BK61*ManureNEF*NtoN2O*kgtoGg</f>
        <v>0</v>
      </c>
      <c r="BL102" s="22">
        <f>'Activity data'!BL61*ManureNEF*NtoN2O*kgtoGg</f>
        <v>0</v>
      </c>
      <c r="BM102" s="22">
        <f>'Activity data'!BM61*ManureNEF*NtoN2O*kgtoGg</f>
        <v>0</v>
      </c>
      <c r="BN102" s="22">
        <f>'Activity data'!BN61*ManureNEF*NtoN2O*kgtoGg</f>
        <v>0</v>
      </c>
      <c r="BO102" s="22">
        <f>'Activity data'!BO61*ManureNEF*NtoN2O*kgtoGg</f>
        <v>0</v>
      </c>
      <c r="BP102" s="22">
        <f>'Activity data'!BP61*ManureNEF*NtoN2O*kgtoGg</f>
        <v>0</v>
      </c>
    </row>
    <row r="103" spans="1:68" x14ac:dyDescent="0.25">
      <c r="A103" t="str">
        <f t="shared" si="29"/>
        <v>3C Aggregated and non-CO2 emissions on land</v>
      </c>
      <c r="B103" t="str">
        <f t="shared" si="31"/>
        <v>3C4 Direct N2O from managed soils (N2O)</v>
      </c>
      <c r="C103" t="str">
        <f t="shared" si="35"/>
        <v>MM emissions</v>
      </c>
      <c r="D103" t="str">
        <f>'Activity data'!D62</f>
        <v xml:space="preserve"> - Commercial swine</v>
      </c>
      <c r="E103" t="str">
        <f t="shared" si="32"/>
        <v>MM emissions - Commercial swine</v>
      </c>
      <c r="F103" t="str">
        <f t="shared" si="33"/>
        <v>N2O</v>
      </c>
      <c r="G103" t="str">
        <f t="shared" si="34"/>
        <v>Gg N2O</v>
      </c>
      <c r="H103" s="22">
        <f>'Activity data'!H62*ManureNEF*NtoN2O*kgtoGg</f>
        <v>0.11469131025188571</v>
      </c>
      <c r="I103" s="22">
        <f>'Activity data'!I62*ManureNEF*NtoN2O*kgtoGg</f>
        <v>0.12530251415314284</v>
      </c>
      <c r="J103" s="22">
        <f>'Activity data'!J62*ManureNEF*NtoN2O*kgtoGg</f>
        <v>0.1244746897353143</v>
      </c>
      <c r="K103" s="22">
        <f>'Activity data'!K62*ManureNEF*NtoN2O*kgtoGg</f>
        <v>0.12439943297005714</v>
      </c>
      <c r="L103" s="22">
        <f>'Activity data'!L62*ManureNEF*NtoN2O*kgtoGg</f>
        <v>0.11815312145371427</v>
      </c>
      <c r="M103" s="22">
        <f>'Activity data'!M62*ManureNEF*NtoN2O*kgtoGg</f>
        <v>0.11928197293257144</v>
      </c>
      <c r="N103" s="22">
        <f>'Activity data'!N62*ManureNEF*NtoN2O*kgtoGg</f>
        <v>0.12846329829394287</v>
      </c>
      <c r="O103" s="22">
        <f>'Activity data'!O62*ManureNEF*NtoN2O*kgtoGg</f>
        <v>0.12786124417188571</v>
      </c>
      <c r="P103" s="22">
        <f>'Activity data'!P62*ManureNEF*NtoN2O*kgtoGg</f>
        <v>0.13064574448639998</v>
      </c>
      <c r="Q103" s="22">
        <f>'Activity data'!Q62*ManureNEF*NtoN2O*kgtoGg</f>
        <v>0.13395704215771428</v>
      </c>
      <c r="R103" s="22">
        <f>'Activity data'!R62*ManureNEF*NtoN2O*kgtoGg</f>
        <v>0.12394789237851427</v>
      </c>
      <c r="S103" s="22">
        <f>'Activity data'!S62*ManureNEF*NtoN2O*kgtoGg</f>
        <v>0.12628085210148574</v>
      </c>
      <c r="T103" s="22">
        <f>'Activity data'!T62*ManureNEF*NtoN2O*kgtoGg</f>
        <v>0.12868906858971427</v>
      </c>
      <c r="U103" s="22">
        <f>'Activity data'!U62*ManureNEF*NtoN2O*kgtoGg</f>
        <v>0.12515200062262857</v>
      </c>
      <c r="V103" s="22">
        <f>'Activity data'!V62*ManureNEF*NtoN2O*kgtoGg</f>
        <v>0.12515200062262857</v>
      </c>
      <c r="W103" s="22">
        <f>'Activity data'!W62*ManureNEF*NtoN2O*kgtoGg</f>
        <v>0.12424891943954286</v>
      </c>
      <c r="X103" s="22">
        <f>'Activity data'!X62*ManureNEF*NtoN2O*kgtoGg</f>
        <v>0.12206647324708569</v>
      </c>
      <c r="Y103" s="22">
        <f>'Activity data'!Y62*ManureNEF*NtoN2O*kgtoGg</f>
        <v>0.12424891943954286</v>
      </c>
      <c r="Z103" s="22">
        <f>'Activity data'!Z62*ManureNEF*NtoN2O*kgtoGg</f>
        <v>0.12153967589028571</v>
      </c>
      <c r="AA103" s="22">
        <f>'Activity data'!AA62*ManureNEF*NtoN2O*kgtoGg</f>
        <v>0.12138916235977143</v>
      </c>
      <c r="AB103" s="22">
        <f>'Activity data'!AB62*ManureNEF*NtoN2O*kgtoGg</f>
        <v>0.11995928381988573</v>
      </c>
      <c r="AC103" s="22">
        <f>'Activity data'!AC62*ManureNEF*NtoN2O*kgtoGg</f>
        <v>0.11920671616731429</v>
      </c>
      <c r="AD103" s="22">
        <f>'Activity data'!AD62*ManureNEF*NtoN2O*kgtoGg</f>
        <v>0.12522478706527926</v>
      </c>
      <c r="AE103" s="22">
        <f>'Activity data'!AE62*ManureNEF*NtoN2O*kgtoGg</f>
        <v>0.12521997640563526</v>
      </c>
      <c r="AF103" s="22">
        <f>'Activity data'!AF62*ManureNEF*NtoN2O*kgtoGg</f>
        <v>0.12404242947396653</v>
      </c>
      <c r="AG103" s="22">
        <f>'Activity data'!AG62*ManureNEF*NtoN2O*kgtoGg</f>
        <v>0.12197395480960324</v>
      </c>
      <c r="AH103" s="22">
        <f>'Activity data'!AH62*ManureNEF*NtoN2O*kgtoGg</f>
        <v>0.11939194091829984</v>
      </c>
      <c r="AI103" s="22">
        <f>'Activity data'!AI62*ManureNEF*NtoN2O*kgtoGg</f>
        <v>0.1173437296288227</v>
      </c>
      <c r="AJ103" s="22">
        <f>'Activity data'!AJ62*ManureNEF*NtoN2O*kgtoGg</f>
        <v>0.11563923751750663</v>
      </c>
      <c r="AK103" s="22">
        <f>'Activity data'!AK62*ManureNEF*NtoN2O*kgtoGg</f>
        <v>0.11394527956268109</v>
      </c>
      <c r="AL103" s="22">
        <f>'Activity data'!AL62*ManureNEF*NtoN2O*kgtoGg</f>
        <v>9.9288113514003906E-2</v>
      </c>
      <c r="AM103" s="22">
        <f>'Activity data'!AM62*ManureNEF*NtoN2O*kgtoGg</f>
        <v>9.9452927633168473E-2</v>
      </c>
      <c r="AN103" s="22">
        <f>'Activity data'!AN62*ManureNEF*NtoN2O*kgtoGg</f>
        <v>9.9657753952525255E-2</v>
      </c>
      <c r="AO103" s="22">
        <f>'Activity data'!AO62*ManureNEF*NtoN2O*kgtoGg</f>
        <v>0.10015466724361152</v>
      </c>
      <c r="AP103" s="22">
        <f>'Activity data'!AP62*ManureNEF*NtoN2O*kgtoGg</f>
        <v>0.10081760246933477</v>
      </c>
      <c r="AQ103" s="22">
        <f>'Activity data'!AQ62*ManureNEF*NtoN2O*kgtoGg</f>
        <v>0.10141547058036997</v>
      </c>
      <c r="AR103" s="22">
        <f>'Activity data'!AR62*ManureNEF*NtoN2O*kgtoGg</f>
        <v>0.10241332009921982</v>
      </c>
      <c r="AS103" s="22">
        <f>'Activity data'!AS62*ManureNEF*NtoN2O*kgtoGg</f>
        <v>0.10348492366990107</v>
      </c>
      <c r="AT103" s="22">
        <f>'Activity data'!AT62*ManureNEF*NtoN2O*kgtoGg</f>
        <v>0.10468589771862766</v>
      </c>
      <c r="AU103" s="22">
        <f>'Activity data'!AU62*ManureNEF*NtoN2O*kgtoGg</f>
        <v>0.10594107880991568</v>
      </c>
      <c r="AV103" s="22">
        <f>'Activity data'!AV62*ManureNEF*NtoN2O*kgtoGg</f>
        <v>0.10661209370803873</v>
      </c>
      <c r="AW103" s="22">
        <f>'Activity data'!AW62*ManureNEF*NtoN2O*kgtoGg</f>
        <v>0.10798006086787038</v>
      </c>
      <c r="AX103" s="22">
        <f>'Activity data'!AX62*ManureNEF*NtoN2O*kgtoGg</f>
        <v>0.10935955558862351</v>
      </c>
      <c r="AY103" s="22">
        <f>'Activity data'!AY62*ManureNEF*NtoN2O*kgtoGg</f>
        <v>0.11077080972706489</v>
      </c>
      <c r="AZ103" s="22">
        <f>'Activity data'!AZ62*ManureNEF*NtoN2O*kgtoGg</f>
        <v>0.11197086043712379</v>
      </c>
      <c r="BA103" s="22">
        <f>'Activity data'!BA62*ManureNEF*NtoN2O*kgtoGg</f>
        <v>0.1132987203514326</v>
      </c>
      <c r="BB103" s="22">
        <f>'Activity data'!BB62*ManureNEF*NtoN2O*kgtoGg</f>
        <v>0.11475101325253417</v>
      </c>
      <c r="BC103" s="22">
        <f>'Activity data'!BC62*ManureNEF*NtoN2O*kgtoGg</f>
        <v>0.11625831991295049</v>
      </c>
      <c r="BD103" s="22">
        <f>'Activity data'!BD62*ManureNEF*NtoN2O*kgtoGg</f>
        <v>0.11765312496494082</v>
      </c>
      <c r="BE103" s="22">
        <f>'Activity data'!BE62*ManureNEF*NtoN2O*kgtoGg</f>
        <v>0.11910007214487114</v>
      </c>
      <c r="BF103" s="22">
        <f>'Activity data'!BF62*ManureNEF*NtoN2O*kgtoGg</f>
        <v>0.120691025448366</v>
      </c>
      <c r="BG103" s="22">
        <f>'Activity data'!BG62*ManureNEF*NtoN2O*kgtoGg</f>
        <v>0.12237343625628973</v>
      </c>
      <c r="BH103" s="22">
        <f>'Activity data'!BH62*ManureNEF*NtoN2O*kgtoGg</f>
        <v>0.12412741892137083</v>
      </c>
      <c r="BI103" s="22">
        <f>'Activity data'!BI62*ManureNEF*NtoN2O*kgtoGg</f>
        <v>0.12595379127697429</v>
      </c>
      <c r="BJ103" s="22">
        <f>'Activity data'!BJ62*ManureNEF*NtoN2O*kgtoGg</f>
        <v>0.12784808428065006</v>
      </c>
      <c r="BK103" s="22">
        <f>'Activity data'!BK62*ManureNEF*NtoN2O*kgtoGg</f>
        <v>0.12984058315426303</v>
      </c>
      <c r="BL103" s="22">
        <f>'Activity data'!BL62*ManureNEF*NtoN2O*kgtoGg</f>
        <v>0.13149398270166279</v>
      </c>
      <c r="BM103" s="22">
        <f>'Activity data'!BM62*ManureNEF*NtoN2O*kgtoGg</f>
        <v>0.13322784554082662</v>
      </c>
      <c r="BN103" s="22">
        <f>'Activity data'!BN62*ManureNEF*NtoN2O*kgtoGg</f>
        <v>0.13506782577332235</v>
      </c>
      <c r="BO103" s="22">
        <f>'Activity data'!BO62*ManureNEF*NtoN2O*kgtoGg</f>
        <v>0.13702306483762572</v>
      </c>
      <c r="BP103" s="22">
        <f>'Activity data'!BP62*ManureNEF*NtoN2O*kgtoGg</f>
        <v>0.13918147270601161</v>
      </c>
    </row>
    <row r="104" spans="1:68" x14ac:dyDescent="0.25">
      <c r="A104" t="str">
        <f t="shared" si="29"/>
        <v>3C Aggregated and non-CO2 emissions on land</v>
      </c>
      <c r="B104" t="str">
        <f t="shared" si="31"/>
        <v>3C4 Direct N2O from managed soils (N2O)</v>
      </c>
      <c r="C104" t="str">
        <f t="shared" si="35"/>
        <v>MM emissions</v>
      </c>
      <c r="D104" t="str">
        <f>'Activity data'!D63</f>
        <v xml:space="preserve"> - Subsistence swine</v>
      </c>
      <c r="E104" t="str">
        <f t="shared" si="32"/>
        <v>MM emissions - Subsistence swine</v>
      </c>
      <c r="F104" t="str">
        <f t="shared" si="33"/>
        <v>N2O</v>
      </c>
      <c r="G104" t="str">
        <f t="shared" si="34"/>
        <v>Gg N2O</v>
      </c>
      <c r="H104" s="22">
        <f>'Activity data'!H63*ManureNEF*NtoN2O*kgtoGg</f>
        <v>2.7864346310359195E-2</v>
      </c>
      <c r="I104" s="22">
        <f>'Activity data'!I63*ManureNEF*NtoN2O*kgtoGg</f>
        <v>3.0442346854821566E-2</v>
      </c>
      <c r="J104" s="22">
        <f>'Activity data'!J63*ManureNEF*NtoN2O*kgtoGg</f>
        <v>3.0241226244969888E-2</v>
      </c>
      <c r="K104" s="22">
        <f>'Activity data'!K63*ManureNEF*NtoN2O*kgtoGg</f>
        <v>3.0222942553165193E-2</v>
      </c>
      <c r="L104" s="22">
        <f>'Activity data'!L63*ManureNEF*NtoN2O*kgtoGg</f>
        <v>2.8705396133375288E-2</v>
      </c>
      <c r="M104" s="22">
        <f>'Activity data'!M63*ManureNEF*NtoN2O*kgtoGg</f>
        <v>2.8979651510445754E-2</v>
      </c>
      <c r="N104" s="22">
        <f>'Activity data'!N63*ManureNEF*NtoN2O*kgtoGg</f>
        <v>3.1210261910618868E-2</v>
      </c>
      <c r="O104" s="22">
        <f>'Activity data'!O63*ManureNEF*NtoN2O*kgtoGg</f>
        <v>3.1063992376181286E-2</v>
      </c>
      <c r="P104" s="22">
        <f>'Activity data'!P63*ManureNEF*NtoN2O*kgtoGg</f>
        <v>3.1740488972955096E-2</v>
      </c>
      <c r="Q104" s="22">
        <f>'Activity data'!Q63*ManureNEF*NtoN2O*kgtoGg</f>
        <v>3.2544971412361789E-2</v>
      </c>
      <c r="R104" s="22">
        <f>'Activity data'!R63*ManureNEF*NtoN2O*kgtoGg</f>
        <v>3.011324040233701E-2</v>
      </c>
      <c r="S104" s="22">
        <f>'Activity data'!S63*ManureNEF*NtoN2O*kgtoGg</f>
        <v>3.0680034848282637E-2</v>
      </c>
      <c r="T104" s="22">
        <f>'Activity data'!T63*ManureNEF*NtoN2O*kgtoGg</f>
        <v>3.1265112986032961E-2</v>
      </c>
      <c r="U104" s="22">
        <f>'Activity data'!U63*ManureNEF*NtoN2O*kgtoGg</f>
        <v>3.0405779471212167E-2</v>
      </c>
      <c r="V104" s="22">
        <f>'Activity data'!V63*ManureNEF*NtoN2O*kgtoGg</f>
        <v>3.0405779471212167E-2</v>
      </c>
      <c r="W104" s="22">
        <f>'Activity data'!W63*ManureNEF*NtoN2O*kgtoGg</f>
        <v>3.0186375169555798E-2</v>
      </c>
      <c r="X104" s="22">
        <f>'Activity data'!X63*ManureNEF*NtoN2O*kgtoGg</f>
        <v>2.9656148107219563E-2</v>
      </c>
      <c r="Y104" s="22">
        <f>'Activity data'!Y63*ManureNEF*NtoN2O*kgtoGg</f>
        <v>3.0186375169555798E-2</v>
      </c>
      <c r="Z104" s="22">
        <f>'Activity data'!Z63*ManureNEF*NtoN2O*kgtoGg</f>
        <v>2.9528162264586686E-2</v>
      </c>
      <c r="AA104" s="22">
        <f>'Activity data'!AA63*ManureNEF*NtoN2O*kgtoGg</f>
        <v>2.9491594880977284E-2</v>
      </c>
      <c r="AB104" s="22">
        <f>'Activity data'!AB63*ManureNEF*NtoN2O*kgtoGg</f>
        <v>2.9144204736688033E-2</v>
      </c>
      <c r="AC104" s="22">
        <f>'Activity data'!AC63*ManureNEF*NtoN2O*kgtoGg</f>
        <v>2.8961367818641053E-2</v>
      </c>
      <c r="AD104" s="22">
        <f>'Activity data'!AD63*ManureNEF*NtoN2O*kgtoGg</f>
        <v>3.1770006678818387E-2</v>
      </c>
      <c r="AE104" s="22">
        <f>'Activity data'!AE63*ManureNEF*NtoN2O*kgtoGg</f>
        <v>3.1768786196096056E-2</v>
      </c>
      <c r="AF104" s="22">
        <f>'Activity data'!AF63*ManureNEF*NtoN2O*kgtoGg</f>
        <v>3.1470038042791269E-2</v>
      </c>
      <c r="AG104" s="22">
        <f>'Activity data'!AG63*ManureNEF*NtoN2O*kgtoGg</f>
        <v>3.0945258121484392E-2</v>
      </c>
      <c r="AH104" s="22">
        <f>'Activity data'!AH63*ManureNEF*NtoN2O*kgtoGg</f>
        <v>3.029019133723225E-2</v>
      </c>
      <c r="AI104" s="22">
        <f>'Activity data'!AI63*ManureNEF*NtoN2O*kgtoGg</f>
        <v>2.9770552311514459E-2</v>
      </c>
      <c r="AJ104" s="22">
        <f>'Activity data'!AJ63*ManureNEF*NtoN2O*kgtoGg</f>
        <v>2.9338116153868794E-2</v>
      </c>
      <c r="AK104" s="22">
        <f>'Activity data'!AK63*ManureNEF*NtoN2O*kgtoGg</f>
        <v>2.8908352551951955E-2</v>
      </c>
      <c r="AL104" s="22">
        <f>'Activity data'!AL63*ManureNEF*NtoN2O*kgtoGg</f>
        <v>2.5189773553560221E-2</v>
      </c>
      <c r="AM104" s="22">
        <f>'Activity data'!AM63*ManureNEF*NtoN2O*kgtoGg</f>
        <v>2.5231587524973821E-2</v>
      </c>
      <c r="AN104" s="22">
        <f>'Activity data'!AN63*ManureNEF*NtoN2O*kgtoGg</f>
        <v>2.52835527443722E-2</v>
      </c>
      <c r="AO104" s="22">
        <f>'Activity data'!AO63*ManureNEF*NtoN2O*kgtoGg</f>
        <v>2.5409621543901285E-2</v>
      </c>
      <c r="AP104" s="22">
        <f>'Activity data'!AP63*ManureNEF*NtoN2O*kgtoGg</f>
        <v>2.5577810742241639E-2</v>
      </c>
      <c r="AQ104" s="22">
        <f>'Activity data'!AQ63*ManureNEF*NtoN2O*kgtoGg</f>
        <v>2.5729492165111535E-2</v>
      </c>
      <c r="AR104" s="22">
        <f>'Activity data'!AR63*ManureNEF*NtoN2O*kgtoGg</f>
        <v>2.5982650398567252E-2</v>
      </c>
      <c r="AS104" s="22">
        <f>'Activity data'!AS63*ManureNEF*NtoN2O*kgtoGg</f>
        <v>2.6254520316619831E-2</v>
      </c>
      <c r="AT104" s="22">
        <f>'Activity data'!AT63*ManureNEF*NtoN2O*kgtoGg</f>
        <v>2.6559212018984167E-2</v>
      </c>
      <c r="AU104" s="22">
        <f>'Activity data'!AU63*ManureNEF*NtoN2O*kgtoGg</f>
        <v>2.6877656255048718E-2</v>
      </c>
      <c r="AV104" s="22">
        <f>'Activity data'!AV63*ManureNEF*NtoN2O*kgtoGg</f>
        <v>2.7047895297131037E-2</v>
      </c>
      <c r="AW104" s="22">
        <f>'Activity data'!AW63*ManureNEF*NtoN2O*kgtoGg</f>
        <v>2.7394953789485265E-2</v>
      </c>
      <c r="AX104" s="22">
        <f>'Activity data'!AX63*ManureNEF*NtoN2O*kgtoGg</f>
        <v>2.7744936868065975E-2</v>
      </c>
      <c r="AY104" s="22">
        <f>'Activity data'!AY63*ManureNEF*NtoN2O*kgtoGg</f>
        <v>2.8102977432195034E-2</v>
      </c>
      <c r="AZ104" s="22">
        <f>'Activity data'!AZ63*ManureNEF*NtoN2O*kgtoGg</f>
        <v>2.8407434880013387E-2</v>
      </c>
      <c r="BA104" s="22">
        <f>'Activity data'!BA63*ManureNEF*NtoN2O*kgtoGg</f>
        <v>2.874431801101951E-2</v>
      </c>
      <c r="BB104" s="22">
        <f>'Activity data'!BB63*ManureNEF*NtoN2O*kgtoGg</f>
        <v>2.9112770265951635E-2</v>
      </c>
      <c r="BC104" s="22">
        <f>'Activity data'!BC63*ManureNEF*NtoN2O*kgtoGg</f>
        <v>2.9495179721704914E-2</v>
      </c>
      <c r="BD104" s="22">
        <f>'Activity data'!BD63*ManureNEF*NtoN2O*kgtoGg</f>
        <v>2.9849047089786612E-2</v>
      </c>
      <c r="BE104" s="22">
        <f>'Activity data'!BE63*ManureNEF*NtoN2O*kgtoGg</f>
        <v>3.0216143114843705E-2</v>
      </c>
      <c r="BF104" s="22">
        <f>'Activity data'!BF63*ManureNEF*NtoN2O*kgtoGg</f>
        <v>3.0619774043370435E-2</v>
      </c>
      <c r="BG104" s="22">
        <f>'Activity data'!BG63*ManureNEF*NtoN2O*kgtoGg</f>
        <v>3.1046608090022788E-2</v>
      </c>
      <c r="BH104" s="22">
        <f>'Activity data'!BH63*ManureNEF*NtoN2O*kgtoGg</f>
        <v>3.1491600190149974E-2</v>
      </c>
      <c r="BI104" s="22">
        <f>'Activity data'!BI63*ManureNEF*NtoN2O*kgtoGg</f>
        <v>3.1954957831199768E-2</v>
      </c>
      <c r="BJ104" s="22">
        <f>'Activity data'!BJ63*ManureNEF*NtoN2O*kgtoGg</f>
        <v>3.243554720003651E-2</v>
      </c>
      <c r="BK104" s="22">
        <f>'Activity data'!BK63*ManureNEF*NtoN2O*kgtoGg</f>
        <v>3.2941051773098584E-2</v>
      </c>
      <c r="BL104" s="22">
        <f>'Activity data'!BL63*ManureNEF*NtoN2O*kgtoGg</f>
        <v>3.336052555216968E-2</v>
      </c>
      <c r="BM104" s="22">
        <f>'Activity data'!BM63*ManureNEF*NtoN2O*kgtoGg</f>
        <v>3.3800413175629353E-2</v>
      </c>
      <c r="BN104" s="22">
        <f>'Activity data'!BN63*ManureNEF*NtoN2O*kgtoGg</f>
        <v>3.42672231870116E-2</v>
      </c>
      <c r="BO104" s="22">
        <f>'Activity data'!BO63*ManureNEF*NtoN2O*kgtoGg</f>
        <v>3.4763274804166459E-2</v>
      </c>
      <c r="BP104" s="22">
        <f>'Activity data'!BP63*ManureNEF*NtoN2O*kgtoGg</f>
        <v>3.5310871122765007E-2</v>
      </c>
    </row>
    <row r="105" spans="1:68" x14ac:dyDescent="0.25">
      <c r="A105" t="str">
        <f t="shared" si="29"/>
        <v>3C Aggregated and non-CO2 emissions on land</v>
      </c>
      <c r="B105" t="str">
        <f t="shared" si="31"/>
        <v>3C4 Direct N2O from managed soils (N2O)</v>
      </c>
      <c r="C105" t="str">
        <f t="shared" si="35"/>
        <v>MM emissions</v>
      </c>
      <c r="D105" t="str">
        <f>'Activity data'!D64</f>
        <v xml:space="preserve"> - Commercial layers</v>
      </c>
      <c r="E105" t="str">
        <f t="shared" si="32"/>
        <v>MM emissions - Commercial layers</v>
      </c>
      <c r="F105" t="str">
        <f t="shared" si="33"/>
        <v>N2O</v>
      </c>
      <c r="G105" t="str">
        <f t="shared" si="34"/>
        <v>Gg N2O</v>
      </c>
      <c r="H105" s="22">
        <f>'Activity data'!H64*ManureNEF*NtoN2O*kgtoGg</f>
        <v>9.7200530286632988E-2</v>
      </c>
      <c r="I105" s="22">
        <f>'Activity data'!I64*ManureNEF*NtoN2O*kgtoGg</f>
        <v>9.4428858969144991E-2</v>
      </c>
      <c r="J105" s="22">
        <f>'Activity data'!J64*ManureNEF*NtoN2O*kgtoGg</f>
        <v>8.9559204193753711E-2</v>
      </c>
      <c r="K105" s="22">
        <f>'Activity data'!K64*ManureNEF*NtoN2O*kgtoGg</f>
        <v>8.8151043346442318E-2</v>
      </c>
      <c r="L105" s="22">
        <f>'Activity data'!L64*ManureNEF*NtoN2O*kgtoGg</f>
        <v>8.4316790348484383E-2</v>
      </c>
      <c r="M105" s="22">
        <f>'Activity data'!M64*ManureNEF*NtoN2O*kgtoGg</f>
        <v>9.2000112653199614E-2</v>
      </c>
      <c r="N105" s="22">
        <f>'Activity data'!N64*ManureNEF*NtoN2O*kgtoGg</f>
        <v>9.7180196522010265E-2</v>
      </c>
      <c r="O105" s="22">
        <f>'Activity data'!O64*ManureNEF*NtoN2O*kgtoGg</f>
        <v>9.7499760881509301E-2</v>
      </c>
      <c r="P105" s="22">
        <f>'Activity data'!P64*ManureNEF*NtoN2O*kgtoGg</f>
        <v>0.10977650358290812</v>
      </c>
      <c r="Q105" s="22">
        <f>'Activity data'!Q64*ManureNEF*NtoN2O*kgtoGg</f>
        <v>0.11769142781513957</v>
      </c>
      <c r="R105" s="22">
        <f>'Activity data'!R64*ManureNEF*NtoN2O*kgtoGg</f>
        <v>0.11519773530237168</v>
      </c>
      <c r="S105" s="22">
        <f>'Activity data'!S64*ManureNEF*NtoN2O*kgtoGg</f>
        <v>0.11827079994576317</v>
      </c>
      <c r="T105" s="22">
        <f>'Activity data'!T64*ManureNEF*NtoN2O*kgtoGg</f>
        <v>0.11734254390212158</v>
      </c>
      <c r="U105" s="22">
        <f>'Activity data'!U64*ManureNEF*NtoN2O*kgtoGg</f>
        <v>0.11265793599714678</v>
      </c>
      <c r="V105" s="22">
        <f>'Activity data'!V64*ManureNEF*NtoN2O*kgtoGg</f>
        <v>0.11674302954549233</v>
      </c>
      <c r="W105" s="22">
        <f>'Activity data'!W64*ManureNEF*NtoN2O*kgtoGg</f>
        <v>0.12378269546779383</v>
      </c>
      <c r="X105" s="22">
        <f>'Activity data'!X64*ManureNEF*NtoN2O*kgtoGg</f>
        <v>0.136608752009132</v>
      </c>
      <c r="Y105" s="22">
        <f>'Activity data'!Y64*ManureNEF*NtoN2O*kgtoGg</f>
        <v>0.15118112258886537</v>
      </c>
      <c r="Z105" s="22">
        <f>'Activity data'!Z64*ManureNEF*NtoN2O*kgtoGg</f>
        <v>0.15317215945854146</v>
      </c>
      <c r="AA105" s="22">
        <f>'Activity data'!AA64*ManureNEF*NtoN2O*kgtoGg</f>
        <v>0.14752524872712022</v>
      </c>
      <c r="AB105" s="22">
        <f>'Activity data'!AB64*ManureNEF*NtoN2O*kgtoGg</f>
        <v>0.1532718669032935</v>
      </c>
      <c r="AC105" s="22">
        <f>'Activity data'!AC64*ManureNEF*NtoN2O*kgtoGg</f>
        <v>0.16034648531014095</v>
      </c>
      <c r="AD105" s="22">
        <f>'Activity data'!AD64*ManureNEF*NtoN2O*kgtoGg</f>
        <v>0.1575667616360579</v>
      </c>
      <c r="AE105" s="22">
        <f>'Activity data'!AE64*ManureNEF*NtoN2O*kgtoGg</f>
        <v>0.16125985595767151</v>
      </c>
      <c r="AF105" s="22">
        <f>'Activity data'!AF64*ManureNEF*NtoN2O*kgtoGg</f>
        <v>0.16411313876691283</v>
      </c>
      <c r="AG105" s="22">
        <f>'Activity data'!AG64*ManureNEF*NtoN2O*kgtoGg</f>
        <v>0.16627647602159831</v>
      </c>
      <c r="AH105" s="22">
        <f>'Activity data'!AH64*ManureNEF*NtoN2O*kgtoGg</f>
        <v>0.16799655193379917</v>
      </c>
      <c r="AI105" s="22">
        <f>'Activity data'!AI64*ManureNEF*NtoN2O*kgtoGg</f>
        <v>0.17008478247692704</v>
      </c>
      <c r="AJ105" s="22">
        <f>'Activity data'!AJ64*ManureNEF*NtoN2O*kgtoGg</f>
        <v>0.17239017629556799</v>
      </c>
      <c r="AK105" s="22">
        <f>'Activity data'!AK64*ManureNEF*NtoN2O*kgtoGg</f>
        <v>0.17466072511589958</v>
      </c>
      <c r="AL105" s="22">
        <f>'Activity data'!AL64*ManureNEF*NtoN2O*kgtoGg</f>
        <v>0.16576260255009082</v>
      </c>
      <c r="AM105" s="22">
        <f>'Activity data'!AM64*ManureNEF*NtoN2O*kgtoGg</f>
        <v>0.16907446236139012</v>
      </c>
      <c r="AN105" s="22">
        <f>'Activity data'!AN64*ManureNEF*NtoN2O*kgtoGg</f>
        <v>0.17236907835729745</v>
      </c>
      <c r="AO105" s="22">
        <f>'Activity data'!AO64*ManureNEF*NtoN2O*kgtoGg</f>
        <v>0.17587929167924479</v>
      </c>
      <c r="AP105" s="22">
        <f>'Activity data'!AP64*ManureNEF*NtoN2O*kgtoGg</f>
        <v>0.17955821167824942</v>
      </c>
      <c r="AQ105" s="22">
        <f>'Activity data'!AQ64*ManureNEF*NtoN2O*kgtoGg</f>
        <v>0.18319512966271531</v>
      </c>
      <c r="AR105" s="22">
        <f>'Activity data'!AR64*ManureNEF*NtoN2O*kgtoGg</f>
        <v>0.18724275999227499</v>
      </c>
      <c r="AS105" s="22">
        <f>'Activity data'!AS64*ManureNEF*NtoN2O*kgtoGg</f>
        <v>0.19140033447316235</v>
      </c>
      <c r="AT105" s="22">
        <f>'Activity data'!AT64*ManureNEF*NtoN2O*kgtoGg</f>
        <v>0.19573038521524211</v>
      </c>
      <c r="AU105" s="22">
        <f>'Activity data'!AU64*ManureNEF*NtoN2O*kgtoGg</f>
        <v>0.20017071648633028</v>
      </c>
      <c r="AV105" s="22">
        <f>'Activity data'!AV64*ManureNEF*NtoN2O*kgtoGg</f>
        <v>0.20404681265719998</v>
      </c>
      <c r="AW105" s="22">
        <f>'Activity data'!AW64*ManureNEF*NtoN2O*kgtoGg</f>
        <v>0.20871358427924583</v>
      </c>
      <c r="AX105" s="22">
        <f>'Activity data'!AX64*ManureNEF*NtoN2O*kgtoGg</f>
        <v>0.21345853450455612</v>
      </c>
      <c r="AY105" s="22">
        <f>'Activity data'!AY64*ManureNEF*NtoN2O*kgtoGg</f>
        <v>0.21830700722849689</v>
      </c>
      <c r="AZ105" s="22">
        <f>'Activity data'!AZ64*ManureNEF*NtoN2O*kgtoGg</f>
        <v>0.22298508021022367</v>
      </c>
      <c r="BA105" s="22">
        <f>'Activity data'!BA64*ManureNEF*NtoN2O*kgtoGg</f>
        <v>0.22787858109375447</v>
      </c>
      <c r="BB105" s="22">
        <f>'Activity data'!BB64*ManureNEF*NtoN2O*kgtoGg</f>
        <v>0.23299408424684726</v>
      </c>
      <c r="BC105" s="22">
        <f>'Activity data'!BC64*ManureNEF*NtoN2O*kgtoGg</f>
        <v>0.2382575696905353</v>
      </c>
      <c r="BD105" s="22">
        <f>'Activity data'!BD64*ManureNEF*NtoN2O*kgtoGg</f>
        <v>0.24346685547616639</v>
      </c>
      <c r="BE105" s="22">
        <f>'Activity data'!BE64*ManureNEF*NtoN2O*kgtoGg</f>
        <v>0.2488271918236673</v>
      </c>
      <c r="BF105" s="22">
        <f>'Activity data'!BF64*ManureNEF*NtoN2O*kgtoGg</f>
        <v>0.25446344705067647</v>
      </c>
      <c r="BG105" s="22">
        <f>'Activity data'!BG64*ManureNEF*NtoN2O*kgtoGg</f>
        <v>0.26031966466066814</v>
      </c>
      <c r="BH105" s="22">
        <f>'Activity data'!BH64*ManureNEF*NtoN2O*kgtoGg</f>
        <v>0.26637890362178912</v>
      </c>
      <c r="BI105" s="22">
        <f>'Activity data'!BI64*ManureNEF*NtoN2O*kgtoGg</f>
        <v>0.27265083806547785</v>
      </c>
      <c r="BJ105" s="22">
        <f>'Activity data'!BJ64*ManureNEF*NtoN2O*kgtoGg</f>
        <v>0.27913827693597115</v>
      </c>
      <c r="BK105" s="22">
        <f>'Activity data'!BK64*ManureNEF*NtoN2O*kgtoGg</f>
        <v>0.28589305522631814</v>
      </c>
      <c r="BL105" s="22">
        <f>'Activity data'!BL64*ManureNEF*NtoN2O*kgtoGg</f>
        <v>0.29229574504267947</v>
      </c>
      <c r="BM105" s="22">
        <f>'Activity data'!BM64*ManureNEF*NtoN2O*kgtoGg</f>
        <v>0.29894007907011172</v>
      </c>
      <c r="BN105" s="22">
        <f>'Activity data'!BN64*ManureNEF*NtoN2O*kgtoGg</f>
        <v>0.30587499603529056</v>
      </c>
      <c r="BO105" s="22">
        <f>'Activity data'!BO64*ManureNEF*NtoN2O*kgtoGg</f>
        <v>0.31312720909742964</v>
      </c>
      <c r="BP105" s="22">
        <f>'Activity data'!BP64*ManureNEF*NtoN2O*kgtoGg</f>
        <v>0.32084758160585003</v>
      </c>
    </row>
    <row r="106" spans="1:68" x14ac:dyDescent="0.25">
      <c r="A106" t="str">
        <f t="shared" si="29"/>
        <v>3C Aggregated and non-CO2 emissions on land</v>
      </c>
      <c r="B106" t="str">
        <f t="shared" si="31"/>
        <v>3C4 Direct N2O from managed soils (N2O)</v>
      </c>
      <c r="C106" t="str">
        <f t="shared" si="35"/>
        <v>MM emissions</v>
      </c>
      <c r="D106" t="str">
        <f>'Activity data'!D65</f>
        <v xml:space="preserve"> - Commercial broilers</v>
      </c>
      <c r="E106" t="str">
        <f t="shared" si="32"/>
        <v>MM emissions - Commercial broilers</v>
      </c>
      <c r="F106" t="str">
        <f t="shared" si="33"/>
        <v>N2O</v>
      </c>
      <c r="G106" t="str">
        <f t="shared" si="34"/>
        <v>Gg N2O</v>
      </c>
      <c r="H106" s="22">
        <f>'Activity data'!H65*ManureNEF*NtoN2O*kgtoGg</f>
        <v>0.33694552073148476</v>
      </c>
      <c r="I106" s="22">
        <f>'Activity data'!I65*ManureNEF*NtoN2O*kgtoGg</f>
        <v>0.31672878989639686</v>
      </c>
      <c r="J106" s="22">
        <f>'Activity data'!J65*ManureNEF*NtoN2O*kgtoGg</f>
        <v>0.29933136362353469</v>
      </c>
      <c r="K106" s="22">
        <f>'Activity data'!K65*ManureNEF*NtoN2O*kgtoGg</f>
        <v>0.33664137760432367</v>
      </c>
      <c r="L106" s="22">
        <f>'Activity data'!L65*ManureNEF*NtoN2O*kgtoGg</f>
        <v>0.33348410598324085</v>
      </c>
      <c r="M106" s="22">
        <f>'Activity data'!M65*ManureNEF*NtoN2O*kgtoGg</f>
        <v>0.3817213101364974</v>
      </c>
      <c r="N106" s="22">
        <f>'Activity data'!N65*ManureNEF*NtoN2O*kgtoGg</f>
        <v>0.44384349237162696</v>
      </c>
      <c r="O106" s="22">
        <f>'Activity data'!O65*ManureNEF*NtoN2O*kgtoGg</f>
        <v>0.45178194059776339</v>
      </c>
      <c r="P106" s="22">
        <f>'Activity data'!P65*ManureNEF*NtoN2O*kgtoGg</f>
        <v>0.49503233967174015</v>
      </c>
      <c r="Q106" s="22">
        <f>'Activity data'!Q65*ManureNEF*NtoN2O*kgtoGg</f>
        <v>0.51680820971951225</v>
      </c>
      <c r="R106" s="22">
        <f>'Activity data'!R65*ManureNEF*NtoN2O*kgtoGg</f>
        <v>0.55604755062988331</v>
      </c>
      <c r="S106" s="22">
        <f>'Activity data'!S65*ManureNEF*NtoN2O*kgtoGg</f>
        <v>0.53692233734035788</v>
      </c>
      <c r="T106" s="22">
        <f>'Activity data'!T65*ManureNEF*NtoN2O*kgtoGg</f>
        <v>0.59508410809033618</v>
      </c>
      <c r="U106" s="22">
        <f>'Activity data'!U65*ManureNEF*NtoN2O*kgtoGg</f>
        <v>0.56601482196260933</v>
      </c>
      <c r="V106" s="22">
        <f>'Activity data'!V65*ManureNEF*NtoN2O*kgtoGg</f>
        <v>0.57967891352922574</v>
      </c>
      <c r="W106" s="22">
        <f>'Activity data'!W65*ManureNEF*NtoN2O*kgtoGg</f>
        <v>0.64140005161544356</v>
      </c>
      <c r="X106" s="22">
        <f>'Activity data'!X65*ManureNEF*NtoN2O*kgtoGg</f>
        <v>0.68603730264816176</v>
      </c>
      <c r="Y106" s="22">
        <f>'Activity data'!Y65*ManureNEF*NtoN2O*kgtoGg</f>
        <v>0.71778306696636274</v>
      </c>
      <c r="Z106" s="22">
        <f>'Activity data'!Z65*ManureNEF*NtoN2O*kgtoGg</f>
        <v>0.76424406737632311</v>
      </c>
      <c r="AA106" s="22">
        <f>'Activity data'!AA65*ManureNEF*NtoN2O*kgtoGg</f>
        <v>0.7211479440293127</v>
      </c>
      <c r="AB106" s="22">
        <f>'Activity data'!AB65*ManureNEF*NtoN2O*kgtoGg</f>
        <v>0.73928538984856018</v>
      </c>
      <c r="AC106" s="22">
        <f>'Activity data'!AC65*ManureNEF*NtoN2O*kgtoGg</f>
        <v>0.76461491186701336</v>
      </c>
      <c r="AD106" s="22">
        <f>'Activity data'!AD65*ManureNEF*NtoN2O*kgtoGg</f>
        <v>0.79198773205272821</v>
      </c>
      <c r="AE106" s="22">
        <f>'Activity data'!AE65*ManureNEF*NtoN2O*kgtoGg</f>
        <v>0.80852171529387995</v>
      </c>
      <c r="AF106" s="22">
        <f>'Activity data'!AF65*ManureNEF*NtoN2O*kgtoGg</f>
        <v>0.81362261748315468</v>
      </c>
      <c r="AG106" s="22">
        <f>'Activity data'!AG65*ManureNEF*NtoN2O*kgtoGg</f>
        <v>0.80953340852243616</v>
      </c>
      <c r="AH106" s="22">
        <f>'Activity data'!AH65*ManureNEF*NtoN2O*kgtoGg</f>
        <v>0.7995681035731349</v>
      </c>
      <c r="AI106" s="22">
        <f>'Activity data'!AI65*ManureNEF*NtoN2O*kgtoGg</f>
        <v>0.79379076530714165</v>
      </c>
      <c r="AJ106" s="22">
        <f>'Activity data'!AJ65*ManureNEF*NtoN2O*kgtoGg</f>
        <v>0.79071325393885761</v>
      </c>
      <c r="AK106" s="22">
        <f>'Activity data'!AK65*ManureNEF*NtoN2O*kgtoGg</f>
        <v>0.78714077506225577</v>
      </c>
      <c r="AL106" s="22">
        <f>'Activity data'!AL65*ManureNEF*NtoN2O*kgtoGg</f>
        <v>0.65092036861073321</v>
      </c>
      <c r="AM106" s="22">
        <f>'Activity data'!AM65*ManureNEF*NtoN2O*kgtoGg</f>
        <v>0.66471657854497923</v>
      </c>
      <c r="AN106" s="22">
        <f>'Activity data'!AN65*ManureNEF*NtoN2O*kgtoGg</f>
        <v>0.67927549028305767</v>
      </c>
      <c r="AO106" s="22">
        <f>'Activity data'!AO65*ManureNEF*NtoN2O*kgtoGg</f>
        <v>0.69730977525016691</v>
      </c>
      <c r="AP106" s="22">
        <f>'Activity data'!AP65*ManureNEF*NtoN2O*kgtoGg</f>
        <v>0.71737819934650726</v>
      </c>
      <c r="AQ106" s="22">
        <f>'Activity data'!AQ65*ManureNEF*NtoN2O*kgtoGg</f>
        <v>0.7370537835038794</v>
      </c>
      <c r="AR106" s="22">
        <f>'Activity data'!AR65*ManureNEF*NtoN2O*kgtoGg</f>
        <v>0.76145622763868837</v>
      </c>
      <c r="AS106" s="22">
        <f>'Activity data'!AS65*ManureNEF*NtoN2O*kgtoGg</f>
        <v>0.78713008386815542</v>
      </c>
      <c r="AT106" s="22">
        <f>'Activity data'!AT65*ManureNEF*NtoN2O*kgtoGg</f>
        <v>0.8147550746293114</v>
      </c>
      <c r="AU106" s="22">
        <f>'Activity data'!AU65*ManureNEF*NtoN2O*kgtoGg</f>
        <v>0.84351675781667967</v>
      </c>
      <c r="AV106" s="22">
        <f>'Activity data'!AV65*ManureNEF*NtoN2O*kgtoGg</f>
        <v>0.86604564907422099</v>
      </c>
      <c r="AW106" s="22">
        <f>'Activity data'!AW65*ManureNEF*NtoN2O*kgtoGg</f>
        <v>0.89716502460476943</v>
      </c>
      <c r="AX106" s="22">
        <f>'Activity data'!AX65*ManureNEF*NtoN2O*kgtoGg</f>
        <v>0.92904198409067473</v>
      </c>
      <c r="AY106" s="22">
        <f>'Activity data'!AY65*ManureNEF*NtoN2O*kgtoGg</f>
        <v>0.96194524524368186</v>
      </c>
      <c r="AZ106" s="22">
        <f>'Activity data'!AZ65*ManureNEF*NtoN2O*kgtoGg</f>
        <v>0.9929335183175666</v>
      </c>
      <c r="BA106" s="22">
        <f>'Activity data'!BA65*ManureNEF*NtoN2O*kgtoGg</f>
        <v>1.026122280069117</v>
      </c>
      <c r="BB106" s="22">
        <f>'Activity data'!BB65*ManureNEF*NtoN2O*kgtoGg</f>
        <v>1.0615488746027448</v>
      </c>
      <c r="BC106" s="22">
        <f>'Activity data'!BC65*ManureNEF*NtoN2O*kgtoGg</f>
        <v>1.0984124324954219</v>
      </c>
      <c r="BD106" s="22">
        <f>'Activity data'!BD65*ManureNEF*NtoN2O*kgtoGg</f>
        <v>1.1346087888548242</v>
      </c>
      <c r="BE106" s="22">
        <f>'Activity data'!BE65*ManureNEF*NtoN2O*kgtoGg</f>
        <v>1.1722394789005144</v>
      </c>
      <c r="BF106" s="22">
        <f>'Activity data'!BF65*ManureNEF*NtoN2O*kgtoGg</f>
        <v>1.2125633603839472</v>
      </c>
      <c r="BG106" s="22">
        <f>'Activity data'!BG65*ManureNEF*NtoN2O*kgtoGg</f>
        <v>1.2549750086514178</v>
      </c>
      <c r="BH106" s="22">
        <f>'Activity data'!BH65*ManureNEF*NtoN2O*kgtoGg</f>
        <v>1.2992774249806927</v>
      </c>
      <c r="BI106" s="22">
        <f>'Activity data'!BI65*ManureNEF*NtoN2O*kgtoGg</f>
        <v>1.345545451229617</v>
      </c>
      <c r="BJ106" s="22">
        <f>'Activity data'!BJ65*ManureNEF*NtoN2O*kgtoGg</f>
        <v>1.3937828658585683</v>
      </c>
      <c r="BK106" s="22">
        <f>'Activity data'!BK65*ManureNEF*NtoN2O*kgtoGg</f>
        <v>1.444480877747351</v>
      </c>
      <c r="BL106" s="22">
        <f>'Activity data'!BL65*ManureNEF*NtoN2O*kgtoGg</f>
        <v>1.4915022816161483</v>
      </c>
      <c r="BM106" s="22">
        <f>'Activity data'!BM65*ManureNEF*NtoN2O*kgtoGg</f>
        <v>1.5407390473669182</v>
      </c>
      <c r="BN106" s="22">
        <f>'Activity data'!BN65*ManureNEF*NtoN2O*kgtoGg</f>
        <v>1.592642142721421</v>
      </c>
      <c r="BO106" s="22">
        <f>'Activity data'!BO65*ManureNEF*NtoN2O*kgtoGg</f>
        <v>1.6474416674670853</v>
      </c>
      <c r="BP106" s="22">
        <f>'Activity data'!BP65*ManureNEF*NtoN2O*kgtoGg</f>
        <v>1.7065574804725003</v>
      </c>
    </row>
    <row r="107" spans="1:68" x14ac:dyDescent="0.25">
      <c r="A107" t="str">
        <f t="shared" si="29"/>
        <v>3C Aggregated and non-CO2 emissions on land</v>
      </c>
      <c r="B107" t="str">
        <f t="shared" si="31"/>
        <v>3C4 Direct N2O from managed soils (N2O)</v>
      </c>
      <c r="C107" t="s">
        <v>422</v>
      </c>
      <c r="D107" t="str">
        <f>D91</f>
        <v xml:space="preserve"> - TMR</v>
      </c>
      <c r="E107" t="str">
        <f t="shared" si="32"/>
        <v>U&amp;D emissions - TMR</v>
      </c>
      <c r="F107" t="str">
        <f t="shared" ref="F107:F138" si="36">F106</f>
        <v>N2O</v>
      </c>
      <c r="G107" t="str">
        <f t="shared" ref="G107:G138" si="37">G106</f>
        <v>Gg N2O</v>
      </c>
      <c r="H107" s="22">
        <f>'Activity data'!H66*UDCPPEF*NtoN2O*kgtoGg</f>
        <v>0</v>
      </c>
      <c r="I107" s="22">
        <f>'Activity data'!I66*UDCPPEF*NtoN2O*kgtoGg</f>
        <v>0</v>
      </c>
      <c r="J107" s="22">
        <f>'Activity data'!J66*UDCPPEF*NtoN2O*kgtoGg</f>
        <v>0</v>
      </c>
      <c r="K107" s="22">
        <f>'Activity data'!K66*UDCPPEF*NtoN2O*kgtoGg</f>
        <v>0</v>
      </c>
      <c r="L107" s="22">
        <f>'Activity data'!L66*UDCPPEF*NtoN2O*kgtoGg</f>
        <v>0</v>
      </c>
      <c r="M107" s="22">
        <f>'Activity data'!M66*UDCPPEF*NtoN2O*kgtoGg</f>
        <v>0</v>
      </c>
      <c r="N107" s="22">
        <f>'Activity data'!N66*UDCPPEF*NtoN2O*kgtoGg</f>
        <v>0</v>
      </c>
      <c r="O107" s="22">
        <f>'Activity data'!O66*UDCPPEF*NtoN2O*kgtoGg</f>
        <v>0</v>
      </c>
      <c r="P107" s="22">
        <f>'Activity data'!P66*UDCPPEF*NtoN2O*kgtoGg</f>
        <v>0</v>
      </c>
      <c r="Q107" s="22">
        <f>'Activity data'!Q66*UDCPPEF*NtoN2O*kgtoGg</f>
        <v>0</v>
      </c>
      <c r="R107" s="22">
        <f>'Activity data'!R66*UDCPPEF*NtoN2O*kgtoGg</f>
        <v>0</v>
      </c>
      <c r="S107" s="22">
        <f>'Activity data'!S66*UDCPPEF*NtoN2O*kgtoGg</f>
        <v>0</v>
      </c>
      <c r="T107" s="22">
        <f>'Activity data'!T66*UDCPPEF*NtoN2O*kgtoGg</f>
        <v>0</v>
      </c>
      <c r="U107" s="22">
        <f>'Activity data'!U66*UDCPPEF*NtoN2O*kgtoGg</f>
        <v>0</v>
      </c>
      <c r="V107" s="22">
        <f>'Activity data'!V66*UDCPPEF*NtoN2O*kgtoGg</f>
        <v>0</v>
      </c>
      <c r="W107" s="22">
        <f>'Activity data'!W66*UDCPPEF*NtoN2O*kgtoGg</f>
        <v>0</v>
      </c>
      <c r="X107" s="22">
        <f>'Activity data'!X66*UDCPPEF*NtoN2O*kgtoGg</f>
        <v>0</v>
      </c>
      <c r="Y107" s="22">
        <f>'Activity data'!Y66*UDCPPEF*NtoN2O*kgtoGg</f>
        <v>0</v>
      </c>
      <c r="Z107" s="22">
        <f>'Activity data'!Z66*UDCPPEF*NtoN2O*kgtoGg</f>
        <v>0</v>
      </c>
      <c r="AA107" s="22">
        <f>'Activity data'!AA66*UDCPPEF*NtoN2O*kgtoGg</f>
        <v>0</v>
      </c>
      <c r="AB107" s="22">
        <f>'Activity data'!AB66*UDCPPEF*NtoN2O*kgtoGg</f>
        <v>0</v>
      </c>
      <c r="AC107" s="22">
        <f>'Activity data'!AC66*UDCPPEF*NtoN2O*kgtoGg</f>
        <v>0</v>
      </c>
      <c r="AD107" s="22">
        <f>'Activity data'!AD66*UDCPPEF*NtoN2O*kgtoGg</f>
        <v>0</v>
      </c>
      <c r="AE107" s="22">
        <f>'Activity data'!AE66*UDCPPEF*NtoN2O*kgtoGg</f>
        <v>0</v>
      </c>
      <c r="AF107" s="22">
        <f>'Activity data'!AF66*UDCPPEF*NtoN2O*kgtoGg</f>
        <v>0</v>
      </c>
      <c r="AG107" s="22">
        <f>'Activity data'!AG66*UDCPPEF*NtoN2O*kgtoGg</f>
        <v>0</v>
      </c>
      <c r="AH107" s="22">
        <f>'Activity data'!AH66*UDCPPEF*NtoN2O*kgtoGg</f>
        <v>0</v>
      </c>
      <c r="AI107" s="22">
        <f>'Activity data'!AI66*UDCPPEF*NtoN2O*kgtoGg</f>
        <v>0</v>
      </c>
      <c r="AJ107" s="22">
        <f>'Activity data'!AJ66*UDCPPEF*NtoN2O*kgtoGg</f>
        <v>0</v>
      </c>
      <c r="AK107" s="22">
        <f>'Activity data'!AK66*UDCPPEF*NtoN2O*kgtoGg</f>
        <v>0</v>
      </c>
      <c r="AL107" s="22">
        <f>'Activity data'!AL66*UDCPPEF*NtoN2O*kgtoGg</f>
        <v>0</v>
      </c>
      <c r="AM107" s="22">
        <f>'Activity data'!AM66*UDCPPEF*NtoN2O*kgtoGg</f>
        <v>0</v>
      </c>
      <c r="AN107" s="22">
        <f>'Activity data'!AN66*UDCPPEF*NtoN2O*kgtoGg</f>
        <v>0</v>
      </c>
      <c r="AO107" s="22">
        <f>'Activity data'!AO66*UDCPPEF*NtoN2O*kgtoGg</f>
        <v>0</v>
      </c>
      <c r="AP107" s="22">
        <f>'Activity data'!AP66*UDCPPEF*NtoN2O*kgtoGg</f>
        <v>0</v>
      </c>
      <c r="AQ107" s="22">
        <f>'Activity data'!AQ66*UDCPPEF*NtoN2O*kgtoGg</f>
        <v>0</v>
      </c>
      <c r="AR107" s="22">
        <f>'Activity data'!AR66*UDCPPEF*NtoN2O*kgtoGg</f>
        <v>0</v>
      </c>
      <c r="AS107" s="22">
        <f>'Activity data'!AS66*UDCPPEF*NtoN2O*kgtoGg</f>
        <v>0</v>
      </c>
      <c r="AT107" s="22">
        <f>'Activity data'!AT66*UDCPPEF*NtoN2O*kgtoGg</f>
        <v>0</v>
      </c>
      <c r="AU107" s="22">
        <f>'Activity data'!AU66*UDCPPEF*NtoN2O*kgtoGg</f>
        <v>0</v>
      </c>
      <c r="AV107" s="22">
        <f>'Activity data'!AV66*UDCPPEF*NtoN2O*kgtoGg</f>
        <v>0</v>
      </c>
      <c r="AW107" s="22">
        <f>'Activity data'!AW66*UDCPPEF*NtoN2O*kgtoGg</f>
        <v>0</v>
      </c>
      <c r="AX107" s="22">
        <f>'Activity data'!AX66*UDCPPEF*NtoN2O*kgtoGg</f>
        <v>0</v>
      </c>
      <c r="AY107" s="22">
        <f>'Activity data'!AY66*UDCPPEF*NtoN2O*kgtoGg</f>
        <v>0</v>
      </c>
      <c r="AZ107" s="22">
        <f>'Activity data'!AZ66*UDCPPEF*NtoN2O*kgtoGg</f>
        <v>0</v>
      </c>
      <c r="BA107" s="22">
        <f>'Activity data'!BA66*UDCPPEF*NtoN2O*kgtoGg</f>
        <v>0</v>
      </c>
      <c r="BB107" s="22">
        <f>'Activity data'!BB66*UDCPPEF*NtoN2O*kgtoGg</f>
        <v>0</v>
      </c>
      <c r="BC107" s="22">
        <f>'Activity data'!BC66*UDCPPEF*NtoN2O*kgtoGg</f>
        <v>0</v>
      </c>
      <c r="BD107" s="22">
        <f>'Activity data'!BD66*UDCPPEF*NtoN2O*kgtoGg</f>
        <v>0</v>
      </c>
      <c r="BE107" s="22">
        <f>'Activity data'!BE66*UDCPPEF*NtoN2O*kgtoGg</f>
        <v>0</v>
      </c>
      <c r="BF107" s="22">
        <f>'Activity data'!BF66*UDCPPEF*NtoN2O*kgtoGg</f>
        <v>0</v>
      </c>
      <c r="BG107" s="22">
        <f>'Activity data'!BG66*UDCPPEF*NtoN2O*kgtoGg</f>
        <v>0</v>
      </c>
      <c r="BH107" s="22">
        <f>'Activity data'!BH66*UDCPPEF*NtoN2O*kgtoGg</f>
        <v>0</v>
      </c>
      <c r="BI107" s="22">
        <f>'Activity data'!BI66*UDCPPEF*NtoN2O*kgtoGg</f>
        <v>0</v>
      </c>
      <c r="BJ107" s="22">
        <f>'Activity data'!BJ66*UDCPPEF*NtoN2O*kgtoGg</f>
        <v>0</v>
      </c>
      <c r="BK107" s="22">
        <f>'Activity data'!BK66*UDCPPEF*NtoN2O*kgtoGg</f>
        <v>0</v>
      </c>
      <c r="BL107" s="22">
        <f>'Activity data'!BL66*UDCPPEF*NtoN2O*kgtoGg</f>
        <v>0</v>
      </c>
      <c r="BM107" s="22">
        <f>'Activity data'!BM66*UDCPPEF*NtoN2O*kgtoGg</f>
        <v>0</v>
      </c>
      <c r="BN107" s="22">
        <f>'Activity data'!BN66*UDCPPEF*NtoN2O*kgtoGg</f>
        <v>0</v>
      </c>
      <c r="BO107" s="22">
        <f>'Activity data'!BO66*UDCPPEF*NtoN2O*kgtoGg</f>
        <v>0</v>
      </c>
      <c r="BP107" s="22">
        <f>'Activity data'!BP66*UDCPPEF*NtoN2O*kgtoGg</f>
        <v>0</v>
      </c>
    </row>
    <row r="108" spans="1:68" x14ac:dyDescent="0.25">
      <c r="A108" t="str">
        <f t="shared" si="29"/>
        <v>3C Aggregated and non-CO2 emissions on land</v>
      </c>
      <c r="B108" t="str">
        <f t="shared" si="31"/>
        <v>3C4 Direct N2O from managed soils (N2O)</v>
      </c>
      <c r="C108" t="s">
        <v>422</v>
      </c>
      <c r="D108" t="str">
        <f t="shared" ref="D108:D122" si="38">D92</f>
        <v xml:space="preserve"> - Pasture</v>
      </c>
      <c r="E108" t="str">
        <f t="shared" si="32"/>
        <v>U&amp;D emissions - Pasture</v>
      </c>
      <c r="F108" t="str">
        <f t="shared" si="36"/>
        <v>N2O</v>
      </c>
      <c r="G108" t="str">
        <f t="shared" si="37"/>
        <v>Gg N2O</v>
      </c>
      <c r="H108" s="22">
        <f>'Activity data'!H67*UDCPPEF*NtoN2O*kgtoGg</f>
        <v>0.88103728610164056</v>
      </c>
      <c r="I108" s="22">
        <f>'Activity data'!I67*UDCPPEF*NtoN2O*kgtoGg</f>
        <v>1.0143027628293235</v>
      </c>
      <c r="J108" s="22">
        <f>'Activity data'!J67*UDCPPEF*NtoN2O*kgtoGg</f>
        <v>0.87750313013359393</v>
      </c>
      <c r="K108" s="22">
        <f>'Activity data'!K67*UDCPPEF*NtoN2O*kgtoGg</f>
        <v>0.93067430812476426</v>
      </c>
      <c r="L108" s="22">
        <f>'Activity data'!L67*UDCPPEF*NtoN2O*kgtoGg</f>
        <v>0.86336650626140843</v>
      </c>
      <c r="M108" s="22">
        <f>'Activity data'!M67*UDCPPEF*NtoN2O*kgtoGg</f>
        <v>0.92360599618867145</v>
      </c>
      <c r="N108" s="22">
        <f>'Activity data'!N67*UDCPPEF*NtoN2O*kgtoGg</f>
        <v>0.92714015215671775</v>
      </c>
      <c r="O108" s="22">
        <f>'Activity data'!O67*UDCPPEF*NtoN2O*kgtoGg</f>
        <v>0.89382378297479725</v>
      </c>
      <c r="P108" s="22">
        <f>'Activity data'!P67*UDCPPEF*NtoN2O*kgtoGg</f>
        <v>0.88322131507065782</v>
      </c>
      <c r="Q108" s="22">
        <f>'Activity data'!Q67*UDCPPEF*NtoN2O*kgtoGg</f>
        <v>0.86757572572896902</v>
      </c>
      <c r="R108" s="22">
        <f>'Activity data'!R67*UDCPPEF*NtoN2O*kgtoGg</f>
        <v>1.1171109628436178</v>
      </c>
      <c r="S108" s="22">
        <f>'Activity data'!S67*UDCPPEF*NtoN2O*kgtoGg</f>
        <v>1.1135768068755714</v>
      </c>
      <c r="T108" s="22">
        <f>'Activity data'!T67*UDCPPEF*NtoN2O*kgtoGg</f>
        <v>0.97105898924277778</v>
      </c>
      <c r="U108" s="22">
        <f>'Activity data'!U67*UDCPPEF*NtoN2O*kgtoGg</f>
        <v>0.88322131507065782</v>
      </c>
      <c r="V108" s="22">
        <f>'Activity data'!V67*UDCPPEF*NtoN2O*kgtoGg</f>
        <v>0.85276403835726899</v>
      </c>
      <c r="W108" s="22">
        <f>'Activity data'!W67*UDCPPEF*NtoN2O*kgtoGg</f>
        <v>0.91300352828453224</v>
      </c>
      <c r="X108" s="22">
        <f>'Activity data'!X67*UDCPPEF*NtoN2O*kgtoGg</f>
        <v>0.89314871947528263</v>
      </c>
      <c r="Y108" s="22">
        <f>'Activity data'!Y67*UDCPPEF*NtoN2O*kgtoGg</f>
        <v>0.88675547103870456</v>
      </c>
      <c r="Z108" s="22">
        <f>'Activity data'!Z67*UDCPPEF*NtoN2O*kgtoGg</f>
        <v>1.0859786226307144</v>
      </c>
      <c r="AA108" s="22">
        <f>'Activity data'!AA67*UDCPPEF*NtoN2O*kgtoGg</f>
        <v>1.1129017433760566</v>
      </c>
      <c r="AB108" s="22">
        <f>'Activity data'!AB67*UDCPPEF*NtoN2O*kgtoGg</f>
        <v>1.1129017433760566</v>
      </c>
      <c r="AC108" s="22">
        <f>'Activity data'!AC67*UDCPPEF*NtoN2O*kgtoGg</f>
        <v>1.0725170622580433</v>
      </c>
      <c r="AD108" s="22">
        <f>'Activity data'!AD67*UDCPPEF*NtoN2O*kgtoGg</f>
        <v>1.0787234349415549</v>
      </c>
      <c r="AE108" s="22">
        <f>'Activity data'!AE67*UDCPPEF*NtoN2O*kgtoGg</f>
        <v>1.0865437836755862</v>
      </c>
      <c r="AF108" s="22">
        <f>'Activity data'!AF67*UDCPPEF*NtoN2O*kgtoGg</f>
        <v>1.0915494962360635</v>
      </c>
      <c r="AG108" s="22">
        <f>'Activity data'!AG67*UDCPPEF*NtoN2O*kgtoGg</f>
        <v>1.0943418636504212</v>
      </c>
      <c r="AH108" s="22">
        <f>'Activity data'!AH67*UDCPPEF*NtoN2O*kgtoGg</f>
        <v>1.0958683011859112</v>
      </c>
      <c r="AI108" s="22">
        <f>'Activity data'!AI67*UDCPPEF*NtoN2O*kgtoGg</f>
        <v>1.099155256983263</v>
      </c>
      <c r="AJ108" s="22">
        <f>'Activity data'!AJ67*UDCPPEF*NtoN2O*kgtoGg</f>
        <v>1.1035137605266516</v>
      </c>
      <c r="AK108" s="22">
        <f>'Activity data'!AK67*UDCPPEF*NtoN2O*kgtoGg</f>
        <v>1.1079856410089446</v>
      </c>
      <c r="AL108" s="22">
        <f>'Activity data'!AL67*UDCPPEF*NtoN2O*kgtoGg</f>
        <v>1.0718570158163496</v>
      </c>
      <c r="AM108" s="22">
        <f>'Activity data'!AM67*UDCPPEF*NtoN2O*kgtoGg</f>
        <v>1.0802105559023967</v>
      </c>
      <c r="AN108" s="22">
        <f>'Activity data'!AN67*UDCPPEF*NtoN2O*kgtoGg</f>
        <v>1.0884408952249498</v>
      </c>
      <c r="AO108" s="22">
        <f>'Activity data'!AO67*UDCPPEF*NtoN2O*kgtoGg</f>
        <v>1.0973710718390084</v>
      </c>
      <c r="AP108" s="22">
        <f>'Activity data'!AP67*UDCPPEF*NtoN2O*kgtoGg</f>
        <v>1.1069297908989872</v>
      </c>
      <c r="AQ108" s="22">
        <f>'Activity data'!AQ67*UDCPPEF*NtoN2O*kgtoGg</f>
        <v>1.1163494843610542</v>
      </c>
      <c r="AR108" s="22">
        <f>'Activity data'!AR67*UDCPPEF*NtoN2O*kgtoGg</f>
        <v>1.1272259341493618</v>
      </c>
      <c r="AS108" s="22">
        <f>'Activity data'!AS67*UDCPPEF*NtoN2O*kgtoGg</f>
        <v>1.1384720389280252</v>
      </c>
      <c r="AT108" s="22">
        <f>'Activity data'!AT67*UDCPPEF*NtoN2O*kgtoGg</f>
        <v>1.1502956101074135</v>
      </c>
      <c r="AU108" s="22">
        <f>'Activity data'!AU67*UDCPPEF*NtoN2O*kgtoGg</f>
        <v>1.1624812264217139</v>
      </c>
      <c r="AV108" s="22">
        <f>'Activity data'!AV67*UDCPPEF*NtoN2O*kgtoGg</f>
        <v>1.1726779408718888</v>
      </c>
      <c r="AW108" s="22">
        <f>'Activity data'!AW67*UDCPPEF*NtoN2O*kgtoGg</f>
        <v>1.185591004613717</v>
      </c>
      <c r="AX108" s="22">
        <f>'Activity data'!AX67*UDCPPEF*NtoN2O*kgtoGg</f>
        <v>1.198729246248996</v>
      </c>
      <c r="AY108" s="22">
        <f>'Activity data'!AY67*UDCPPEF*NtoN2O*kgtoGg</f>
        <v>1.212173469721112</v>
      </c>
      <c r="AZ108" s="22">
        <f>'Activity data'!AZ67*UDCPPEF*NtoN2O*kgtoGg</f>
        <v>1.2249861883053832</v>
      </c>
      <c r="BA108" s="22">
        <f>'Activity data'!BA67*UDCPPEF*NtoN2O*kgtoGg</f>
        <v>1.2384840912569535</v>
      </c>
      <c r="BB108" s="22">
        <f>'Activity data'!BB67*UDCPPEF*NtoN2O*kgtoGg</f>
        <v>1.2526788812846597</v>
      </c>
      <c r="BC108" s="22">
        <f>'Activity data'!BC67*UDCPPEF*NtoN2O*kgtoGg</f>
        <v>1.2673106040384976</v>
      </c>
      <c r="BD108" s="22">
        <f>'Activity data'!BD67*UDCPPEF*NtoN2O*kgtoGg</f>
        <v>1.2816927856835605</v>
      </c>
      <c r="BE108" s="22">
        <f>'Activity data'!BE67*UDCPPEF*NtoN2O*kgtoGg</f>
        <v>1.2965182336041372</v>
      </c>
      <c r="BF108" s="22">
        <f>'Activity data'!BF67*UDCPPEF*NtoN2O*kgtoGg</f>
        <v>1.3121972444906522</v>
      </c>
      <c r="BG108" s="22">
        <f>'Activity data'!BG67*UDCPPEF*NtoN2O*kgtoGg</f>
        <v>1.3285332938354384</v>
      </c>
      <c r="BH108" s="22">
        <f>'Activity data'!BH67*UDCPPEF*NtoN2O*kgtoGg</f>
        <v>1.3454622116481627</v>
      </c>
      <c r="BI108" s="22">
        <f>'Activity data'!BI67*UDCPPEF*NtoN2O*kgtoGg</f>
        <v>1.3630088705218333</v>
      </c>
      <c r="BJ108" s="22">
        <f>'Activity data'!BJ67*UDCPPEF*NtoN2O*kgtoGg</f>
        <v>1.3811756333492606</v>
      </c>
      <c r="BK108" s="22">
        <f>'Activity data'!BK67*UDCPPEF*NtoN2O*kgtoGg</f>
        <v>1.4001257451280851</v>
      </c>
      <c r="BL108" s="22">
        <f>'Activity data'!BL67*UDCPPEF*NtoN2O*kgtoGg</f>
        <v>1.4178250611501444</v>
      </c>
      <c r="BM108" s="22">
        <f>'Activity data'!BM67*UDCPPEF*NtoN2O*kgtoGg</f>
        <v>1.4362206847006009</v>
      </c>
      <c r="BN108" s="22">
        <f>'Activity data'!BN67*UDCPPEF*NtoN2O*kgtoGg</f>
        <v>1.4554645959972485</v>
      </c>
      <c r="BO108" s="22">
        <f>'Activity data'!BO67*UDCPPEF*NtoN2O*kgtoGg</f>
        <v>1.4756345115364822</v>
      </c>
      <c r="BP108" s="22">
        <f>'Activity data'!BP67*UDCPPEF*NtoN2O*kgtoGg</f>
        <v>1.4972091633022366</v>
      </c>
    </row>
    <row r="109" spans="1:68" x14ac:dyDescent="0.25">
      <c r="A109" t="str">
        <f t="shared" si="29"/>
        <v>3C Aggregated and non-CO2 emissions on land</v>
      </c>
      <c r="B109" t="str">
        <f t="shared" si="31"/>
        <v>3C4 Direct N2O from managed soils (N2O)</v>
      </c>
      <c r="C109" t="s">
        <v>422</v>
      </c>
      <c r="D109" t="str">
        <f t="shared" si="38"/>
        <v xml:space="preserve"> - Non-lactating</v>
      </c>
      <c r="E109" t="str">
        <f t="shared" si="32"/>
        <v>U&amp;D emissions - Non-lactating</v>
      </c>
      <c r="F109" t="str">
        <f t="shared" si="36"/>
        <v>N2O</v>
      </c>
      <c r="G109" t="str">
        <f t="shared" si="37"/>
        <v>Gg N2O</v>
      </c>
      <c r="H109" s="22">
        <f>'Activity data'!H68*UDCPPEF*NtoN2O*kgtoGg</f>
        <v>0.70829542150320102</v>
      </c>
      <c r="I109" s="22">
        <f>'Activity data'!I68*UDCPPEF*NtoN2O*kgtoGg</f>
        <v>0.80509081056291543</v>
      </c>
      <c r="J109" s="22">
        <f>'Activity data'!J68*UDCPPEF*NtoN2O*kgtoGg</f>
        <v>0.69640564763455981</v>
      </c>
      <c r="K109" s="22">
        <f>'Activity data'!K68*UDCPPEF*NtoN2O*kgtoGg</f>
        <v>0.72881054383034738</v>
      </c>
      <c r="L109" s="22">
        <f>'Activity data'!L68*UDCPPEF*NtoN2O*kgtoGg</f>
        <v>0.64884655215999665</v>
      </c>
      <c r="M109" s="22">
        <f>'Activity data'!M68*UDCPPEF*NtoN2O*kgtoGg</f>
        <v>0.7050309960930653</v>
      </c>
      <c r="N109" s="22">
        <f>'Activity data'!N68*UDCPPEF*NtoN2O*kgtoGg</f>
        <v>0.71692076996170606</v>
      </c>
      <c r="O109" s="22">
        <f>'Activity data'!O68*UDCPPEF*NtoN2O*kgtoGg</f>
        <v>0.69272192269677746</v>
      </c>
      <c r="P109" s="22">
        <f>'Activity data'!P68*UDCPPEF*NtoN2O*kgtoGg</f>
        <v>0.65705260109085506</v>
      </c>
      <c r="Q109" s="22">
        <f>'Activity data'!Q68*UDCPPEF*NtoN2O*kgtoGg</f>
        <v>0.69230262316913072</v>
      </c>
      <c r="R109" s="22">
        <f>'Activity data'!R68*UDCPPEF*NtoN2O*kgtoGg</f>
        <v>0.85801082908584869</v>
      </c>
      <c r="S109" s="22">
        <f>'Activity data'!S68*UDCPPEF*NtoN2O*kgtoGg</f>
        <v>0.84612105521720782</v>
      </c>
      <c r="T109" s="22">
        <f>'Activity data'!T68*UDCPPEF*NtoN2O*kgtoGg</f>
        <v>0.77678893883255762</v>
      </c>
      <c r="U109" s="22">
        <f>'Activity data'!U68*UDCPPEF*NtoN2O*kgtoGg</f>
        <v>0.65705260109085506</v>
      </c>
      <c r="V109" s="22">
        <f>'Activity data'!V68*UDCPPEF*NtoN2O*kgtoGg</f>
        <v>0.6131772305540738</v>
      </c>
      <c r="W109" s="22">
        <f>'Activity data'!W68*UDCPPEF*NtoN2O*kgtoGg</f>
        <v>0.66936167448714268</v>
      </c>
      <c r="X109" s="22">
        <f>'Activity data'!X68*UDCPPEF*NtoN2O*kgtoGg</f>
        <v>0.66115562555628415</v>
      </c>
      <c r="Y109" s="22">
        <f>'Activity data'!Y68*UDCPPEF*NtoN2O*kgtoGg</f>
        <v>0.66894237495949582</v>
      </c>
      <c r="Z109" s="22">
        <f>'Activity data'!Z68*UDCPPEF*NtoN2O*kgtoGg</f>
        <v>0.78256916140857435</v>
      </c>
      <c r="AA109" s="22">
        <f>'Activity data'!AA68*UDCPPEF*NtoN2O*kgtoGg</f>
        <v>0.8145547580767144</v>
      </c>
      <c r="AB109" s="22">
        <f>'Activity data'!AB68*UDCPPEF*NtoN2O*kgtoGg</f>
        <v>0.8145547580767144</v>
      </c>
      <c r="AC109" s="22">
        <f>'Activity data'!AC68*UDCPPEF*NtoN2O*kgtoGg</f>
        <v>0.76657636307450427</v>
      </c>
      <c r="AD109" s="22">
        <f>'Activity data'!AD68*UDCPPEF*NtoN2O*kgtoGg</f>
        <v>0.73461803991560881</v>
      </c>
      <c r="AE109" s="22">
        <f>'Activity data'!AE68*UDCPPEF*NtoN2O*kgtoGg</f>
        <v>0.73994375091099651</v>
      </c>
      <c r="AF109" s="22">
        <f>'Activity data'!AF68*UDCPPEF*NtoN2O*kgtoGg</f>
        <v>0.74335267541420647</v>
      </c>
      <c r="AG109" s="22">
        <f>'Activity data'!AG68*UDCPPEF*NtoN2O*kgtoGg</f>
        <v>0.74525429672900645</v>
      </c>
      <c r="AH109" s="22">
        <f>'Activity data'!AH68*UDCPPEF*NtoN2O*kgtoGg</f>
        <v>0.74629381113469495</v>
      </c>
      <c r="AI109" s="22">
        <f>'Activity data'!AI68*UDCPPEF*NtoN2O*kgtoGg</f>
        <v>0.74853225052233163</v>
      </c>
      <c r="AJ109" s="22">
        <f>'Activity data'!AJ68*UDCPPEF*NtoN2O*kgtoGg</f>
        <v>0.75150042125664296</v>
      </c>
      <c r="AK109" s="22">
        <f>'Activity data'!AK68*UDCPPEF*NtoN2O*kgtoGg</f>
        <v>0.75454580246208314</v>
      </c>
      <c r="AL109" s="22">
        <f>'Activity data'!AL68*UDCPPEF*NtoN2O*kgtoGg</f>
        <v>0.72994196151070201</v>
      </c>
      <c r="AM109" s="22">
        <f>'Activity data'!AM68*UDCPPEF*NtoN2O*kgtoGg</f>
        <v>0.73563077946495437</v>
      </c>
      <c r="AN109" s="22">
        <f>'Activity data'!AN68*UDCPPEF*NtoN2O*kgtoGg</f>
        <v>0.74123569685631663</v>
      </c>
      <c r="AO109" s="22">
        <f>'Activity data'!AO68*UDCPPEF*NtoN2O*kgtoGg</f>
        <v>0.74731720823154291</v>
      </c>
      <c r="AP109" s="22">
        <f>'Activity data'!AP68*UDCPPEF*NtoN2O*kgtoGg</f>
        <v>0.75382676131298321</v>
      </c>
      <c r="AQ109" s="22">
        <f>'Activity data'!AQ68*UDCPPEF*NtoN2O*kgtoGg</f>
        <v>0.76024163701101988</v>
      </c>
      <c r="AR109" s="22">
        <f>'Activity data'!AR68*UDCPPEF*NtoN2O*kgtoGg</f>
        <v>0.76764857373448148</v>
      </c>
      <c r="AS109" s="22">
        <f>'Activity data'!AS68*UDCPPEF*NtoN2O*kgtoGg</f>
        <v>0.77530724803558704</v>
      </c>
      <c r="AT109" s="22">
        <f>'Activity data'!AT68*UDCPPEF*NtoN2O*kgtoGg</f>
        <v>0.78335918090666212</v>
      </c>
      <c r="AU109" s="22">
        <f>'Activity data'!AU68*UDCPPEF*NtoN2O*kgtoGg</f>
        <v>0.79165766899175705</v>
      </c>
      <c r="AV109" s="22">
        <f>'Activity data'!AV68*UDCPPEF*NtoN2O*kgtoGg</f>
        <v>0.79860170129914099</v>
      </c>
      <c r="AW109" s="22">
        <f>'Activity data'!AW68*UDCPPEF*NtoN2O*kgtoGg</f>
        <v>0.80739558605964168</v>
      </c>
      <c r="AX109" s="22">
        <f>'Activity data'!AX68*UDCPPEF*NtoN2O*kgtoGg</f>
        <v>0.81634281850626889</v>
      </c>
      <c r="AY109" s="22">
        <f>'Activity data'!AY68*UDCPPEF*NtoN2O*kgtoGg</f>
        <v>0.82549842667733653</v>
      </c>
      <c r="AZ109" s="22">
        <f>'Activity data'!AZ68*UDCPPEF*NtoN2O*kgtoGg</f>
        <v>0.83422397569897044</v>
      </c>
      <c r="BA109" s="22">
        <f>'Activity data'!BA68*UDCPPEF*NtoN2O*kgtoGg</f>
        <v>0.84341613996282638</v>
      </c>
      <c r="BB109" s="22">
        <f>'Activity data'!BB68*UDCPPEF*NtoN2O*kgtoGg</f>
        <v>0.85308288909369323</v>
      </c>
      <c r="BC109" s="22">
        <f>'Activity data'!BC68*UDCPPEF*NtoN2O*kgtoGg</f>
        <v>0.86304719240058803</v>
      </c>
      <c r="BD109" s="22">
        <f>'Activity data'!BD68*UDCPPEF*NtoN2O*kgtoGg</f>
        <v>0.87284155650502493</v>
      </c>
      <c r="BE109" s="22">
        <f>'Activity data'!BE68*UDCPPEF*NtoN2O*kgtoGg</f>
        <v>0.88293778797595335</v>
      </c>
      <c r="BF109" s="22">
        <f>'Activity data'!BF68*UDCPPEF*NtoN2O*kgtoGg</f>
        <v>0.89361530166683856</v>
      </c>
      <c r="BG109" s="22">
        <f>'Activity data'!BG68*UDCPPEF*NtoN2O*kgtoGg</f>
        <v>0.90474026304332111</v>
      </c>
      <c r="BH109" s="22">
        <f>'Activity data'!BH68*UDCPPEF*NtoN2O*kgtoGg</f>
        <v>0.91626897190292733</v>
      </c>
      <c r="BI109" s="22">
        <f>'Activity data'!BI68*UDCPPEF*NtoN2O*kgtoGg</f>
        <v>0.92821836665167756</v>
      </c>
      <c r="BJ109" s="22">
        <f>'Activity data'!BJ68*UDCPPEF*NtoN2O*kgtoGg</f>
        <v>0.94059005643574101</v>
      </c>
      <c r="BK109" s="22">
        <f>'Activity data'!BK68*UDCPPEF*NtoN2O*kgtoGg</f>
        <v>0.95349521221544842</v>
      </c>
      <c r="BL109" s="22">
        <f>'Activity data'!BL68*UDCPPEF*NtoN2O*kgtoGg</f>
        <v>0.96554856752674412</v>
      </c>
      <c r="BM109" s="22">
        <f>'Activity data'!BM68*UDCPPEF*NtoN2O*kgtoGg</f>
        <v>0.97807611302907582</v>
      </c>
      <c r="BN109" s="22">
        <f>'Activity data'!BN68*UDCPPEF*NtoN2O*kgtoGg</f>
        <v>0.99118134829062277</v>
      </c>
      <c r="BO109" s="22">
        <f>'Activity data'!BO68*UDCPPEF*NtoN2O*kgtoGg</f>
        <v>1.0049171987771732</v>
      </c>
      <c r="BP109" s="22">
        <f>'Activity data'!BP68*UDCPPEF*NtoN2O*kgtoGg</f>
        <v>1.0196096842453124</v>
      </c>
    </row>
    <row r="110" spans="1:68" x14ac:dyDescent="0.25">
      <c r="A110" t="str">
        <f t="shared" si="29"/>
        <v>3C Aggregated and non-CO2 emissions on land</v>
      </c>
      <c r="B110" t="str">
        <f t="shared" si="31"/>
        <v>3C4 Direct N2O from managed soils (N2O)</v>
      </c>
      <c r="C110" t="s">
        <v>422</v>
      </c>
      <c r="D110" t="str">
        <f t="shared" si="38"/>
        <v xml:space="preserve"> - Commercial cattle</v>
      </c>
      <c r="E110" t="str">
        <f t="shared" si="32"/>
        <v>U&amp;D emissions - Commercial cattle</v>
      </c>
      <c r="F110" t="str">
        <f t="shared" si="36"/>
        <v>N2O</v>
      </c>
      <c r="G110" t="str">
        <f t="shared" si="37"/>
        <v>Gg N2O</v>
      </c>
      <c r="H110" s="22">
        <f>'Activity data'!H69*UDCPPEF*NtoN2O*kgtoGg</f>
        <v>17.576597352821153</v>
      </c>
      <c r="I110" s="22">
        <f>'Activity data'!I69*UDCPPEF*NtoN2O*kgtoGg</f>
        <v>16.817955407552034</v>
      </c>
      <c r="J110" s="22">
        <f>'Activity data'!J69*UDCPPEF*NtoN2O*kgtoGg</f>
        <v>16.811844812764484</v>
      </c>
      <c r="K110" s="22">
        <f>'Activity data'!K69*UDCPPEF*NtoN2O*kgtoGg</f>
        <v>15.728077971837282</v>
      </c>
      <c r="L110" s="22">
        <f>'Activity data'!L69*UDCPPEF*NtoN2O*kgtoGg</f>
        <v>16.202229187630483</v>
      </c>
      <c r="M110" s="22">
        <f>'Activity data'!M69*UDCPPEF*NtoN2O*kgtoGg</f>
        <v>16.570618125708414</v>
      </c>
      <c r="N110" s="22">
        <f>'Activity data'!N69*UDCPPEF*NtoN2O*kgtoGg</f>
        <v>17.258021364656891</v>
      </c>
      <c r="O110" s="22">
        <f>'Activity data'!O69*UDCPPEF*NtoN2O*kgtoGg</f>
        <v>17.911777657623301</v>
      </c>
      <c r="P110" s="22">
        <f>'Activity data'!P69*UDCPPEF*NtoN2O*kgtoGg</f>
        <v>18.066914572545961</v>
      </c>
      <c r="Q110" s="22">
        <f>'Activity data'!Q69*UDCPPEF*NtoN2O*kgtoGg</f>
        <v>17.774559997457377</v>
      </c>
      <c r="R110" s="22">
        <f>'Activity data'!R69*UDCPPEF*NtoN2O*kgtoGg</f>
        <v>16.567111624058178</v>
      </c>
      <c r="S110" s="22">
        <f>'Activity data'!S69*UDCPPEF*NtoN2O*kgtoGg</f>
        <v>16.653201396191591</v>
      </c>
      <c r="T110" s="22">
        <f>'Activity data'!T69*UDCPPEF*NtoN2O*kgtoGg</f>
        <v>15.520936543469553</v>
      </c>
      <c r="U110" s="22">
        <f>'Activity data'!U69*UDCPPEF*NtoN2O*kgtoGg</f>
        <v>15.926917241886068</v>
      </c>
      <c r="V110" s="22">
        <f>'Activity data'!V69*UDCPPEF*NtoN2O*kgtoGg</f>
        <v>16.073751998489783</v>
      </c>
      <c r="W110" s="22">
        <f>'Activity data'!W69*UDCPPEF*NtoN2O*kgtoGg</f>
        <v>16.210093033243147</v>
      </c>
      <c r="X110" s="22">
        <f>'Activity data'!X69*UDCPPEF*NtoN2O*kgtoGg</f>
        <v>15.840827469752652</v>
      </c>
      <c r="Y110" s="22">
        <f>'Activity data'!Y69*UDCPPEF*NtoN2O*kgtoGg</f>
        <v>16.304923276401787</v>
      </c>
      <c r="Z110" s="22">
        <f>'Activity data'!Z69*UDCPPEF*NtoN2O*kgtoGg</f>
        <v>15.851842654807969</v>
      </c>
      <c r="AA110" s="22">
        <f>'Activity data'!AA69*UDCPPEF*NtoN2O*kgtoGg</f>
        <v>15.585679412511292</v>
      </c>
      <c r="AB110" s="22">
        <f>'Activity data'!AB69*UDCPPEF*NtoN2O*kgtoGg</f>
        <v>15.5366840017385</v>
      </c>
      <c r="AC110" s="22">
        <f>'Activity data'!AC69*UDCPPEF*NtoN2O*kgtoGg</f>
        <v>15.48089495887754</v>
      </c>
      <c r="AD110" s="22">
        <f>'Activity data'!AD69*UDCPPEF*NtoN2O*kgtoGg</f>
        <v>15.437788408688595</v>
      </c>
      <c r="AE110" s="22">
        <f>'Activity data'!AE69*UDCPPEF*NtoN2O*kgtoGg</f>
        <v>15.383105005563184</v>
      </c>
      <c r="AF110" s="22">
        <f>'Activity data'!AF69*UDCPPEF*NtoN2O*kgtoGg</f>
        <v>15.181884994154281</v>
      </c>
      <c r="AG110" s="22">
        <f>'Activity data'!AG69*UDCPPEF*NtoN2O*kgtoGg</f>
        <v>14.870650074254844</v>
      </c>
      <c r="AH110" s="22">
        <f>'Activity data'!AH69*UDCPPEF*NtoN2O*kgtoGg</f>
        <v>14.496375329330402</v>
      </c>
      <c r="AI110" s="22">
        <f>'Activity data'!AI69*UDCPPEF*NtoN2O*kgtoGg</f>
        <v>14.182574843911686</v>
      </c>
      <c r="AJ110" s="22">
        <f>'Activity data'!AJ69*UDCPPEF*NtoN2O*kgtoGg</f>
        <v>13.905186930349418</v>
      </c>
      <c r="AK110" s="22">
        <f>'Activity data'!AK69*UDCPPEF*NtoN2O*kgtoGg</f>
        <v>13.625784909473937</v>
      </c>
      <c r="AL110" s="22">
        <f>'Activity data'!AL69*UDCPPEF*NtoN2O*kgtoGg</f>
        <v>11.878079692096227</v>
      </c>
      <c r="AM110" s="22">
        <f>'Activity data'!AM69*UDCPPEF*NtoN2O*kgtoGg</f>
        <v>11.945978290857035</v>
      </c>
      <c r="AN110" s="22">
        <f>'Activity data'!AN69*UDCPPEF*NtoN2O*kgtoGg</f>
        <v>12.013847966212309</v>
      </c>
      <c r="AO110" s="22">
        <f>'Activity data'!AO69*UDCPPEF*NtoN2O*kgtoGg</f>
        <v>12.11054153607097</v>
      </c>
      <c r="AP110" s="22">
        <f>'Activity data'!AP69*UDCPPEF*NtoN2O*kgtoGg</f>
        <v>12.223764847935598</v>
      </c>
      <c r="AQ110" s="22">
        <f>'Activity data'!AQ69*UDCPPEF*NtoN2O*kgtoGg</f>
        <v>12.327336671431084</v>
      </c>
      <c r="AR110" s="22">
        <f>'Activity data'!AR69*UDCPPEF*NtoN2O*kgtoGg</f>
        <v>12.474444935510407</v>
      </c>
      <c r="AS110" s="22">
        <f>'Activity data'!AS69*UDCPPEF*NtoN2O*kgtoGg</f>
        <v>12.628033805925664</v>
      </c>
      <c r="AT110" s="22">
        <f>'Activity data'!AT69*UDCPPEF*NtoN2O*kgtoGg</f>
        <v>12.794573111508939</v>
      </c>
      <c r="AU110" s="22">
        <f>'Activity data'!AU69*UDCPPEF*NtoN2O*kgtoGg</f>
        <v>12.965749352863035</v>
      </c>
      <c r="AV110" s="22">
        <f>'Activity data'!AV69*UDCPPEF*NtoN2O*kgtoGg</f>
        <v>13.068283700316462</v>
      </c>
      <c r="AW110" s="22">
        <f>'Activity data'!AW69*UDCPPEF*NtoN2O*kgtoGg</f>
        <v>13.138008159876689</v>
      </c>
      <c r="AX110" s="22">
        <f>'Activity data'!AX69*UDCPPEF*NtoN2O*kgtoGg</f>
        <v>13.202694027866585</v>
      </c>
      <c r="AY110" s="22">
        <f>'Activity data'!AY69*UDCPPEF*NtoN2O*kgtoGg</f>
        <v>13.264526757296768</v>
      </c>
      <c r="AZ110" s="22">
        <f>'Activity data'!AZ69*UDCPPEF*NtoN2O*kgtoGg</f>
        <v>13.296336737369229</v>
      </c>
      <c r="BA110" s="22">
        <f>'Activity data'!BA69*UDCPPEF*NtoN2O*kgtoGg</f>
        <v>13.336097418116028</v>
      </c>
      <c r="BB110" s="22">
        <f>'Activity data'!BB69*UDCPPEF*NtoN2O*kgtoGg</f>
        <v>13.383008302636046</v>
      </c>
      <c r="BC110" s="22">
        <f>'Activity data'!BC69*UDCPPEF*NtoN2O*kgtoGg</f>
        <v>13.42908847836388</v>
      </c>
      <c r="BD110" s="22">
        <f>'Activity data'!BD69*UDCPPEF*NtoN2O*kgtoGg</f>
        <v>13.456064171960135</v>
      </c>
      <c r="BE110" s="22">
        <f>'Activity data'!BE69*UDCPPEF*NtoN2O*kgtoGg</f>
        <v>13.481762840225253</v>
      </c>
      <c r="BF110" s="22">
        <f>'Activity data'!BF69*UDCPPEF*NtoN2O*kgtoGg</f>
        <v>13.515599888231622</v>
      </c>
      <c r="BG110" s="22">
        <f>'Activity data'!BG69*UDCPPEF*NtoN2O*kgtoGg</f>
        <v>13.620647880610498</v>
      </c>
      <c r="BH110" s="22">
        <f>'Activity data'!BH69*UDCPPEF*NtoN2O*kgtoGg</f>
        <v>13.728526081818242</v>
      </c>
      <c r="BI110" s="22">
        <f>'Activity data'!BI69*UDCPPEF*NtoN2O*kgtoGg</f>
        <v>13.839122298713281</v>
      </c>
      <c r="BJ110" s="22">
        <f>'Activity data'!BJ69*UDCPPEF*NtoN2O*kgtoGg</f>
        <v>13.951768068186574</v>
      </c>
      <c r="BK110" s="22">
        <f>'Activity data'!BK69*UDCPPEF*NtoN2O*kgtoGg</f>
        <v>14.069354637442903</v>
      </c>
      <c r="BL110" s="22">
        <f>'Activity data'!BL69*UDCPPEF*NtoN2O*kgtoGg</f>
        <v>14.147064922166994</v>
      </c>
      <c r="BM110" s="22">
        <f>'Activity data'!BM69*UDCPPEF*NtoN2O*kgtoGg</f>
        <v>14.227918089166053</v>
      </c>
      <c r="BN110" s="22">
        <f>'Activity data'!BN69*UDCPPEF*NtoN2O*kgtoGg</f>
        <v>14.31424006200317</v>
      </c>
      <c r="BO110" s="22">
        <f>'Activity data'!BO69*UDCPPEF*NtoN2O*kgtoGg</f>
        <v>14.406619152972352</v>
      </c>
      <c r="BP110" s="22">
        <f>'Activity data'!BP69*UDCPPEF*NtoN2O*kgtoGg</f>
        <v>14.513413088588235</v>
      </c>
    </row>
    <row r="111" spans="1:68" x14ac:dyDescent="0.25">
      <c r="A111" t="str">
        <f t="shared" si="29"/>
        <v>3C Aggregated and non-CO2 emissions on land</v>
      </c>
      <c r="B111" t="str">
        <f t="shared" si="31"/>
        <v>3C4 Direct N2O from managed soils (N2O)</v>
      </c>
      <c r="C111" t="s">
        <v>422</v>
      </c>
      <c r="D111" t="str">
        <f t="shared" si="38"/>
        <v xml:space="preserve"> - Subsistence cattle</v>
      </c>
      <c r="E111" t="str">
        <f t="shared" si="32"/>
        <v>U&amp;D emissions - Subsistence cattle</v>
      </c>
      <c r="F111" t="str">
        <f t="shared" si="36"/>
        <v>N2O</v>
      </c>
      <c r="G111" t="str">
        <f t="shared" si="37"/>
        <v>Gg N2O</v>
      </c>
      <c r="H111" s="22">
        <f>'Activity data'!H70*UDCPPEF*NtoN2O*kgtoGg</f>
        <v>8.3914870256546639</v>
      </c>
      <c r="I111" s="22">
        <f>'Activity data'!I70*UDCPPEF*NtoN2O*kgtoGg</f>
        <v>8.9033860163264062</v>
      </c>
      <c r="J111" s="22">
        <f>'Activity data'!J70*UDCPPEF*NtoN2O*kgtoGg</f>
        <v>9.3238744729496261</v>
      </c>
      <c r="K111" s="22">
        <f>'Activity data'!K70*UDCPPEF*NtoN2O*kgtoGg</f>
        <v>9.2141818320913931</v>
      </c>
      <c r="L111" s="22">
        <f>'Activity data'!L70*UDCPPEF*NtoN2O*kgtoGg</f>
        <v>8.0258448894605596</v>
      </c>
      <c r="M111" s="22">
        <f>'Activity data'!M70*UDCPPEF*NtoN2O*kgtoGg</f>
        <v>7.7516132873149823</v>
      </c>
      <c r="N111" s="22">
        <f>'Activity data'!N70*UDCPPEF*NtoN2O*kgtoGg</f>
        <v>7.970998569031444</v>
      </c>
      <c r="O111" s="22">
        <f>'Activity data'!O70*UDCPPEF*NtoN2O*kgtoGg</f>
        <v>8.3366407052255465</v>
      </c>
      <c r="P111" s="22">
        <f>'Activity data'!P70*UDCPPEF*NtoN2O*kgtoGg</f>
        <v>8.8485396958972924</v>
      </c>
      <c r="Q111" s="22">
        <f>'Activity data'!Q70*UDCPPEF*NtoN2O*kgtoGg</f>
        <v>9.2141818320913931</v>
      </c>
      <c r="R111" s="22">
        <f>'Activity data'!R70*UDCPPEF*NtoN2O*kgtoGg</f>
        <v>8.9947965503749323</v>
      </c>
      <c r="S111" s="22">
        <f>'Activity data'!S70*UDCPPEF*NtoN2O*kgtoGg</f>
        <v>8.7754112686584715</v>
      </c>
      <c r="T111" s="22">
        <f>'Activity data'!T70*UDCPPEF*NtoN2O*kgtoGg</f>
        <v>9.9454661044795998</v>
      </c>
      <c r="U111" s="22">
        <f>'Activity data'!U70*UDCPPEF*NtoN2O*kgtoGg</f>
        <v>10.183133493005768</v>
      </c>
      <c r="V111" s="22">
        <f>'Activity data'!V70*UDCPPEF*NtoN2O*kgtoGg</f>
        <v>10.018594531718419</v>
      </c>
      <c r="W111" s="22">
        <f>'Activity data'!W70*UDCPPEF*NtoN2O*kgtoGg</f>
        <v>9.726080822763139</v>
      </c>
      <c r="X111" s="22">
        <f>'Activity data'!X70*UDCPPEF*NtoN2O*kgtoGg</f>
        <v>10.036876638528124</v>
      </c>
      <c r="Y111" s="22">
        <f>'Activity data'!Y70*UDCPPEF*NtoN2O*kgtoGg</f>
        <v>10.439082988341639</v>
      </c>
      <c r="Z111" s="22">
        <f>'Activity data'!Z70*UDCPPEF*NtoN2O*kgtoGg</f>
        <v>10.274544027054292</v>
      </c>
      <c r="AA111" s="22">
        <f>'Activity data'!AA70*UDCPPEF*NtoN2O*kgtoGg</f>
        <v>10.164851386196062</v>
      </c>
      <c r="AB111" s="22">
        <f>'Activity data'!AB70*UDCPPEF*NtoN2O*kgtoGg</f>
        <v>10.018594531718419</v>
      </c>
      <c r="AC111" s="22">
        <f>'Activity data'!AC70*UDCPPEF*NtoN2O*kgtoGg</f>
        <v>10.091722958957241</v>
      </c>
      <c r="AD111" s="22">
        <f>'Activity data'!AD70*UDCPPEF*NtoN2O*kgtoGg</f>
        <v>9.7072938225180767</v>
      </c>
      <c r="AE111" s="22">
        <f>'Activity data'!AE70*UDCPPEF*NtoN2O*kgtoGg</f>
        <v>9.6729088544578339</v>
      </c>
      <c r="AF111" s="22">
        <f>'Activity data'!AF70*UDCPPEF*NtoN2O*kgtoGg</f>
        <v>9.5463815487320165</v>
      </c>
      <c r="AG111" s="22">
        <f>'Activity data'!AG70*UDCPPEF*NtoN2O*kgtoGg</f>
        <v>9.3506767796738135</v>
      </c>
      <c r="AH111" s="22">
        <f>'Activity data'!AH70*UDCPPEF*NtoN2O*kgtoGg</f>
        <v>9.1153325177143305</v>
      </c>
      <c r="AI111" s="22">
        <f>'Activity data'!AI70*UDCPPEF*NtoN2O*kgtoGg</f>
        <v>8.9180145189850659</v>
      </c>
      <c r="AJ111" s="22">
        <f>'Activity data'!AJ70*UDCPPEF*NtoN2O*kgtoGg</f>
        <v>8.7435927748543616</v>
      </c>
      <c r="AK111" s="22">
        <f>'Activity data'!AK70*UDCPPEF*NtoN2O*kgtoGg</f>
        <v>8.5679045584180571</v>
      </c>
      <c r="AL111" s="22">
        <f>'Activity data'!AL70*UDCPPEF*NtoN2O*kgtoGg</f>
        <v>7.4689461058792919</v>
      </c>
      <c r="AM111" s="22">
        <f>'Activity data'!AM70*UDCPPEF*NtoN2O*kgtoGg</f>
        <v>7.5116407996307268</v>
      </c>
      <c r="AN111" s="22">
        <f>'Activity data'!AN70*UDCPPEF*NtoN2O*kgtoGg</f>
        <v>7.5543173063213986</v>
      </c>
      <c r="AO111" s="22">
        <f>'Activity data'!AO70*UDCPPEF*NtoN2O*kgtoGg</f>
        <v>7.6151183011606527</v>
      </c>
      <c r="AP111" s="22">
        <f>'Activity data'!AP70*UDCPPEF*NtoN2O*kgtoGg</f>
        <v>7.6863132111265102</v>
      </c>
      <c r="AQ111" s="22">
        <f>'Activity data'!AQ70*UDCPPEF*NtoN2O*kgtoGg</f>
        <v>7.7514392574090749</v>
      </c>
      <c r="AR111" s="22">
        <f>'Activity data'!AR70*UDCPPEF*NtoN2O*kgtoGg</f>
        <v>7.8439410527008704</v>
      </c>
      <c r="AS111" s="22">
        <f>'Activity data'!AS70*UDCPPEF*NtoN2O*kgtoGg</f>
        <v>7.9405178584919431</v>
      </c>
      <c r="AT111" s="22">
        <f>'Activity data'!AT70*UDCPPEF*NtoN2O*kgtoGg</f>
        <v>8.0452379083784322</v>
      </c>
      <c r="AU111" s="22">
        <f>'Activity data'!AU70*UDCPPEF*NtoN2O*kgtoGg</f>
        <v>8.1528736672234814</v>
      </c>
      <c r="AV111" s="22">
        <f>'Activity data'!AV70*UDCPPEF*NtoN2O*kgtoGg</f>
        <v>8.2173473477326908</v>
      </c>
      <c r="AW111" s="22">
        <f>'Activity data'!AW70*UDCPPEF*NtoN2O*kgtoGg</f>
        <v>8.2611901442297864</v>
      </c>
      <c r="AX111" s="22">
        <f>'Activity data'!AX70*UDCPPEF*NtoN2O*kgtoGg</f>
        <v>8.3018646702771299</v>
      </c>
      <c r="AY111" s="22">
        <f>'Activity data'!AY70*UDCPPEF*NtoN2O*kgtoGg</f>
        <v>8.3407451404932687</v>
      </c>
      <c r="AZ111" s="22">
        <f>'Activity data'!AZ70*UDCPPEF*NtoN2O*kgtoGg</f>
        <v>8.3607472816599397</v>
      </c>
      <c r="BA111" s="22">
        <f>'Activity data'!BA70*UDCPPEF*NtoN2O*kgtoGg</f>
        <v>8.3857488298334673</v>
      </c>
      <c r="BB111" s="22">
        <f>'Activity data'!BB70*UDCPPEF*NtoN2O*kgtoGg</f>
        <v>8.4152464319157527</v>
      </c>
      <c r="BC111" s="22">
        <f>'Activity data'!BC70*UDCPPEF*NtoN2O*kgtoGg</f>
        <v>8.4442216836384389</v>
      </c>
      <c r="BD111" s="22">
        <f>'Activity data'!BD70*UDCPPEF*NtoN2O*kgtoGg</f>
        <v>8.4611840215635876</v>
      </c>
      <c r="BE111" s="22">
        <f>'Activity data'!BE70*UDCPPEF*NtoN2O*kgtoGg</f>
        <v>8.4773433649288936</v>
      </c>
      <c r="BF111" s="22">
        <f>'Activity data'!BF70*UDCPPEF*NtoN2O*kgtoGg</f>
        <v>8.4986201280499323</v>
      </c>
      <c r="BG111" s="22">
        <f>'Activity data'!BG70*UDCPPEF*NtoN2O*kgtoGg</f>
        <v>8.5646743905188725</v>
      </c>
      <c r="BH111" s="22">
        <f>'Activity data'!BH70*UDCPPEF*NtoN2O*kgtoGg</f>
        <v>8.6325082905857293</v>
      </c>
      <c r="BI111" s="22">
        <f>'Activity data'!BI70*UDCPPEF*NtoN2O*kgtoGg</f>
        <v>8.7020512811124568</v>
      </c>
      <c r="BJ111" s="22">
        <f>'Activity data'!BJ70*UDCPPEF*NtoN2O*kgtoGg</f>
        <v>8.772883031956086</v>
      </c>
      <c r="BK111" s="22">
        <f>'Activity data'!BK70*UDCPPEF*NtoN2O*kgtoGg</f>
        <v>8.8468215616946235</v>
      </c>
      <c r="BL111" s="22">
        <f>'Activity data'!BL70*UDCPPEF*NtoN2O*kgtoGg</f>
        <v>8.8956858515059629</v>
      </c>
      <c r="BM111" s="22">
        <f>'Activity data'!BM70*UDCPPEF*NtoN2O*kgtoGg</f>
        <v>8.9465263882307209</v>
      </c>
      <c r="BN111" s="22">
        <f>'Activity data'!BN70*UDCPPEF*NtoN2O*kgtoGg</f>
        <v>9.0008057144843239</v>
      </c>
      <c r="BO111" s="22">
        <f>'Activity data'!BO70*UDCPPEF*NtoN2O*kgtoGg</f>
        <v>9.0588937615125023</v>
      </c>
      <c r="BP111" s="22">
        <f>'Activity data'!BP70*UDCPPEF*NtoN2O*kgtoGg</f>
        <v>9.1260458744992956</v>
      </c>
    </row>
    <row r="112" spans="1:68" x14ac:dyDescent="0.25">
      <c r="A112" t="str">
        <f t="shared" si="29"/>
        <v>3C Aggregated and non-CO2 emissions on land</v>
      </c>
      <c r="B112" t="str">
        <f t="shared" si="31"/>
        <v>3C4 Direct N2O from managed soils (N2O)</v>
      </c>
      <c r="C112" t="s">
        <v>422</v>
      </c>
      <c r="D112" t="str">
        <f t="shared" si="38"/>
        <v xml:space="preserve"> - Feedlot</v>
      </c>
      <c r="E112" t="str">
        <f t="shared" si="32"/>
        <v>U&amp;D emissions - Feedlot</v>
      </c>
      <c r="F112" t="str">
        <f t="shared" si="36"/>
        <v>N2O</v>
      </c>
      <c r="G112" t="str">
        <f t="shared" si="37"/>
        <v>Gg N2O</v>
      </c>
      <c r="H112" s="22">
        <f>'Activity data'!H71*UDCPPEF*NtoN2O*kgtoGg</f>
        <v>0</v>
      </c>
      <c r="I112" s="22">
        <f>'Activity data'!I71*UDCPPEF*NtoN2O*kgtoGg</f>
        <v>0</v>
      </c>
      <c r="J112" s="22">
        <f>'Activity data'!J71*UDCPPEF*NtoN2O*kgtoGg</f>
        <v>0</v>
      </c>
      <c r="K112" s="22">
        <f>'Activity data'!K71*UDCPPEF*NtoN2O*kgtoGg</f>
        <v>0</v>
      </c>
      <c r="L112" s="22">
        <f>'Activity data'!L71*UDCPPEF*NtoN2O*kgtoGg</f>
        <v>0</v>
      </c>
      <c r="M112" s="22">
        <f>'Activity data'!M71*UDCPPEF*NtoN2O*kgtoGg</f>
        <v>0</v>
      </c>
      <c r="N112" s="22">
        <f>'Activity data'!N71*UDCPPEF*NtoN2O*kgtoGg</f>
        <v>0</v>
      </c>
      <c r="O112" s="22">
        <f>'Activity data'!O71*UDCPPEF*NtoN2O*kgtoGg</f>
        <v>0</v>
      </c>
      <c r="P112" s="22">
        <f>'Activity data'!P71*UDCPPEF*NtoN2O*kgtoGg</f>
        <v>0</v>
      </c>
      <c r="Q112" s="22">
        <f>'Activity data'!Q71*UDCPPEF*NtoN2O*kgtoGg</f>
        <v>0</v>
      </c>
      <c r="R112" s="22">
        <f>'Activity data'!R71*UDCPPEF*NtoN2O*kgtoGg</f>
        <v>0</v>
      </c>
      <c r="S112" s="22">
        <f>'Activity data'!S71*UDCPPEF*NtoN2O*kgtoGg</f>
        <v>0</v>
      </c>
      <c r="T112" s="22">
        <f>'Activity data'!T71*UDCPPEF*NtoN2O*kgtoGg</f>
        <v>0</v>
      </c>
      <c r="U112" s="22">
        <f>'Activity data'!U71*UDCPPEF*NtoN2O*kgtoGg</f>
        <v>0</v>
      </c>
      <c r="V112" s="22">
        <f>'Activity data'!V71*UDCPPEF*NtoN2O*kgtoGg</f>
        <v>0</v>
      </c>
      <c r="W112" s="22">
        <f>'Activity data'!W71*UDCPPEF*NtoN2O*kgtoGg</f>
        <v>0</v>
      </c>
      <c r="X112" s="22">
        <f>'Activity data'!X71*UDCPPEF*NtoN2O*kgtoGg</f>
        <v>0</v>
      </c>
      <c r="Y112" s="22">
        <f>'Activity data'!Y71*UDCPPEF*NtoN2O*kgtoGg</f>
        <v>0</v>
      </c>
      <c r="Z112" s="22">
        <f>'Activity data'!Z71*UDCPPEF*NtoN2O*kgtoGg</f>
        <v>0</v>
      </c>
      <c r="AA112" s="22">
        <f>'Activity data'!AA71*UDCPPEF*NtoN2O*kgtoGg</f>
        <v>0</v>
      </c>
      <c r="AB112" s="22">
        <f>'Activity data'!AB71*UDCPPEF*NtoN2O*kgtoGg</f>
        <v>0</v>
      </c>
      <c r="AC112" s="22">
        <f>'Activity data'!AC71*UDCPPEF*NtoN2O*kgtoGg</f>
        <v>0</v>
      </c>
      <c r="AD112" s="22">
        <f>'Activity data'!AD71*UDCPPEF*NtoN2O*kgtoGg</f>
        <v>0</v>
      </c>
      <c r="AE112" s="22">
        <f>'Activity data'!AE71*UDCPPEF*NtoN2O*kgtoGg</f>
        <v>0</v>
      </c>
      <c r="AF112" s="22">
        <f>'Activity data'!AF71*UDCPPEF*NtoN2O*kgtoGg</f>
        <v>0</v>
      </c>
      <c r="AG112" s="22">
        <f>'Activity data'!AG71*UDCPPEF*NtoN2O*kgtoGg</f>
        <v>0</v>
      </c>
      <c r="AH112" s="22">
        <f>'Activity data'!AH71*UDCPPEF*NtoN2O*kgtoGg</f>
        <v>0</v>
      </c>
      <c r="AI112" s="22">
        <f>'Activity data'!AI71*UDCPPEF*NtoN2O*kgtoGg</f>
        <v>0</v>
      </c>
      <c r="AJ112" s="22">
        <f>'Activity data'!AJ71*UDCPPEF*NtoN2O*kgtoGg</f>
        <v>0</v>
      </c>
      <c r="AK112" s="22">
        <f>'Activity data'!AK71*UDCPPEF*NtoN2O*kgtoGg</f>
        <v>0</v>
      </c>
      <c r="AL112" s="22">
        <f>'Activity data'!AL71*UDCPPEF*NtoN2O*kgtoGg</f>
        <v>0</v>
      </c>
      <c r="AM112" s="22">
        <f>'Activity data'!AM71*UDCPPEF*NtoN2O*kgtoGg</f>
        <v>0</v>
      </c>
      <c r="AN112" s="22">
        <f>'Activity data'!AN71*UDCPPEF*NtoN2O*kgtoGg</f>
        <v>0</v>
      </c>
      <c r="AO112" s="22">
        <f>'Activity data'!AO71*UDCPPEF*NtoN2O*kgtoGg</f>
        <v>0</v>
      </c>
      <c r="AP112" s="22">
        <f>'Activity data'!AP71*UDCPPEF*NtoN2O*kgtoGg</f>
        <v>0</v>
      </c>
      <c r="AQ112" s="22">
        <f>'Activity data'!AQ71*UDCPPEF*NtoN2O*kgtoGg</f>
        <v>0</v>
      </c>
      <c r="AR112" s="22">
        <f>'Activity data'!AR71*UDCPPEF*NtoN2O*kgtoGg</f>
        <v>0</v>
      </c>
      <c r="AS112" s="22">
        <f>'Activity data'!AS71*UDCPPEF*NtoN2O*kgtoGg</f>
        <v>0</v>
      </c>
      <c r="AT112" s="22">
        <f>'Activity data'!AT71*UDCPPEF*NtoN2O*kgtoGg</f>
        <v>0</v>
      </c>
      <c r="AU112" s="22">
        <f>'Activity data'!AU71*UDCPPEF*NtoN2O*kgtoGg</f>
        <v>0</v>
      </c>
      <c r="AV112" s="22">
        <f>'Activity data'!AV71*UDCPPEF*NtoN2O*kgtoGg</f>
        <v>0</v>
      </c>
      <c r="AW112" s="22">
        <f>'Activity data'!AW71*UDCPPEF*NtoN2O*kgtoGg</f>
        <v>0</v>
      </c>
      <c r="AX112" s="22">
        <f>'Activity data'!AX71*UDCPPEF*NtoN2O*kgtoGg</f>
        <v>0</v>
      </c>
      <c r="AY112" s="22">
        <f>'Activity data'!AY71*UDCPPEF*NtoN2O*kgtoGg</f>
        <v>0</v>
      </c>
      <c r="AZ112" s="22">
        <f>'Activity data'!AZ71*UDCPPEF*NtoN2O*kgtoGg</f>
        <v>0</v>
      </c>
      <c r="BA112" s="22">
        <f>'Activity data'!BA71*UDCPPEF*NtoN2O*kgtoGg</f>
        <v>0</v>
      </c>
      <c r="BB112" s="22">
        <f>'Activity data'!BB71*UDCPPEF*NtoN2O*kgtoGg</f>
        <v>0</v>
      </c>
      <c r="BC112" s="22">
        <f>'Activity data'!BC71*UDCPPEF*NtoN2O*kgtoGg</f>
        <v>0</v>
      </c>
      <c r="BD112" s="22">
        <f>'Activity data'!BD71*UDCPPEF*NtoN2O*kgtoGg</f>
        <v>0</v>
      </c>
      <c r="BE112" s="22">
        <f>'Activity data'!BE71*UDCPPEF*NtoN2O*kgtoGg</f>
        <v>0</v>
      </c>
      <c r="BF112" s="22">
        <f>'Activity data'!BF71*UDCPPEF*NtoN2O*kgtoGg</f>
        <v>0</v>
      </c>
      <c r="BG112" s="22">
        <f>'Activity data'!BG71*UDCPPEF*NtoN2O*kgtoGg</f>
        <v>0</v>
      </c>
      <c r="BH112" s="22">
        <f>'Activity data'!BH71*UDCPPEF*NtoN2O*kgtoGg</f>
        <v>0</v>
      </c>
      <c r="BI112" s="22">
        <f>'Activity data'!BI71*UDCPPEF*NtoN2O*kgtoGg</f>
        <v>0</v>
      </c>
      <c r="BJ112" s="22">
        <f>'Activity data'!BJ71*UDCPPEF*NtoN2O*kgtoGg</f>
        <v>0</v>
      </c>
      <c r="BK112" s="22">
        <f>'Activity data'!BK71*UDCPPEF*NtoN2O*kgtoGg</f>
        <v>0</v>
      </c>
      <c r="BL112" s="22">
        <f>'Activity data'!BL71*UDCPPEF*NtoN2O*kgtoGg</f>
        <v>0</v>
      </c>
      <c r="BM112" s="22">
        <f>'Activity data'!BM71*UDCPPEF*NtoN2O*kgtoGg</f>
        <v>0</v>
      </c>
      <c r="BN112" s="22">
        <f>'Activity data'!BN71*UDCPPEF*NtoN2O*kgtoGg</f>
        <v>0</v>
      </c>
      <c r="BO112" s="22">
        <f>'Activity data'!BO71*UDCPPEF*NtoN2O*kgtoGg</f>
        <v>0</v>
      </c>
      <c r="BP112" s="22">
        <f>'Activity data'!BP71*UDCPPEF*NtoN2O*kgtoGg</f>
        <v>0</v>
      </c>
    </row>
    <row r="113" spans="1:68" x14ac:dyDescent="0.25">
      <c r="A113" t="str">
        <f t="shared" si="29"/>
        <v>3C Aggregated and non-CO2 emissions on land</v>
      </c>
      <c r="B113" t="str">
        <f t="shared" si="31"/>
        <v>3C4 Direct N2O from managed soils (N2O)</v>
      </c>
      <c r="C113" t="s">
        <v>422</v>
      </c>
      <c r="D113" t="str">
        <f t="shared" si="38"/>
        <v xml:space="preserve"> - Commercial sheep</v>
      </c>
      <c r="E113" t="str">
        <f t="shared" si="32"/>
        <v>U&amp;D emissions - Commercial sheep</v>
      </c>
      <c r="F113" t="str">
        <f t="shared" si="36"/>
        <v>N2O</v>
      </c>
      <c r="G113" t="str">
        <f t="shared" si="37"/>
        <v>Gg N2O</v>
      </c>
      <c r="H113" s="22">
        <f>'Activity data'!H72*UDSOEF*NtoN2O*kgtoGg</f>
        <v>9.1437692552590502</v>
      </c>
      <c r="I113" s="22">
        <f>'Activity data'!I72*UDSOEF*NtoN2O*kgtoGg</f>
        <v>8.7326214199046639</v>
      </c>
      <c r="J113" s="22">
        <f>'Activity data'!J72*UDSOEF*NtoN2O*kgtoGg</f>
        <v>8.371799543625551</v>
      </c>
      <c r="K113" s="22">
        <f>'Activity data'!K72*UDSOEF*NtoN2O*kgtoGg</f>
        <v>7.8294992088628641</v>
      </c>
      <c r="L113" s="22">
        <f>'Activity data'!L72*UDSOEF*NtoN2O*kgtoGg</f>
        <v>7.8847052609393824</v>
      </c>
      <c r="M113" s="22">
        <f>'Activity data'!M72*UDSOEF*NtoN2O*kgtoGg</f>
        <v>7.7718531102857282</v>
      </c>
      <c r="N113" s="22">
        <f>'Activity data'!N72*UDSOEF*NtoN2O*kgtoGg</f>
        <v>7.7977786043548116</v>
      </c>
      <c r="O113" s="22">
        <f>'Activity data'!O72*UDSOEF*NtoN2O*kgtoGg</f>
        <v>7.6281953725617546</v>
      </c>
      <c r="P113" s="22">
        <f>'Activity data'!P72*UDSOEF*NtoN2O*kgtoGg</f>
        <v>7.6492407736295975</v>
      </c>
      <c r="Q113" s="22">
        <f>'Activity data'!Q72*UDSOEF*NtoN2O*kgtoGg</f>
        <v>7.4613571930818949</v>
      </c>
      <c r="R113" s="22">
        <f>'Activity data'!R72*UDSOEF*NtoN2O*kgtoGg</f>
        <v>7.1938670954514805</v>
      </c>
      <c r="S113" s="22">
        <f>'Activity data'!S72*UDSOEF*NtoN2O*kgtoGg</f>
        <v>7.0145236776559479</v>
      </c>
      <c r="T113" s="22">
        <f>'Activity data'!T72*UDSOEF*NtoN2O*kgtoGg</f>
        <v>6.89740144562621</v>
      </c>
      <c r="U113" s="22">
        <f>'Activity data'!U72*UDSOEF*NtoN2O*kgtoGg</f>
        <v>6.9214969048198283</v>
      </c>
      <c r="V113" s="22">
        <f>'Activity data'!V72*UDSOEF*NtoN2O*kgtoGg</f>
        <v>6.7982745565385434</v>
      </c>
      <c r="W113" s="22">
        <f>'Activity data'!W72*UDSOEF*NtoN2O*kgtoGg</f>
        <v>6.7821092484719374</v>
      </c>
      <c r="X113" s="22">
        <f>'Activity data'!X72*UDSOEF*NtoN2O*kgtoGg</f>
        <v>6.6933525570119041</v>
      </c>
      <c r="Y113" s="22">
        <f>'Activity data'!Y72*UDSOEF*NtoN2O*kgtoGg</f>
        <v>6.6869474349477782</v>
      </c>
      <c r="Z113" s="22">
        <f>'Activity data'!Z72*UDSOEF*NtoN2O*kgtoGg</f>
        <v>6.7086028476407771</v>
      </c>
      <c r="AA113" s="22">
        <f>'Activity data'!AA72*UDSOEF*NtoN2O*kgtoGg</f>
        <v>6.6848123942597351</v>
      </c>
      <c r="AB113" s="22">
        <f>'Activity data'!AB72*UDSOEF*NtoN2O*kgtoGg</f>
        <v>6.5554899297269005</v>
      </c>
      <c r="AC113" s="22">
        <f>'Activity data'!AC72*UDSOEF*NtoN2O*kgtoGg</f>
        <v>6.5042489532138905</v>
      </c>
      <c r="AD113" s="22">
        <f>'Activity data'!AD72*UDSOEF*NtoN2O*kgtoGg</f>
        <v>5.8005815373220724</v>
      </c>
      <c r="AE113" s="22">
        <f>'Activity data'!AE72*UDSOEF*NtoN2O*kgtoGg</f>
        <v>5.803842993838809</v>
      </c>
      <c r="AF113" s="22">
        <f>'Activity data'!AF72*UDSOEF*NtoN2O*kgtoGg</f>
        <v>5.8109693748772999</v>
      </c>
      <c r="AG113" s="22">
        <f>'Activity data'!AG72*UDSOEF*NtoN2O*kgtoGg</f>
        <v>5.8217702533372471</v>
      </c>
      <c r="AH113" s="22">
        <f>'Activity data'!AH72*UDSOEF*NtoN2O*kgtoGg</f>
        <v>5.8361382941626214</v>
      </c>
      <c r="AI113" s="22">
        <f>'Activity data'!AI72*UDSOEF*NtoN2O*kgtoGg</f>
        <v>5.8541945639409789</v>
      </c>
      <c r="AJ113" s="22">
        <f>'Activity data'!AJ72*UDSOEF*NtoN2O*kgtoGg</f>
        <v>5.87433753400542</v>
      </c>
      <c r="AK113" s="22">
        <f>'Activity data'!AK72*UDSOEF*NtoN2O*kgtoGg</f>
        <v>5.8965117887640579</v>
      </c>
      <c r="AL113" s="22">
        <f>'Activity data'!AL72*UDSOEF*NtoN2O*kgtoGg</f>
        <v>5.9169545177523064</v>
      </c>
      <c r="AM113" s="22">
        <f>'Activity data'!AM72*UDSOEF*NtoN2O*kgtoGg</f>
        <v>5.932309498830783</v>
      </c>
      <c r="AN113" s="22">
        <f>'Activity data'!AN72*UDSOEF*NtoN2O*kgtoGg</f>
        <v>5.9456234185132963</v>
      </c>
      <c r="AO113" s="22">
        <f>'Activity data'!AO72*UDSOEF*NtoN2O*kgtoGg</f>
        <v>5.9568143051990585</v>
      </c>
      <c r="AP113" s="22">
        <f>'Activity data'!AP72*UDSOEF*NtoN2O*kgtoGg</f>
        <v>5.968050763740365</v>
      </c>
      <c r="AQ113" s="22">
        <f>'Activity data'!AQ72*UDSOEF*NtoN2O*kgtoGg</f>
        <v>5.9791736774122946</v>
      </c>
      <c r="AR113" s="22">
        <f>'Activity data'!AR72*UDSOEF*NtoN2O*kgtoGg</f>
        <v>5.9902429145855329</v>
      </c>
      <c r="AS113" s="22">
        <f>'Activity data'!AS72*UDSOEF*NtoN2O*kgtoGg</f>
        <v>6.0010848566661696</v>
      </c>
      <c r="AT113" s="22">
        <f>'Activity data'!AT72*UDSOEF*NtoN2O*kgtoGg</f>
        <v>6.0116475792180486</v>
      </c>
      <c r="AU113" s="22">
        <f>'Activity data'!AU72*UDSOEF*NtoN2O*kgtoGg</f>
        <v>6.0221292301641478</v>
      </c>
      <c r="AV113" s="22">
        <f>'Activity data'!AV72*UDSOEF*NtoN2O*kgtoGg</f>
        <v>6.0322629823330276</v>
      </c>
      <c r="AW113" s="22">
        <f>'Activity data'!AW72*UDSOEF*NtoN2O*kgtoGg</f>
        <v>6.042416623909471</v>
      </c>
      <c r="AX113" s="22">
        <f>'Activity data'!AX72*UDSOEF*NtoN2O*kgtoGg</f>
        <v>6.0523182419977601</v>
      </c>
      <c r="AY113" s="22">
        <f>'Activity data'!AY72*UDSOEF*NtoN2O*kgtoGg</f>
        <v>6.0619290327330777</v>
      </c>
      <c r="AZ113" s="22">
        <f>'Activity data'!AZ72*UDSOEF*NtoN2O*kgtoGg</f>
        <v>6.0712027264679582</v>
      </c>
      <c r="BA113" s="22">
        <f>'Activity data'!BA72*UDSOEF*NtoN2O*kgtoGg</f>
        <v>6.0802174284420998</v>
      </c>
      <c r="BB113" s="22">
        <f>'Activity data'!BB72*UDSOEF*NtoN2O*kgtoGg</f>
        <v>6.0889370432146217</v>
      </c>
      <c r="BC113" s="22">
        <f>'Activity data'!BC72*UDSOEF*NtoN2O*kgtoGg</f>
        <v>6.0973034209131969</v>
      </c>
      <c r="BD113" s="22">
        <f>'Activity data'!BD72*UDSOEF*NtoN2O*kgtoGg</f>
        <v>6.1052223982329021</v>
      </c>
      <c r="BE113" s="22">
        <f>'Activity data'!BE72*UDSOEF*NtoN2O*kgtoGg</f>
        <v>6.1128100324539218</v>
      </c>
      <c r="BF113" s="22">
        <f>'Activity data'!BF72*UDSOEF*NtoN2O*kgtoGg</f>
        <v>6.1200744664496236</v>
      </c>
      <c r="BG113" s="22">
        <f>'Activity data'!BG72*UDSOEF*NtoN2O*kgtoGg</f>
        <v>6.1269712773794893</v>
      </c>
      <c r="BH113" s="22">
        <f>'Activity data'!BH72*UDSOEF*NtoN2O*kgtoGg</f>
        <v>6.1334693350853247</v>
      </c>
      <c r="BI113" s="22">
        <f>'Activity data'!BI72*UDSOEF*NtoN2O*kgtoGg</f>
        <v>6.1395468440858059</v>
      </c>
      <c r="BJ113" s="22">
        <f>'Activity data'!BJ72*UDSOEF*NtoN2O*kgtoGg</f>
        <v>6.1451847968684925</v>
      </c>
      <c r="BK113" s="22">
        <f>'Activity data'!BK72*UDSOEF*NtoN2O*kgtoGg</f>
        <v>6.1503763198109525</v>
      </c>
      <c r="BL113" s="22">
        <f>'Activity data'!BL72*UDSOEF*NtoN2O*kgtoGg</f>
        <v>6.1549199236799366</v>
      </c>
      <c r="BM113" s="22">
        <f>'Activity data'!BM72*UDSOEF*NtoN2O*kgtoGg</f>
        <v>6.1589700569486245</v>
      </c>
      <c r="BN113" s="22">
        <f>'Activity data'!BN72*UDSOEF*NtoN2O*kgtoGg</f>
        <v>6.1625222441226901</v>
      </c>
      <c r="BO113" s="22">
        <f>'Activity data'!BO72*UDSOEF*NtoN2O*kgtoGg</f>
        <v>6.1655549585853384</v>
      </c>
      <c r="BP113" s="22">
        <f>'Activity data'!BP72*UDSOEF*NtoN2O*kgtoGg</f>
        <v>6.1680948114215486</v>
      </c>
    </row>
    <row r="114" spans="1:68" x14ac:dyDescent="0.25">
      <c r="A114" t="str">
        <f t="shared" si="29"/>
        <v>3C Aggregated and non-CO2 emissions on land</v>
      </c>
      <c r="B114" t="str">
        <f t="shared" si="31"/>
        <v>3C4 Direct N2O from managed soils (N2O)</v>
      </c>
      <c r="C114" t="s">
        <v>422</v>
      </c>
      <c r="D114" t="str">
        <f t="shared" si="38"/>
        <v xml:space="preserve"> - Subsistence sheep</v>
      </c>
      <c r="E114" t="str">
        <f t="shared" si="32"/>
        <v>U&amp;D emissions - Subsistence sheep</v>
      </c>
      <c r="F114" t="str">
        <f t="shared" si="36"/>
        <v>N2O</v>
      </c>
      <c r="G114" t="str">
        <f t="shared" si="37"/>
        <v>Gg N2O</v>
      </c>
      <c r="H114" s="22">
        <f>'Activity data'!H73*UDSOEF*NtoN2O*kgtoGg</f>
        <v>0.95332401035894265</v>
      </c>
      <c r="I114" s="22">
        <f>'Activity data'!I73*UDSOEF*NtoN2O*kgtoGg</f>
        <v>0.9104579786045861</v>
      </c>
      <c r="J114" s="22">
        <f>'Activity data'!J73*UDSOEF*NtoN2O*kgtoGg</f>
        <v>0.87283890177565138</v>
      </c>
      <c r="K114" s="22">
        <f>'Activity data'!K73*UDSOEF*NtoN2O*kgtoGg</f>
        <v>0.81629898748837704</v>
      </c>
      <c r="L114" s="22">
        <f>'Activity data'!L73*UDSOEF*NtoN2O*kgtoGg</f>
        <v>0.82205473804293083</v>
      </c>
      <c r="M114" s="22">
        <f>'Activity data'!M73*UDSOEF*NtoN2O*kgtoGg</f>
        <v>0.8102888391192572</v>
      </c>
      <c r="N114" s="22">
        <f>'Activity data'!N73*UDSOEF*NtoN2O*kgtoGg</f>
        <v>0.81299181589902014</v>
      </c>
      <c r="O114" s="22">
        <f>'Activity data'!O73*UDSOEF*NtoN2O*kgtoGg</f>
        <v>0.79531116778668909</v>
      </c>
      <c r="P114" s="22">
        <f>'Activity data'!P73*UDSOEF*NtoN2O*kgtoGg</f>
        <v>0.79750534893732261</v>
      </c>
      <c r="Q114" s="22">
        <f>'Activity data'!Q73*UDSOEF*NtoN2O*kgtoGg</f>
        <v>0.77791671721574718</v>
      </c>
      <c r="R114" s="22">
        <f>'Activity data'!R73*UDSOEF*NtoN2O*kgtoGg</f>
        <v>0.75002835679395885</v>
      </c>
      <c r="S114" s="22">
        <f>'Activity data'!S73*UDSOEF*NtoN2O*kgtoGg</f>
        <v>0.73133011742336396</v>
      </c>
      <c r="T114" s="22">
        <f>'Activity data'!T73*UDSOEF*NtoN2O*kgtoGg</f>
        <v>0.71911902232420011</v>
      </c>
      <c r="U114" s="22">
        <f>'Activity data'!U73*UDSOEF*NtoN2O*kgtoGg</f>
        <v>0.72163120074303855</v>
      </c>
      <c r="V114" s="22">
        <f>'Activity data'!V73*UDSOEF*NtoN2O*kgtoGg</f>
        <v>0.70878411110745976</v>
      </c>
      <c r="W114" s="22">
        <f>'Activity data'!W73*UDSOEF*NtoN2O*kgtoGg</f>
        <v>0.70709872558596065</v>
      </c>
      <c r="X114" s="22">
        <f>'Activity data'!X73*UDSOEF*NtoN2O*kgtoGg</f>
        <v>0.69784500508112535</v>
      </c>
      <c r="Y114" s="22">
        <f>'Activity data'!Y73*UDSOEF*NtoN2O*kgtoGg</f>
        <v>0.69717721081788997</v>
      </c>
      <c r="Z114" s="22">
        <f>'Activity data'!Z73*UDSOEF*NtoN2O*kgtoGg</f>
        <v>0.69943499142216237</v>
      </c>
      <c r="AA114" s="22">
        <f>'Activity data'!AA73*UDSOEF*NtoN2O*kgtoGg</f>
        <v>0.6969546127301447</v>
      </c>
      <c r="AB114" s="22">
        <f>'Activity data'!AB73*UDSOEF*NtoN2O*kgtoGg</f>
        <v>0.68347152855815141</v>
      </c>
      <c r="AC114" s="22">
        <f>'Activity data'!AC73*UDSOEF*NtoN2O*kgtoGg</f>
        <v>0.67812917445226706</v>
      </c>
      <c r="AD114" s="22">
        <f>'Activity data'!AD73*UDSOEF*NtoN2O*kgtoGg</f>
        <v>0.64751617283985219</v>
      </c>
      <c r="AE114" s="22">
        <f>'Activity data'!AE73*UDSOEF*NtoN2O*kgtoGg</f>
        <v>0.64788024768786745</v>
      </c>
      <c r="AF114" s="22">
        <f>'Activity data'!AF73*UDSOEF*NtoN2O*kgtoGg</f>
        <v>0.64867576223180612</v>
      </c>
      <c r="AG114" s="22">
        <f>'Activity data'!AG73*UDSOEF*NtoN2O*kgtoGg</f>
        <v>0.64988145918455031</v>
      </c>
      <c r="AH114" s="22">
        <f>'Activity data'!AH73*UDSOEF*NtoN2O*kgtoGg</f>
        <v>0.6514853567845742</v>
      </c>
      <c r="AI114" s="22">
        <f>'Activity data'!AI73*UDSOEF*NtoN2O*kgtoGg</f>
        <v>0.65350096963777149</v>
      </c>
      <c r="AJ114" s="22">
        <f>'Activity data'!AJ73*UDSOEF*NtoN2O*kgtoGg</f>
        <v>0.65574951985671648</v>
      </c>
      <c r="AK114" s="22">
        <f>'Activity data'!AK73*UDSOEF*NtoN2O*kgtoGg</f>
        <v>0.65822482142510341</v>
      </c>
      <c r="AL114" s="22">
        <f>'Activity data'!AL73*UDSOEF*NtoN2O*kgtoGg</f>
        <v>0.66050683359090145</v>
      </c>
      <c r="AM114" s="22">
        <f>'Activity data'!AM73*UDSOEF*NtoN2O*kgtoGg</f>
        <v>0.66222090286447199</v>
      </c>
      <c r="AN114" s="22">
        <f>'Activity data'!AN73*UDSOEF*NtoN2O*kgtoGg</f>
        <v>0.66370712942000765</v>
      </c>
      <c r="AO114" s="22">
        <f>'Activity data'!AO73*UDSOEF*NtoN2O*kgtoGg</f>
        <v>0.66495636280649217</v>
      </c>
      <c r="AP114" s="22">
        <f>'Activity data'!AP73*UDSOEF*NtoN2O*kgtoGg</f>
        <v>0.66621068335765199</v>
      </c>
      <c r="AQ114" s="22">
        <f>'Activity data'!AQ73*UDSOEF*NtoN2O*kgtoGg</f>
        <v>0.66745232894875961</v>
      </c>
      <c r="AR114" s="22">
        <f>'Activity data'!AR73*UDSOEF*NtoN2O*kgtoGg</f>
        <v>0.66868798265771168</v>
      </c>
      <c r="AS114" s="22">
        <f>'Activity data'!AS73*UDSOEF*NtoN2O*kgtoGg</f>
        <v>0.66989826352300696</v>
      </c>
      <c r="AT114" s="22">
        <f>'Activity data'!AT73*UDSOEF*NtoN2O*kgtoGg</f>
        <v>0.6710773752444017</v>
      </c>
      <c r="AU114" s="22">
        <f>'Activity data'!AU73*UDSOEF*NtoN2O*kgtoGg</f>
        <v>0.67224743698079681</v>
      </c>
      <c r="AV114" s="22">
        <f>'Activity data'!AV73*UDSOEF*NtoN2O*kgtoGg</f>
        <v>0.67337866294127713</v>
      </c>
      <c r="AW114" s="22">
        <f>'Activity data'!AW73*UDSOEF*NtoN2O*kgtoGg</f>
        <v>0.67451210914691406</v>
      </c>
      <c r="AX114" s="22">
        <f>'Activity data'!AX73*UDSOEF*NtoN2O*kgtoGg</f>
        <v>0.67561742208979714</v>
      </c>
      <c r="AY114" s="22">
        <f>'Activity data'!AY73*UDSOEF*NtoN2O*kgtoGg</f>
        <v>0.67669027011285421</v>
      </c>
      <c r="AZ114" s="22">
        <f>'Activity data'!AZ73*UDSOEF*NtoN2O*kgtoGg</f>
        <v>0.67772548815722833</v>
      </c>
      <c r="BA114" s="22">
        <f>'Activity data'!BA73*UDSOEF*NtoN2O*kgtoGg</f>
        <v>0.67873179507387649</v>
      </c>
      <c r="BB114" s="22">
        <f>'Activity data'!BB73*UDSOEF*NtoN2O*kgtoGg</f>
        <v>0.67970516154580918</v>
      </c>
      <c r="BC114" s="22">
        <f>'Activity data'!BC73*UDSOEF*NtoN2O*kgtoGg</f>
        <v>0.68063909633028852</v>
      </c>
      <c r="BD114" s="22">
        <f>'Activity data'!BD73*UDSOEF*NtoN2O*kgtoGg</f>
        <v>0.68152308802213335</v>
      </c>
      <c r="BE114" s="22">
        <f>'Activity data'!BE73*UDSOEF*NtoN2O*kgtoGg</f>
        <v>0.6823700920406256</v>
      </c>
      <c r="BF114" s="22">
        <f>'Activity data'!BF73*UDSOEF*NtoN2O*kgtoGg</f>
        <v>0.68318101737086678</v>
      </c>
      <c r="BG114" s="22">
        <f>'Activity data'!BG73*UDSOEF*NtoN2O*kgtoGg</f>
        <v>0.68395090511218626</v>
      </c>
      <c r="BH114" s="22">
        <f>'Activity data'!BH73*UDSOEF*NtoN2O*kgtoGg</f>
        <v>0.68467628021975102</v>
      </c>
      <c r="BI114" s="22">
        <f>'Activity data'!BI73*UDSOEF*NtoN2O*kgtoGg</f>
        <v>0.68535470967429279</v>
      </c>
      <c r="BJ114" s="22">
        <f>'Activity data'!BJ73*UDSOEF*NtoN2O*kgtoGg</f>
        <v>0.68598407167619035</v>
      </c>
      <c r="BK114" s="22">
        <f>'Activity data'!BK73*UDSOEF*NtoN2O*kgtoGg</f>
        <v>0.68656359892622243</v>
      </c>
      <c r="BL114" s="22">
        <f>'Activity data'!BL73*UDSOEF*NtoN2O*kgtoGg</f>
        <v>0.68707079927660375</v>
      </c>
      <c r="BM114" s="22">
        <f>'Activity data'!BM73*UDSOEF*NtoN2O*kgtoGg</f>
        <v>0.68752291373732788</v>
      </c>
      <c r="BN114" s="22">
        <f>'Activity data'!BN73*UDSOEF*NtoN2O*kgtoGg</f>
        <v>0.68791944271108019</v>
      </c>
      <c r="BO114" s="22">
        <f>'Activity data'!BO73*UDSOEF*NtoN2O*kgtoGg</f>
        <v>0.68825798319181219</v>
      </c>
      <c r="BP114" s="22">
        <f>'Activity data'!BP73*UDSOEF*NtoN2O*kgtoGg</f>
        <v>0.68854150576235063</v>
      </c>
    </row>
    <row r="115" spans="1:68" x14ac:dyDescent="0.25">
      <c r="A115" t="str">
        <f t="shared" si="29"/>
        <v>3C Aggregated and non-CO2 emissions on land</v>
      </c>
      <c r="B115" t="str">
        <f t="shared" si="31"/>
        <v>3C4 Direct N2O from managed soils (N2O)</v>
      </c>
      <c r="C115" t="s">
        <v>422</v>
      </c>
      <c r="D115" t="str">
        <f t="shared" si="38"/>
        <v xml:space="preserve"> - Commercial goats</v>
      </c>
      <c r="E115" t="str">
        <f t="shared" si="32"/>
        <v>U&amp;D emissions - Commercial goats</v>
      </c>
      <c r="F115" t="str">
        <f t="shared" si="36"/>
        <v>N2O</v>
      </c>
      <c r="G115" t="str">
        <f t="shared" si="37"/>
        <v>Gg N2O</v>
      </c>
      <c r="H115" s="22">
        <f>'Activity data'!H74*UDSOEF*NtoN2O*kgtoGg</f>
        <v>0.9618222082748461</v>
      </c>
      <c r="I115" s="22">
        <f>'Activity data'!I74*UDSOEF*NtoN2O*kgtoGg</f>
        <v>0.85052266650980479</v>
      </c>
      <c r="J115" s="22">
        <f>'Activity data'!J74*UDSOEF*NtoN2O*kgtoGg</f>
        <v>0.79227243904398814</v>
      </c>
      <c r="K115" s="22">
        <f>'Activity data'!K74*UDSOEF*NtoN2O*kgtoGg</f>
        <v>0.74858476844462585</v>
      </c>
      <c r="L115" s="22">
        <f>'Activity data'!L74*UDSOEF*NtoN2O*kgtoGg</f>
        <v>0.81030227135483579</v>
      </c>
      <c r="M115" s="22">
        <f>'Activity data'!M74*UDSOEF*NtoN2O*kgtoGg</f>
        <v>0.82139755277689641</v>
      </c>
      <c r="N115" s="22">
        <f>'Activity data'!N74*UDSOEF*NtoN2O*kgtoGg</f>
        <v>0.83422647192115318</v>
      </c>
      <c r="O115" s="22">
        <f>'Activity data'!O74*UDSOEF*NtoN2O*kgtoGg</f>
        <v>0.83006574138788081</v>
      </c>
      <c r="P115" s="22">
        <f>'Activity data'!P74*UDSOEF*NtoN2O*kgtoGg</f>
        <v>0.81827700487694188</v>
      </c>
      <c r="Q115" s="22">
        <f>'Activity data'!Q74*UDSOEF*NtoN2O*kgtoGg</f>
        <v>0.80614154082156364</v>
      </c>
      <c r="R115" s="22">
        <f>'Activity data'!R74*UDSOEF*NtoN2O*kgtoGg</f>
        <v>0.81654336715474485</v>
      </c>
      <c r="S115" s="22">
        <f>'Activity data'!S74*UDSOEF*NtoN2O*kgtoGg</f>
        <v>0.84150775035438052</v>
      </c>
      <c r="T115" s="22">
        <f>'Activity data'!T74*UDSOEF*NtoN2O*kgtoGg</f>
        <v>0.76834823847767098</v>
      </c>
      <c r="U115" s="22">
        <f>'Activity data'!U74*UDSOEF*NtoN2O*kgtoGg</f>
        <v>0.7489314959890655</v>
      </c>
      <c r="V115" s="22">
        <f>'Activity data'!V74*UDSOEF*NtoN2O*kgtoGg</f>
        <v>0.75031840616682322</v>
      </c>
      <c r="W115" s="22">
        <f>'Activity data'!W74*UDSOEF*NtoN2O*kgtoGg</f>
        <v>0.74061003492252009</v>
      </c>
      <c r="X115" s="22">
        <f>'Activity data'!X74*UDSOEF*NtoN2O*kgtoGg</f>
        <v>0.75621277442229229</v>
      </c>
      <c r="Y115" s="22">
        <f>'Activity data'!Y74*UDSOEF*NtoN2O*kgtoGg</f>
        <v>0.73367548403373262</v>
      </c>
      <c r="Z115" s="22">
        <f>'Activity data'!Z74*UDSOEF*NtoN2O*kgtoGg</f>
        <v>0.73298202894485398</v>
      </c>
      <c r="AA115" s="22">
        <f>'Activity data'!AA74*UDSOEF*NtoN2O*kgtoGg</f>
        <v>0.72015310980059655</v>
      </c>
      <c r="AB115" s="22">
        <f>'Activity data'!AB74*UDSOEF*NtoN2O*kgtoGg</f>
        <v>0.71148492118961226</v>
      </c>
      <c r="AC115" s="22">
        <f>'Activity data'!AC74*UDSOEF*NtoN2O*kgtoGg</f>
        <v>0.704897097845264</v>
      </c>
      <c r="AD115" s="22">
        <f>'Activity data'!AD74*UDSOEF*NtoN2O*kgtoGg</f>
        <v>0.7170162747245743</v>
      </c>
      <c r="AE115" s="22">
        <f>'Activity data'!AE74*UDSOEF*NtoN2O*kgtoGg</f>
        <v>0.71890490298131304</v>
      </c>
      <c r="AF115" s="22">
        <f>'Activity data'!AF74*UDSOEF*NtoN2O*kgtoGg</f>
        <v>0.72140362460158469</v>
      </c>
      <c r="AG115" s="22">
        <f>'Activity data'!AG74*UDSOEF*NtoN2O*kgtoGg</f>
        <v>0.72448659311913144</v>
      </c>
      <c r="AH115" s="22">
        <f>'Activity data'!AH74*UDSOEF*NtoN2O*kgtoGg</f>
        <v>0.72814192536918221</v>
      </c>
      <c r="AI115" s="22">
        <f>'Activity data'!AI74*UDSOEF*NtoN2O*kgtoGg</f>
        <v>0.73240008578250893</v>
      </c>
      <c r="AJ115" s="22">
        <f>'Activity data'!AJ74*UDSOEF*NtoN2O*kgtoGg</f>
        <v>0.73695777883664781</v>
      </c>
      <c r="AK115" s="22">
        <f>'Activity data'!AK74*UDSOEF*NtoN2O*kgtoGg</f>
        <v>0.74181091797879872</v>
      </c>
      <c r="AL115" s="22">
        <f>'Activity data'!AL74*UDSOEF*NtoN2O*kgtoGg</f>
        <v>0.74624392810596518</v>
      </c>
      <c r="AM115" s="22">
        <f>'Activity data'!AM74*UDSOEF*NtoN2O*kgtoGg</f>
        <v>0.74962547751773256</v>
      </c>
      <c r="AN115" s="22">
        <f>'Activity data'!AN74*UDSOEF*NtoN2O*kgtoGg</f>
        <v>0.7525502967931238</v>
      </c>
      <c r="AO115" s="22">
        <f>'Activity data'!AO74*UDSOEF*NtoN2O*kgtoGg</f>
        <v>0.75501118561697722</v>
      </c>
      <c r="AP115" s="22">
        <f>'Activity data'!AP74*UDSOEF*NtoN2O*kgtoGg</f>
        <v>0.75742726142705241</v>
      </c>
      <c r="AQ115" s="22">
        <f>'Activity data'!AQ74*UDSOEF*NtoN2O*kgtoGg</f>
        <v>0.75977250072962543</v>
      </c>
      <c r="AR115" s="22">
        <f>'Activity data'!AR74*UDSOEF*NtoN2O*kgtoGg</f>
        <v>0.76206204825761292</v>
      </c>
      <c r="AS115" s="22">
        <f>'Activity data'!AS74*UDSOEF*NtoN2O*kgtoGg</f>
        <v>0.76426654863686938</v>
      </c>
      <c r="AT115" s="22">
        <f>'Activity data'!AT74*UDSOEF*NtoN2O*kgtoGg</f>
        <v>0.76637946570593118</v>
      </c>
      <c r="AU115" s="22">
        <f>'Activity data'!AU74*UDSOEF*NtoN2O*kgtoGg</f>
        <v>0.76844094941899721</v>
      </c>
      <c r="AV115" s="22">
        <f>'Activity data'!AV74*UDSOEF*NtoN2O*kgtoGg</f>
        <v>0.7704035178361277</v>
      </c>
      <c r="AW115" s="22">
        <f>'Activity data'!AW74*UDSOEF*NtoN2O*kgtoGg</f>
        <v>0.77233842687599541</v>
      </c>
      <c r="AX115" s="22">
        <f>'Activity data'!AX74*UDSOEF*NtoN2O*kgtoGg</f>
        <v>0.77419689660011182</v>
      </c>
      <c r="AY115" s="22">
        <f>'Activity data'!AY74*UDSOEF*NtoN2O*kgtoGg</f>
        <v>0.77597375065419028</v>
      </c>
      <c r="AZ115" s="22">
        <f>'Activity data'!AZ74*UDSOEF*NtoN2O*kgtoGg</f>
        <v>0.77766231746705161</v>
      </c>
      <c r="BA115" s="22">
        <f>'Activity data'!BA74*UDSOEF*NtoN2O*kgtoGg</f>
        <v>0.77927889397656147</v>
      </c>
      <c r="BB115" s="22">
        <f>'Activity data'!BB74*UDSOEF*NtoN2O*kgtoGg</f>
        <v>0.78081840685036286</v>
      </c>
      <c r="BC115" s="22">
        <f>'Activity data'!BC74*UDSOEF*NtoN2O*kgtoGg</f>
        <v>0.78227164256111303</v>
      </c>
      <c r="BD115" s="22">
        <f>'Activity data'!BD74*UDSOEF*NtoN2O*kgtoGg</f>
        <v>0.78362272217273898</v>
      </c>
      <c r="BE115" s="22">
        <f>'Activity data'!BE74*UDSOEF*NtoN2O*kgtoGg</f>
        <v>0.78489446658856998</v>
      </c>
      <c r="BF115" s="22">
        <f>'Activity data'!BF74*UDSOEF*NtoN2O*kgtoGg</f>
        <v>0.78608963479116356</v>
      </c>
      <c r="BG115" s="22">
        <f>'Activity data'!BG74*UDSOEF*NtoN2O*kgtoGg</f>
        <v>0.78720125919148565</v>
      </c>
      <c r="BH115" s="22">
        <f>'Activity data'!BH74*UDSOEF*NtoN2O*kgtoGg</f>
        <v>0.78822478862531065</v>
      </c>
      <c r="BI115" s="22">
        <f>'Activity data'!BI74*UDSOEF*NtoN2O*kgtoGg</f>
        <v>0.7891573487909852</v>
      </c>
      <c r="BJ115" s="22">
        <f>'Activity data'!BJ74*UDSOEF*NtoN2O*kgtoGg</f>
        <v>0.78999653832250938</v>
      </c>
      <c r="BK115" s="22">
        <f>'Activity data'!BK74*UDSOEF*NtoN2O*kgtoGg</f>
        <v>0.79074213035908292</v>
      </c>
      <c r="BL115" s="22">
        <f>'Activity data'!BL74*UDSOEF*NtoN2O*kgtoGg</f>
        <v>0.79135847981301299</v>
      </c>
      <c r="BM115" s="22">
        <f>'Activity data'!BM74*UDSOEF*NtoN2O*kgtoGg</f>
        <v>0.79187472045876317</v>
      </c>
      <c r="BN115" s="22">
        <f>'Activity data'!BN74*UDSOEF*NtoN2O*kgtoGg</f>
        <v>0.79229096275268929</v>
      </c>
      <c r="BO115" s="22">
        <f>'Activity data'!BO74*UDSOEF*NtoN2O*kgtoGg</f>
        <v>0.79260419515264446</v>
      </c>
      <c r="BP115" s="22">
        <f>'Activity data'!BP74*UDSOEF*NtoN2O*kgtoGg</f>
        <v>0.79282008417856042</v>
      </c>
    </row>
    <row r="116" spans="1:68" x14ac:dyDescent="0.25">
      <c r="A116" t="str">
        <f t="shared" si="29"/>
        <v>3C Aggregated and non-CO2 emissions on land</v>
      </c>
      <c r="B116" t="str">
        <f t="shared" si="31"/>
        <v>3C4 Direct N2O from managed soils (N2O)</v>
      </c>
      <c r="C116" t="s">
        <v>422</v>
      </c>
      <c r="D116" t="str">
        <f t="shared" si="38"/>
        <v xml:space="preserve"> - Subsistence goats</v>
      </c>
      <c r="E116" t="str">
        <f t="shared" si="32"/>
        <v>U&amp;D emissions - Subsistence goats</v>
      </c>
      <c r="F116" t="str">
        <f t="shared" si="36"/>
        <v>N2O</v>
      </c>
      <c r="G116" t="str">
        <f t="shared" si="37"/>
        <v>Gg N2O</v>
      </c>
      <c r="H116" s="22">
        <f>'Activity data'!H75*UDSOEF*NtoN2O*kgtoGg</f>
        <v>1.619719745746157</v>
      </c>
      <c r="I116" s="22">
        <f>'Activity data'!I75*UDSOEF*NtoN2O*kgtoGg</f>
        <v>1.4322900275109314</v>
      </c>
      <c r="J116" s="22">
        <f>'Activity data'!J75*UDSOEF*NtoN2O*kgtoGg</f>
        <v>1.334195969369131</v>
      </c>
      <c r="K116" s="22">
        <f>'Activity data'!K75*UDSOEF*NtoN2O*kgtoGg</f>
        <v>1.2606254257627807</v>
      </c>
      <c r="L116" s="22">
        <f>'Activity data'!L75*UDSOEF*NtoN2O*kgtoGg</f>
        <v>1.3645584159368309</v>
      </c>
      <c r="M116" s="22">
        <f>'Activity data'!M75*UDSOEF*NtoN2O*kgtoGg</f>
        <v>1.3832429984400314</v>
      </c>
      <c r="N116" s="22">
        <f>'Activity data'!N75*UDSOEF*NtoN2O*kgtoGg</f>
        <v>1.4048470469593564</v>
      </c>
      <c r="O116" s="22">
        <f>'Activity data'!O75*UDSOEF*NtoN2O*kgtoGg</f>
        <v>1.3978403285206562</v>
      </c>
      <c r="P116" s="22">
        <f>'Activity data'!P75*UDSOEF*NtoN2O*kgtoGg</f>
        <v>1.3779879596110063</v>
      </c>
      <c r="Q116" s="22">
        <f>'Activity data'!Q75*UDSOEF*NtoN2O*kgtoGg</f>
        <v>1.3575516974981312</v>
      </c>
      <c r="R116" s="22">
        <f>'Activity data'!R75*UDSOEF*NtoN2O*kgtoGg</f>
        <v>1.3750684935948814</v>
      </c>
      <c r="S116" s="22">
        <f>'Activity data'!S75*UDSOEF*NtoN2O*kgtoGg</f>
        <v>1.4171088042270812</v>
      </c>
      <c r="T116" s="22">
        <f>'Activity data'!T75*UDSOEF*NtoN2O*kgtoGg</f>
        <v>1.2939073383466055</v>
      </c>
      <c r="U116" s="22">
        <f>'Activity data'!U75*UDSOEF*NtoN2O*kgtoGg</f>
        <v>1.2612093189660056</v>
      </c>
      <c r="V116" s="22">
        <f>'Activity data'!V75*UDSOEF*NtoN2O*kgtoGg</f>
        <v>1.2635448917789056</v>
      </c>
      <c r="W116" s="22">
        <f>'Activity data'!W75*UDSOEF*NtoN2O*kgtoGg</f>
        <v>1.2471958820886055</v>
      </c>
      <c r="X116" s="22">
        <f>'Activity data'!X75*UDSOEF*NtoN2O*kgtoGg</f>
        <v>1.2734710762337309</v>
      </c>
      <c r="Y116" s="22">
        <f>'Activity data'!Y75*UDSOEF*NtoN2O*kgtoGg</f>
        <v>1.2355180180241057</v>
      </c>
      <c r="Z116" s="22">
        <f>'Activity data'!Z75*UDSOEF*NtoN2O*kgtoGg</f>
        <v>1.2343502316176553</v>
      </c>
      <c r="AA116" s="22">
        <f>'Activity data'!AA75*UDSOEF*NtoN2O*kgtoGg</f>
        <v>1.2127461830983304</v>
      </c>
      <c r="AB116" s="22">
        <f>'Activity data'!AB75*UDSOEF*NtoN2O*kgtoGg</f>
        <v>1.1981488530177054</v>
      </c>
      <c r="AC116" s="22">
        <f>'Activity data'!AC75*UDSOEF*NtoN2O*kgtoGg</f>
        <v>1.1870548821564302</v>
      </c>
      <c r="AD116" s="22">
        <f>'Activity data'!AD75*UDSOEF*NtoN2O*kgtoGg</f>
        <v>1.1866473701874491</v>
      </c>
      <c r="AE116" s="22">
        <f>'Activity data'!AE75*UDSOEF*NtoN2O*kgtoGg</f>
        <v>1.1897730115893568</v>
      </c>
      <c r="AF116" s="22">
        <f>'Activity data'!AF75*UDSOEF*NtoN2O*kgtoGg</f>
        <v>1.1939083451153147</v>
      </c>
      <c r="AG116" s="22">
        <f>'Activity data'!AG75*UDSOEF*NtoN2O*kgtoGg</f>
        <v>1.1990105953886756</v>
      </c>
      <c r="AH116" s="22">
        <f>'Activity data'!AH75*UDSOEF*NtoN2O*kgtoGg</f>
        <v>1.2050600960131208</v>
      </c>
      <c r="AI116" s="22">
        <f>'Activity data'!AI75*UDSOEF*NtoN2O*kgtoGg</f>
        <v>1.2121072650027669</v>
      </c>
      <c r="AJ116" s="22">
        <f>'Activity data'!AJ75*UDSOEF*NtoN2O*kgtoGg</f>
        <v>1.2196501544286631</v>
      </c>
      <c r="AK116" s="22">
        <f>'Activity data'!AK75*UDSOEF*NtoN2O*kgtoGg</f>
        <v>1.2276820011289342</v>
      </c>
      <c r="AL116" s="22">
        <f>'Activity data'!AL75*UDSOEF*NtoN2O*kgtoGg</f>
        <v>1.2350185428433285</v>
      </c>
      <c r="AM116" s="22">
        <f>'Activity data'!AM75*UDSOEF*NtoN2O*kgtoGg</f>
        <v>1.2406149384316632</v>
      </c>
      <c r="AN116" s="22">
        <f>'Activity data'!AN75*UDSOEF*NtoN2O*kgtoGg</f>
        <v>1.2454554549216825</v>
      </c>
      <c r="AO116" s="22">
        <f>'Activity data'!AO75*UDSOEF*NtoN2O*kgtoGg</f>
        <v>1.2495281759380514</v>
      </c>
      <c r="AP116" s="22">
        <f>'Activity data'!AP75*UDSOEF*NtoN2O*kgtoGg</f>
        <v>1.2535267323268873</v>
      </c>
      <c r="AQ116" s="22">
        <f>'Activity data'!AQ75*UDSOEF*NtoN2O*kgtoGg</f>
        <v>1.2574080557346825</v>
      </c>
      <c r="AR116" s="22">
        <f>'Activity data'!AR75*UDSOEF*NtoN2O*kgtoGg</f>
        <v>1.2611972103867848</v>
      </c>
      <c r="AS116" s="22">
        <f>'Activity data'!AS75*UDSOEF*NtoN2O*kgtoGg</f>
        <v>1.2648456137352673</v>
      </c>
      <c r="AT116" s="22">
        <f>'Activity data'!AT75*UDSOEF*NtoN2O*kgtoGg</f>
        <v>1.2683424485656754</v>
      </c>
      <c r="AU116" s="22">
        <f>'Activity data'!AU75*UDSOEF*NtoN2O*kgtoGg</f>
        <v>1.2717541622366573</v>
      </c>
      <c r="AV116" s="22">
        <f>'Activity data'!AV75*UDSOEF*NtoN2O*kgtoGg</f>
        <v>1.2750021731020946</v>
      </c>
      <c r="AW116" s="22">
        <f>'Activity data'!AW75*UDSOEF*NtoN2O*kgtoGg</f>
        <v>1.2782044082599964</v>
      </c>
      <c r="AX116" s="22">
        <f>'Activity data'!AX75*UDSOEF*NtoN2O*kgtoGg</f>
        <v>1.2812801379030132</v>
      </c>
      <c r="AY116" s="22">
        <f>'Activity data'!AY75*UDSOEF*NtoN2O*kgtoGg</f>
        <v>1.2842207952699456</v>
      </c>
      <c r="AZ116" s="22">
        <f>'Activity data'!AZ75*UDSOEF*NtoN2O*kgtoGg</f>
        <v>1.2870153390460084</v>
      </c>
      <c r="BA116" s="22">
        <f>'Activity data'!BA75*UDSOEF*NtoN2O*kgtoGg</f>
        <v>1.2896907403323372</v>
      </c>
      <c r="BB116" s="22">
        <f>'Activity data'!BB75*UDSOEF*NtoN2O*kgtoGg</f>
        <v>1.2922386028669328</v>
      </c>
      <c r="BC116" s="22">
        <f>'Activity data'!BC75*UDSOEF*NtoN2O*kgtoGg</f>
        <v>1.2946436784491946</v>
      </c>
      <c r="BD116" s="22">
        <f>'Activity data'!BD75*UDSOEF*NtoN2O*kgtoGg</f>
        <v>1.2968796877624633</v>
      </c>
      <c r="BE116" s="22">
        <f>'Activity data'!BE75*UDSOEF*NtoN2O*kgtoGg</f>
        <v>1.2989843989381988</v>
      </c>
      <c r="BF116" s="22">
        <f>'Activity data'!BF75*UDSOEF*NtoN2O*kgtoGg</f>
        <v>1.300962378036489</v>
      </c>
      <c r="BG116" s="22">
        <f>'Activity data'!BG75*UDSOEF*NtoN2O*kgtoGg</f>
        <v>1.3028020938390139</v>
      </c>
      <c r="BH116" s="22">
        <f>'Activity data'!BH75*UDSOEF*NtoN2O*kgtoGg</f>
        <v>1.3044960142614261</v>
      </c>
      <c r="BI116" s="22">
        <f>'Activity data'!BI75*UDSOEF*NtoN2O*kgtoGg</f>
        <v>1.3060393823928738</v>
      </c>
      <c r="BJ116" s="22">
        <f>'Activity data'!BJ75*UDSOEF*NtoN2O*kgtoGg</f>
        <v>1.3074282240214055</v>
      </c>
      <c r="BK116" s="22">
        <f>'Activity data'!BK75*UDSOEF*NtoN2O*kgtoGg</f>
        <v>1.3086621636970042</v>
      </c>
      <c r="BL116" s="22">
        <f>'Activity data'!BL75*UDSOEF*NtoN2O*kgtoGg</f>
        <v>1.3096822095235836</v>
      </c>
      <c r="BM116" s="22">
        <f>'Activity data'!BM75*UDSOEF*NtoN2O*kgtoGg</f>
        <v>1.3105365773060982</v>
      </c>
      <c r="BN116" s="22">
        <f>'Activity data'!BN75*UDSOEF*NtoN2O*kgtoGg</f>
        <v>1.3112254498475731</v>
      </c>
      <c r="BO116" s="22">
        <f>'Activity data'!BO75*UDSOEF*NtoN2O*kgtoGg</f>
        <v>1.311743843106927</v>
      </c>
      <c r="BP116" s="22">
        <f>'Activity data'!BP75*UDSOEF*NtoN2O*kgtoGg</f>
        <v>1.3121011350595455</v>
      </c>
    </row>
    <row r="117" spans="1:68" x14ac:dyDescent="0.25">
      <c r="A117" t="str">
        <f t="shared" si="29"/>
        <v>3C Aggregated and non-CO2 emissions on land</v>
      </c>
      <c r="B117" t="str">
        <f t="shared" si="31"/>
        <v>3C4 Direct N2O from managed soils (N2O)</v>
      </c>
      <c r="C117" t="s">
        <v>422</v>
      </c>
      <c r="D117" t="str">
        <f t="shared" si="38"/>
        <v xml:space="preserve"> - Horses</v>
      </c>
      <c r="E117" t="str">
        <f t="shared" si="32"/>
        <v>U&amp;D emissions - Horses</v>
      </c>
      <c r="F117" t="str">
        <f t="shared" si="36"/>
        <v>N2O</v>
      </c>
      <c r="G117" t="str">
        <f t="shared" si="37"/>
        <v>Gg N2O</v>
      </c>
      <c r="H117" s="22">
        <f>'Activity data'!H76*UDSOEF*NtoN2O*kgtoGg</f>
        <v>0.1427642857142857</v>
      </c>
      <c r="I117" s="22">
        <f>'Activity data'!I76*UDSOEF*NtoN2O*kgtoGg</f>
        <v>0.1427642857142857</v>
      </c>
      <c r="J117" s="22">
        <f>'Activity data'!J76*UDSOEF*NtoN2O*kgtoGg</f>
        <v>0.1427642857142857</v>
      </c>
      <c r="K117" s="22">
        <f>'Activity data'!K76*UDSOEF*NtoN2O*kgtoGg</f>
        <v>0.14586785714285713</v>
      </c>
      <c r="L117" s="22">
        <f>'Activity data'!L76*UDSOEF*NtoN2O*kgtoGg</f>
        <v>0.14897142857142856</v>
      </c>
      <c r="M117" s="22">
        <f>'Activity data'!M76*UDSOEF*NtoN2O*kgtoGg</f>
        <v>0.15207499999999999</v>
      </c>
      <c r="N117" s="22">
        <f>'Activity data'!N76*UDSOEF*NtoN2O*kgtoGg</f>
        <v>0.15517857142857142</v>
      </c>
      <c r="O117" s="22">
        <f>'Activity data'!O76*UDSOEF*NtoN2O*kgtoGg</f>
        <v>0.15828214285714284</v>
      </c>
      <c r="P117" s="22">
        <f>'Activity data'!P76*UDSOEF*NtoN2O*kgtoGg</f>
        <v>0.16138571428571427</v>
      </c>
      <c r="Q117" s="22">
        <f>'Activity data'!Q76*UDSOEF*NtoN2O*kgtoGg</f>
        <v>0.16014428571428571</v>
      </c>
      <c r="R117" s="22">
        <f>'Activity data'!R76*UDSOEF*NtoN2O*kgtoGg</f>
        <v>0.16759285714285713</v>
      </c>
      <c r="S117" s="22">
        <f>'Activity data'!S76*UDSOEF*NtoN2O*kgtoGg</f>
        <v>0.16759285714285713</v>
      </c>
      <c r="T117" s="22">
        <f>'Activity data'!T76*UDSOEF*NtoN2O*kgtoGg</f>
        <v>0.16759285714285713</v>
      </c>
      <c r="U117" s="22">
        <f>'Activity data'!U76*UDSOEF*NtoN2O*kgtoGg</f>
        <v>0.16759285714285713</v>
      </c>
      <c r="V117" s="22">
        <f>'Activity data'!V76*UDSOEF*NtoN2O*kgtoGg</f>
        <v>0.16759285714285713</v>
      </c>
      <c r="W117" s="22">
        <f>'Activity data'!W76*UDSOEF*NtoN2O*kgtoGg</f>
        <v>0.16759285714285713</v>
      </c>
      <c r="X117" s="22">
        <f>'Activity data'!X76*UDSOEF*NtoN2O*kgtoGg</f>
        <v>0.17379999999999998</v>
      </c>
      <c r="Y117" s="22">
        <f>'Activity data'!Y76*UDSOEF*NtoN2O*kgtoGg</f>
        <v>0.18000714285714284</v>
      </c>
      <c r="Z117" s="22">
        <f>'Activity data'!Z76*UDSOEF*NtoN2O*kgtoGg</f>
        <v>0.18497285714285713</v>
      </c>
      <c r="AA117" s="22">
        <f>'Activity data'!AA76*UDSOEF*NtoN2O*kgtoGg</f>
        <v>0.18621428571428569</v>
      </c>
      <c r="AB117" s="22">
        <f>'Activity data'!AB76*UDSOEF*NtoN2O*kgtoGg</f>
        <v>0.18621428571428569</v>
      </c>
      <c r="AC117" s="22">
        <f>'Activity data'!AC76*UDSOEF*NtoN2O*kgtoGg</f>
        <v>0.18931785714285712</v>
      </c>
      <c r="AD117" s="22">
        <f>'Activity data'!AD76*UDSOEF*NtoN2O*kgtoGg</f>
        <v>0.19183532846442342</v>
      </c>
      <c r="AE117" s="22">
        <f>'Activity data'!AE76*UDSOEF*NtoN2O*kgtoGg</f>
        <v>0.19328284473159041</v>
      </c>
      <c r="AF117" s="22">
        <f>'Activity data'!AF76*UDSOEF*NtoN2O*kgtoGg</f>
        <v>0.19367148488191491</v>
      </c>
      <c r="AG117" s="22">
        <f>'Activity data'!AG76*UDSOEF*NtoN2O*kgtoGg</f>
        <v>0.19320526951534864</v>
      </c>
      <c r="AH117" s="22">
        <f>'Activity data'!AH76*UDSOEF*NtoN2O*kgtoGg</f>
        <v>0.19218133874397694</v>
      </c>
      <c r="AI117" s="22">
        <f>'Activity data'!AI76*UDSOEF*NtoN2O*kgtoGg</f>
        <v>0.19146962807942164</v>
      </c>
      <c r="AJ117" s="22">
        <f>'Activity data'!AJ76*UDSOEF*NtoN2O*kgtoGg</f>
        <v>0.19096573501560377</v>
      </c>
      <c r="AK117" s="22">
        <f>'Activity data'!AK76*UDSOEF*NtoN2O*kgtoGg</f>
        <v>0.19039721437903798</v>
      </c>
      <c r="AL117" s="22">
        <f>'Activity data'!AL76*UDSOEF*NtoN2O*kgtoGg</f>
        <v>0.17869986179898426</v>
      </c>
      <c r="AM117" s="22">
        <f>'Activity data'!AM76*UDSOEF*NtoN2O*kgtoGg</f>
        <v>0.17974784189538032</v>
      </c>
      <c r="AN117" s="22">
        <f>'Activity data'!AN76*UDSOEF*NtoN2O*kgtoGg</f>
        <v>0.18087849910531506</v>
      </c>
      <c r="AO117" s="22">
        <f>'Activity data'!AO76*UDSOEF*NtoN2O*kgtoGg</f>
        <v>0.1823198984335688</v>
      </c>
      <c r="AP117" s="22">
        <f>'Activity data'!AP76*UDSOEF*NtoN2O*kgtoGg</f>
        <v>0.18392362840672391</v>
      </c>
      <c r="AQ117" s="22">
        <f>'Activity data'!AQ76*UDSOEF*NtoN2O*kgtoGg</f>
        <v>0.185489519433232</v>
      </c>
      <c r="AR117" s="22">
        <f>'Activity data'!AR76*UDSOEF*NtoN2O*kgtoGg</f>
        <v>0.18744128596762757</v>
      </c>
      <c r="AS117" s="22">
        <f>'Activity data'!AS76*UDSOEF*NtoN2O*kgtoGg</f>
        <v>0.18949376712302712</v>
      </c>
      <c r="AT117" s="22">
        <f>'Activity data'!AT76*UDSOEF*NtoN2O*kgtoGg</f>
        <v>0.19170379142396807</v>
      </c>
      <c r="AU117" s="22">
        <f>'Activity data'!AU76*UDSOEF*NtoN2O*kgtoGg</f>
        <v>0.19400103379859449</v>
      </c>
      <c r="AV117" s="22">
        <f>'Activity data'!AV76*UDSOEF*NtoN2O*kgtoGg</f>
        <v>0.1957834139361839</v>
      </c>
      <c r="AW117" s="22">
        <f>'Activity data'!AW76*UDSOEF*NtoN2O*kgtoGg</f>
        <v>0.19826547655314505</v>
      </c>
      <c r="AX117" s="22">
        <f>'Activity data'!AX76*UDSOEF*NtoN2O*kgtoGg</f>
        <v>0.20080640447730672</v>
      </c>
      <c r="AY117" s="22">
        <f>'Activity data'!AY76*UDSOEF*NtoN2O*kgtoGg</f>
        <v>0.20342925439500564</v>
      </c>
      <c r="AZ117" s="22">
        <f>'Activity data'!AZ76*UDSOEF*NtoN2O*kgtoGg</f>
        <v>0.20589454957989398</v>
      </c>
      <c r="BA117" s="22">
        <f>'Activity data'!BA76*UDSOEF*NtoN2O*kgtoGg</f>
        <v>0.20853849571123431</v>
      </c>
      <c r="BB117" s="22">
        <f>'Activity data'!BB76*UDSOEF*NtoN2O*kgtoGg</f>
        <v>0.21136487203152521</v>
      </c>
      <c r="BC117" s="22">
        <f>'Activity data'!BC76*UDSOEF*NtoN2O*kgtoGg</f>
        <v>0.21430966722021555</v>
      </c>
      <c r="BD117" s="22">
        <f>'Activity data'!BD76*UDSOEF*NtoN2O*kgtoGg</f>
        <v>0.21720374846387394</v>
      </c>
      <c r="BE117" s="22">
        <f>'Activity data'!BE76*UDSOEF*NtoN2O*kgtoGg</f>
        <v>0.220217046446369</v>
      </c>
      <c r="BF117" s="22">
        <f>'Activity data'!BF76*UDSOEF*NtoN2O*kgtoGg</f>
        <v>0.22345251941727809</v>
      </c>
      <c r="BG117" s="22">
        <f>'Activity data'!BG76*UDSOEF*NtoN2O*kgtoGg</f>
        <v>0.22686237668817852</v>
      </c>
      <c r="BH117" s="22">
        <f>'Activity data'!BH76*UDSOEF*NtoN2O*kgtoGg</f>
        <v>0.23043208239911309</v>
      </c>
      <c r="BI117" s="22">
        <f>'Activity data'!BI76*UDSOEF*NtoN2O*kgtoGg</f>
        <v>0.234169221205172</v>
      </c>
      <c r="BJ117" s="22">
        <f>'Activity data'!BJ76*UDSOEF*NtoN2O*kgtoGg</f>
        <v>0.23807569695781355</v>
      </c>
      <c r="BK117" s="22">
        <f>'Activity data'!BK76*UDSOEF*NtoN2O*kgtoGg</f>
        <v>0.24219298668440797</v>
      </c>
      <c r="BL117" s="22">
        <f>'Activity data'!BL76*UDSOEF*NtoN2O*kgtoGg</f>
        <v>0.24602774956489162</v>
      </c>
      <c r="BM117" s="22">
        <f>'Activity data'!BM76*UDSOEF*NtoN2O*kgtoGg</f>
        <v>0.25005753248052109</v>
      </c>
      <c r="BN117" s="22">
        <f>'Activity data'!BN76*UDSOEF*NtoN2O*kgtoGg</f>
        <v>0.25432092901068343</v>
      </c>
      <c r="BO117" s="22">
        <f>'Activity data'!BO76*UDSOEF*NtoN2O*kgtoGg</f>
        <v>0.25883928842892573</v>
      </c>
      <c r="BP117" s="22">
        <f>'Activity data'!BP76*UDSOEF*NtoN2O*kgtoGg</f>
        <v>0.26373011706189692</v>
      </c>
    </row>
    <row r="118" spans="1:68" x14ac:dyDescent="0.25">
      <c r="A118" t="str">
        <f t="shared" si="29"/>
        <v>3C Aggregated and non-CO2 emissions on land</v>
      </c>
      <c r="B118" t="str">
        <f t="shared" si="31"/>
        <v>3C4 Direct N2O from managed soils (N2O)</v>
      </c>
      <c r="C118" t="s">
        <v>422</v>
      </c>
      <c r="D118" t="str">
        <f t="shared" si="38"/>
        <v xml:space="preserve"> - Mules &amp; Asses</v>
      </c>
      <c r="E118" t="str">
        <f t="shared" si="32"/>
        <v>U&amp;D emissions - Mules &amp; Asses</v>
      </c>
      <c r="F118" t="str">
        <f t="shared" si="36"/>
        <v>N2O</v>
      </c>
      <c r="G118" t="str">
        <f t="shared" si="37"/>
        <v>Gg N2O</v>
      </c>
      <c r="H118" s="22">
        <f>'Activity data'!H77*UDSOEF*NtoN2O*kgtoGg</f>
        <v>4.6463999999999998E-2</v>
      </c>
      <c r="I118" s="22">
        <f>'Activity data'!I77*UDSOEF*NtoN2O*kgtoGg</f>
        <v>4.6463999999999998E-2</v>
      </c>
      <c r="J118" s="22">
        <f>'Activity data'!J77*UDSOEF*NtoN2O*kgtoGg</f>
        <v>4.6463999999999998E-2</v>
      </c>
      <c r="K118" s="22">
        <f>'Activity data'!K77*UDSOEF*NtoN2O*kgtoGg</f>
        <v>4.6463999999999998E-2</v>
      </c>
      <c r="L118" s="22">
        <f>'Activity data'!L77*UDSOEF*NtoN2O*kgtoGg</f>
        <v>4.6463999999999998E-2</v>
      </c>
      <c r="M118" s="22">
        <f>'Activity data'!M77*UDSOEF*NtoN2O*kgtoGg</f>
        <v>4.6463999999999998E-2</v>
      </c>
      <c r="N118" s="22">
        <f>'Activity data'!N77*UDSOEF*NtoN2O*kgtoGg</f>
        <v>4.6463999999999998E-2</v>
      </c>
      <c r="O118" s="22">
        <f>'Activity data'!O77*UDSOEF*NtoN2O*kgtoGg</f>
        <v>4.6463999999999998E-2</v>
      </c>
      <c r="P118" s="22">
        <f>'Activity data'!P77*UDSOEF*NtoN2O*kgtoGg</f>
        <v>4.6463999999999998E-2</v>
      </c>
      <c r="Q118" s="22">
        <f>'Activity data'!Q77*UDSOEF*NtoN2O*kgtoGg</f>
        <v>4.6463999999999998E-2</v>
      </c>
      <c r="R118" s="22">
        <f>'Activity data'!R77*UDSOEF*NtoN2O*kgtoGg</f>
        <v>3.4018285714285709E-2</v>
      </c>
      <c r="S118" s="22">
        <f>'Activity data'!S77*UDSOEF*NtoN2O*kgtoGg</f>
        <v>3.4018285714285709E-2</v>
      </c>
      <c r="T118" s="22">
        <f>'Activity data'!T77*UDSOEF*NtoN2O*kgtoGg</f>
        <v>3.4018285714285709E-2</v>
      </c>
      <c r="U118" s="22">
        <f>'Activity data'!U77*UDSOEF*NtoN2O*kgtoGg</f>
        <v>3.4018285714285709E-2</v>
      </c>
      <c r="V118" s="22">
        <f>'Activity data'!V77*UDSOEF*NtoN2O*kgtoGg</f>
        <v>3.4018285714285709E-2</v>
      </c>
      <c r="W118" s="22">
        <f>'Activity data'!W77*UDSOEF*NtoN2O*kgtoGg</f>
        <v>3.4018285714285709E-2</v>
      </c>
      <c r="X118" s="22">
        <f>'Activity data'!X77*UDSOEF*NtoN2O*kgtoGg</f>
        <v>3.4028657142857147E-2</v>
      </c>
      <c r="Y118" s="22">
        <f>'Activity data'!Y77*UDSOEF*NtoN2O*kgtoGg</f>
        <v>3.414274285714286E-2</v>
      </c>
      <c r="Z118" s="22">
        <f>'Activity data'!Z77*UDSOEF*NtoN2O*kgtoGg</f>
        <v>3.4163485714285714E-2</v>
      </c>
      <c r="AA118" s="22">
        <f>'Activity data'!AA77*UDSOEF*NtoN2O*kgtoGg</f>
        <v>3.4184228571428575E-2</v>
      </c>
      <c r="AB118" s="22">
        <f>'Activity data'!AB77*UDSOEF*NtoN2O*kgtoGg</f>
        <v>3.4495371428571432E-2</v>
      </c>
      <c r="AC118" s="22">
        <f>'Activity data'!AC77*UDSOEF*NtoN2O*kgtoGg</f>
        <v>3.4640571428571423E-2</v>
      </c>
      <c r="AD118" s="22">
        <f>'Activity data'!AD77*UDSOEF*NtoN2O*kgtoGg</f>
        <v>3.4640571428571423E-2</v>
      </c>
      <c r="AE118" s="22">
        <f>'Activity data'!AE77*UDSOEF*NtoN2O*kgtoGg</f>
        <v>3.4640571428571423E-2</v>
      </c>
      <c r="AF118" s="22">
        <f>'Activity data'!AF77*UDSOEF*NtoN2O*kgtoGg</f>
        <v>3.4640571428571423E-2</v>
      </c>
      <c r="AG118" s="22">
        <f>'Activity data'!AG77*UDSOEF*NtoN2O*kgtoGg</f>
        <v>3.4640571428571423E-2</v>
      </c>
      <c r="AH118" s="22">
        <f>'Activity data'!AH77*UDSOEF*NtoN2O*kgtoGg</f>
        <v>3.4640571428571423E-2</v>
      </c>
      <c r="AI118" s="22">
        <f>'Activity data'!AI77*UDSOEF*NtoN2O*kgtoGg</f>
        <v>3.4640571428571423E-2</v>
      </c>
      <c r="AJ118" s="22">
        <f>'Activity data'!AJ77*UDSOEF*NtoN2O*kgtoGg</f>
        <v>3.4640571428571423E-2</v>
      </c>
      <c r="AK118" s="22">
        <f>'Activity data'!AK77*UDSOEF*NtoN2O*kgtoGg</f>
        <v>3.4640571428571423E-2</v>
      </c>
      <c r="AL118" s="22">
        <f>'Activity data'!AL77*UDSOEF*NtoN2O*kgtoGg</f>
        <v>3.4640571428571423E-2</v>
      </c>
      <c r="AM118" s="22">
        <f>'Activity data'!AM77*UDSOEF*NtoN2O*kgtoGg</f>
        <v>3.4640571428571423E-2</v>
      </c>
      <c r="AN118" s="22">
        <f>'Activity data'!AN77*UDSOEF*NtoN2O*kgtoGg</f>
        <v>3.4640571428571423E-2</v>
      </c>
      <c r="AO118" s="22">
        <f>'Activity data'!AO77*UDSOEF*NtoN2O*kgtoGg</f>
        <v>3.4640571428571423E-2</v>
      </c>
      <c r="AP118" s="22">
        <f>'Activity data'!AP77*UDSOEF*NtoN2O*kgtoGg</f>
        <v>3.4640571428571423E-2</v>
      </c>
      <c r="AQ118" s="22">
        <f>'Activity data'!AQ77*UDSOEF*NtoN2O*kgtoGg</f>
        <v>3.4640571428571423E-2</v>
      </c>
      <c r="AR118" s="22">
        <f>'Activity data'!AR77*UDSOEF*NtoN2O*kgtoGg</f>
        <v>3.4640571428571423E-2</v>
      </c>
      <c r="AS118" s="22">
        <f>'Activity data'!AS77*UDSOEF*NtoN2O*kgtoGg</f>
        <v>3.4640571428571423E-2</v>
      </c>
      <c r="AT118" s="22">
        <f>'Activity data'!AT77*UDSOEF*NtoN2O*kgtoGg</f>
        <v>3.4640571428571423E-2</v>
      </c>
      <c r="AU118" s="22">
        <f>'Activity data'!AU77*UDSOEF*NtoN2O*kgtoGg</f>
        <v>3.4640571428571423E-2</v>
      </c>
      <c r="AV118" s="22">
        <f>'Activity data'!AV77*UDSOEF*NtoN2O*kgtoGg</f>
        <v>3.4640571428571423E-2</v>
      </c>
      <c r="AW118" s="22">
        <f>'Activity data'!AW77*UDSOEF*NtoN2O*kgtoGg</f>
        <v>3.4640571428571423E-2</v>
      </c>
      <c r="AX118" s="22">
        <f>'Activity data'!AX77*UDSOEF*NtoN2O*kgtoGg</f>
        <v>3.4640571428571423E-2</v>
      </c>
      <c r="AY118" s="22">
        <f>'Activity data'!AY77*UDSOEF*NtoN2O*kgtoGg</f>
        <v>3.4640571428571423E-2</v>
      </c>
      <c r="AZ118" s="22">
        <f>'Activity data'!AZ77*UDSOEF*NtoN2O*kgtoGg</f>
        <v>3.4640571428571423E-2</v>
      </c>
      <c r="BA118" s="22">
        <f>'Activity data'!BA77*UDSOEF*NtoN2O*kgtoGg</f>
        <v>3.4640571428571423E-2</v>
      </c>
      <c r="BB118" s="22">
        <f>'Activity data'!BB77*UDSOEF*NtoN2O*kgtoGg</f>
        <v>3.4640571428571423E-2</v>
      </c>
      <c r="BC118" s="22">
        <f>'Activity data'!BC77*UDSOEF*NtoN2O*kgtoGg</f>
        <v>3.4640571428571423E-2</v>
      </c>
      <c r="BD118" s="22">
        <f>'Activity data'!BD77*UDSOEF*NtoN2O*kgtoGg</f>
        <v>3.4640571428571423E-2</v>
      </c>
      <c r="BE118" s="22">
        <f>'Activity data'!BE77*UDSOEF*NtoN2O*kgtoGg</f>
        <v>3.4640571428571423E-2</v>
      </c>
      <c r="BF118" s="22">
        <f>'Activity data'!BF77*UDSOEF*NtoN2O*kgtoGg</f>
        <v>3.4640571428571423E-2</v>
      </c>
      <c r="BG118" s="22">
        <f>'Activity data'!BG77*UDSOEF*NtoN2O*kgtoGg</f>
        <v>3.4640571428571423E-2</v>
      </c>
      <c r="BH118" s="22">
        <f>'Activity data'!BH77*UDSOEF*NtoN2O*kgtoGg</f>
        <v>3.4640571428571423E-2</v>
      </c>
      <c r="BI118" s="22">
        <f>'Activity data'!BI77*UDSOEF*NtoN2O*kgtoGg</f>
        <v>3.4640571428571423E-2</v>
      </c>
      <c r="BJ118" s="22">
        <f>'Activity data'!BJ77*UDSOEF*NtoN2O*kgtoGg</f>
        <v>3.4640571428571423E-2</v>
      </c>
      <c r="BK118" s="22">
        <f>'Activity data'!BK77*UDSOEF*NtoN2O*kgtoGg</f>
        <v>3.4640571428571423E-2</v>
      </c>
      <c r="BL118" s="22">
        <f>'Activity data'!BL77*UDSOEF*NtoN2O*kgtoGg</f>
        <v>3.4640571428571423E-2</v>
      </c>
      <c r="BM118" s="22">
        <f>'Activity data'!BM77*UDSOEF*NtoN2O*kgtoGg</f>
        <v>3.4640571428571423E-2</v>
      </c>
      <c r="BN118" s="22">
        <f>'Activity data'!BN77*UDSOEF*NtoN2O*kgtoGg</f>
        <v>3.4640571428571423E-2</v>
      </c>
      <c r="BO118" s="22">
        <f>'Activity data'!BO77*UDSOEF*NtoN2O*kgtoGg</f>
        <v>3.4640571428571423E-2</v>
      </c>
      <c r="BP118" s="22">
        <f>'Activity data'!BP77*UDSOEF*NtoN2O*kgtoGg</f>
        <v>3.4640571428571423E-2</v>
      </c>
    </row>
    <row r="119" spans="1:68" x14ac:dyDescent="0.25">
      <c r="A119" t="str">
        <f t="shared" si="29"/>
        <v>3C Aggregated and non-CO2 emissions on land</v>
      </c>
      <c r="B119" t="str">
        <f t="shared" si="31"/>
        <v>3C4 Direct N2O from managed soils (N2O)</v>
      </c>
      <c r="C119" t="s">
        <v>422</v>
      </c>
      <c r="D119" t="str">
        <f t="shared" si="38"/>
        <v xml:space="preserve"> - Commercial swine</v>
      </c>
      <c r="E119" t="str">
        <f t="shared" si="32"/>
        <v>U&amp;D emissions - Commercial swine</v>
      </c>
      <c r="F119" t="str">
        <f t="shared" si="36"/>
        <v>N2O</v>
      </c>
      <c r="G119" t="str">
        <f t="shared" si="37"/>
        <v>Gg N2O</v>
      </c>
      <c r="H119" s="22">
        <f>'Activity data'!H78*UDCPPEF*NtoN2O*kgtoGg</f>
        <v>0</v>
      </c>
      <c r="I119" s="22">
        <f>'Activity data'!I78*UDCPPEF*NtoN2O*kgtoGg</f>
        <v>0</v>
      </c>
      <c r="J119" s="22">
        <f>'Activity data'!J78*UDCPPEF*NtoN2O*kgtoGg</f>
        <v>0</v>
      </c>
      <c r="K119" s="22">
        <f>'Activity data'!K78*UDCPPEF*NtoN2O*kgtoGg</f>
        <v>0</v>
      </c>
      <c r="L119" s="22">
        <f>'Activity data'!L78*UDCPPEF*NtoN2O*kgtoGg</f>
        <v>0</v>
      </c>
      <c r="M119" s="22">
        <f>'Activity data'!M78*UDCPPEF*NtoN2O*kgtoGg</f>
        <v>0</v>
      </c>
      <c r="N119" s="22">
        <f>'Activity data'!N78*UDCPPEF*NtoN2O*kgtoGg</f>
        <v>0</v>
      </c>
      <c r="O119" s="22">
        <f>'Activity data'!O78*UDCPPEF*NtoN2O*kgtoGg</f>
        <v>0</v>
      </c>
      <c r="P119" s="22">
        <f>'Activity data'!P78*UDCPPEF*NtoN2O*kgtoGg</f>
        <v>0</v>
      </c>
      <c r="Q119" s="22">
        <f>'Activity data'!Q78*UDCPPEF*NtoN2O*kgtoGg</f>
        <v>0</v>
      </c>
      <c r="R119" s="22">
        <f>'Activity data'!R78*UDCPPEF*NtoN2O*kgtoGg</f>
        <v>0</v>
      </c>
      <c r="S119" s="22">
        <f>'Activity data'!S78*UDCPPEF*NtoN2O*kgtoGg</f>
        <v>0</v>
      </c>
      <c r="T119" s="22">
        <f>'Activity data'!T78*UDCPPEF*NtoN2O*kgtoGg</f>
        <v>0</v>
      </c>
      <c r="U119" s="22">
        <f>'Activity data'!U78*UDCPPEF*NtoN2O*kgtoGg</f>
        <v>0</v>
      </c>
      <c r="V119" s="22">
        <f>'Activity data'!V78*UDCPPEF*NtoN2O*kgtoGg</f>
        <v>0</v>
      </c>
      <c r="W119" s="22">
        <f>'Activity data'!W78*UDCPPEF*NtoN2O*kgtoGg</f>
        <v>0</v>
      </c>
      <c r="X119" s="22">
        <f>'Activity data'!X78*UDCPPEF*NtoN2O*kgtoGg</f>
        <v>0</v>
      </c>
      <c r="Y119" s="22">
        <f>'Activity data'!Y78*UDCPPEF*NtoN2O*kgtoGg</f>
        <v>0</v>
      </c>
      <c r="Z119" s="22">
        <f>'Activity data'!Z78*UDCPPEF*NtoN2O*kgtoGg</f>
        <v>0</v>
      </c>
      <c r="AA119" s="22">
        <f>'Activity data'!AA78*UDCPPEF*NtoN2O*kgtoGg</f>
        <v>0</v>
      </c>
      <c r="AB119" s="22">
        <f>'Activity data'!AB78*UDCPPEF*NtoN2O*kgtoGg</f>
        <v>0</v>
      </c>
      <c r="AC119" s="22">
        <f>'Activity data'!AC78*UDCPPEF*NtoN2O*kgtoGg</f>
        <v>0</v>
      </c>
      <c r="AD119" s="22">
        <f>'Activity data'!AD78*UDCPPEF*NtoN2O*kgtoGg</f>
        <v>0</v>
      </c>
      <c r="AE119" s="22">
        <f>'Activity data'!AE78*UDCPPEF*NtoN2O*kgtoGg</f>
        <v>0</v>
      </c>
      <c r="AF119" s="22">
        <f>'Activity data'!AF78*UDCPPEF*NtoN2O*kgtoGg</f>
        <v>0</v>
      </c>
      <c r="AG119" s="22">
        <f>'Activity data'!AG78*UDCPPEF*NtoN2O*kgtoGg</f>
        <v>0</v>
      </c>
      <c r="AH119" s="22">
        <f>'Activity data'!AH78*UDCPPEF*NtoN2O*kgtoGg</f>
        <v>0</v>
      </c>
      <c r="AI119" s="22">
        <f>'Activity data'!AI78*UDCPPEF*NtoN2O*kgtoGg</f>
        <v>0</v>
      </c>
      <c r="AJ119" s="22">
        <f>'Activity data'!AJ78*UDCPPEF*NtoN2O*kgtoGg</f>
        <v>0</v>
      </c>
      <c r="AK119" s="22">
        <f>'Activity data'!AK78*UDCPPEF*NtoN2O*kgtoGg</f>
        <v>0</v>
      </c>
      <c r="AL119" s="22">
        <f>'Activity data'!AL78*UDCPPEF*NtoN2O*kgtoGg</f>
        <v>0</v>
      </c>
      <c r="AM119" s="22">
        <f>'Activity data'!AM78*UDCPPEF*NtoN2O*kgtoGg</f>
        <v>0</v>
      </c>
      <c r="AN119" s="22">
        <f>'Activity data'!AN78*UDCPPEF*NtoN2O*kgtoGg</f>
        <v>0</v>
      </c>
      <c r="AO119" s="22">
        <f>'Activity data'!AO78*UDCPPEF*NtoN2O*kgtoGg</f>
        <v>0</v>
      </c>
      <c r="AP119" s="22">
        <f>'Activity data'!AP78*UDCPPEF*NtoN2O*kgtoGg</f>
        <v>0</v>
      </c>
      <c r="AQ119" s="22">
        <f>'Activity data'!AQ78*UDCPPEF*NtoN2O*kgtoGg</f>
        <v>0</v>
      </c>
      <c r="AR119" s="22">
        <f>'Activity data'!AR78*UDCPPEF*NtoN2O*kgtoGg</f>
        <v>0</v>
      </c>
      <c r="AS119" s="22">
        <f>'Activity data'!AS78*UDCPPEF*NtoN2O*kgtoGg</f>
        <v>0</v>
      </c>
      <c r="AT119" s="22">
        <f>'Activity data'!AT78*UDCPPEF*NtoN2O*kgtoGg</f>
        <v>0</v>
      </c>
      <c r="AU119" s="22">
        <f>'Activity data'!AU78*UDCPPEF*NtoN2O*kgtoGg</f>
        <v>0</v>
      </c>
      <c r="AV119" s="22">
        <f>'Activity data'!AV78*UDCPPEF*NtoN2O*kgtoGg</f>
        <v>0</v>
      </c>
      <c r="AW119" s="22">
        <f>'Activity data'!AW78*UDCPPEF*NtoN2O*kgtoGg</f>
        <v>0</v>
      </c>
      <c r="AX119" s="22">
        <f>'Activity data'!AX78*UDCPPEF*NtoN2O*kgtoGg</f>
        <v>0</v>
      </c>
      <c r="AY119" s="22">
        <f>'Activity data'!AY78*UDCPPEF*NtoN2O*kgtoGg</f>
        <v>0</v>
      </c>
      <c r="AZ119" s="22">
        <f>'Activity data'!AZ78*UDCPPEF*NtoN2O*kgtoGg</f>
        <v>0</v>
      </c>
      <c r="BA119" s="22">
        <f>'Activity data'!BA78*UDCPPEF*NtoN2O*kgtoGg</f>
        <v>0</v>
      </c>
      <c r="BB119" s="22">
        <f>'Activity data'!BB78*UDCPPEF*NtoN2O*kgtoGg</f>
        <v>0</v>
      </c>
      <c r="BC119" s="22">
        <f>'Activity data'!BC78*UDCPPEF*NtoN2O*kgtoGg</f>
        <v>0</v>
      </c>
      <c r="BD119" s="22">
        <f>'Activity data'!BD78*UDCPPEF*NtoN2O*kgtoGg</f>
        <v>0</v>
      </c>
      <c r="BE119" s="22">
        <f>'Activity data'!BE78*UDCPPEF*NtoN2O*kgtoGg</f>
        <v>0</v>
      </c>
      <c r="BF119" s="22">
        <f>'Activity data'!BF78*UDCPPEF*NtoN2O*kgtoGg</f>
        <v>0</v>
      </c>
      <c r="BG119" s="22">
        <f>'Activity data'!BG78*UDCPPEF*NtoN2O*kgtoGg</f>
        <v>0</v>
      </c>
      <c r="BH119" s="22">
        <f>'Activity data'!BH78*UDCPPEF*NtoN2O*kgtoGg</f>
        <v>0</v>
      </c>
      <c r="BI119" s="22">
        <f>'Activity data'!BI78*UDCPPEF*NtoN2O*kgtoGg</f>
        <v>0</v>
      </c>
      <c r="BJ119" s="22">
        <f>'Activity data'!BJ78*UDCPPEF*NtoN2O*kgtoGg</f>
        <v>0</v>
      </c>
      <c r="BK119" s="22">
        <f>'Activity data'!BK78*UDCPPEF*NtoN2O*kgtoGg</f>
        <v>0</v>
      </c>
      <c r="BL119" s="22">
        <f>'Activity data'!BL78*UDCPPEF*NtoN2O*kgtoGg</f>
        <v>0</v>
      </c>
      <c r="BM119" s="22">
        <f>'Activity data'!BM78*UDCPPEF*NtoN2O*kgtoGg</f>
        <v>0</v>
      </c>
      <c r="BN119" s="22">
        <f>'Activity data'!BN78*UDCPPEF*NtoN2O*kgtoGg</f>
        <v>0</v>
      </c>
      <c r="BO119" s="22">
        <f>'Activity data'!BO78*UDCPPEF*NtoN2O*kgtoGg</f>
        <v>0</v>
      </c>
      <c r="BP119" s="22">
        <f>'Activity data'!BP78*UDCPPEF*NtoN2O*kgtoGg</f>
        <v>0</v>
      </c>
    </row>
    <row r="120" spans="1:68" x14ac:dyDescent="0.25">
      <c r="A120" t="str">
        <f t="shared" si="29"/>
        <v>3C Aggregated and non-CO2 emissions on land</v>
      </c>
      <c r="B120" t="str">
        <f t="shared" si="31"/>
        <v>3C4 Direct N2O from managed soils (N2O)</v>
      </c>
      <c r="C120" t="s">
        <v>422</v>
      </c>
      <c r="D120" t="str">
        <f t="shared" si="38"/>
        <v xml:space="preserve"> - Subsistence swine</v>
      </c>
      <c r="E120" t="str">
        <f t="shared" si="32"/>
        <v>U&amp;D emissions - Subsistence swine</v>
      </c>
      <c r="F120" t="str">
        <f t="shared" si="36"/>
        <v>N2O</v>
      </c>
      <c r="G120" t="str">
        <f t="shared" si="37"/>
        <v>Gg N2O</v>
      </c>
      <c r="H120" s="22">
        <f>'Activity data'!H79*UDCPPEF*NtoN2O*kgtoGg</f>
        <v>0</v>
      </c>
      <c r="I120" s="22">
        <f>'Activity data'!I79*UDCPPEF*NtoN2O*kgtoGg</f>
        <v>0</v>
      </c>
      <c r="J120" s="22">
        <f>'Activity data'!J79*UDCPPEF*NtoN2O*kgtoGg</f>
        <v>0</v>
      </c>
      <c r="K120" s="22">
        <f>'Activity data'!K79*UDCPPEF*NtoN2O*kgtoGg</f>
        <v>0</v>
      </c>
      <c r="L120" s="22">
        <f>'Activity data'!L79*UDCPPEF*NtoN2O*kgtoGg</f>
        <v>0</v>
      </c>
      <c r="M120" s="22">
        <f>'Activity data'!M79*UDCPPEF*NtoN2O*kgtoGg</f>
        <v>0</v>
      </c>
      <c r="N120" s="22">
        <f>'Activity data'!N79*UDCPPEF*NtoN2O*kgtoGg</f>
        <v>0</v>
      </c>
      <c r="O120" s="22">
        <f>'Activity data'!O79*UDCPPEF*NtoN2O*kgtoGg</f>
        <v>0</v>
      </c>
      <c r="P120" s="22">
        <f>'Activity data'!P79*UDCPPEF*NtoN2O*kgtoGg</f>
        <v>0</v>
      </c>
      <c r="Q120" s="22">
        <f>'Activity data'!Q79*UDCPPEF*NtoN2O*kgtoGg</f>
        <v>0</v>
      </c>
      <c r="R120" s="22">
        <f>'Activity data'!R79*UDCPPEF*NtoN2O*kgtoGg</f>
        <v>0</v>
      </c>
      <c r="S120" s="22">
        <f>'Activity data'!S79*UDCPPEF*NtoN2O*kgtoGg</f>
        <v>0</v>
      </c>
      <c r="T120" s="22">
        <f>'Activity data'!T79*UDCPPEF*NtoN2O*kgtoGg</f>
        <v>0</v>
      </c>
      <c r="U120" s="22">
        <f>'Activity data'!U79*UDCPPEF*NtoN2O*kgtoGg</f>
        <v>0</v>
      </c>
      <c r="V120" s="22">
        <f>'Activity data'!V79*UDCPPEF*NtoN2O*kgtoGg</f>
        <v>0</v>
      </c>
      <c r="W120" s="22">
        <f>'Activity data'!W79*UDCPPEF*NtoN2O*kgtoGg</f>
        <v>0</v>
      </c>
      <c r="X120" s="22">
        <f>'Activity data'!X79*UDCPPEF*NtoN2O*kgtoGg</f>
        <v>0</v>
      </c>
      <c r="Y120" s="22">
        <f>'Activity data'!Y79*UDCPPEF*NtoN2O*kgtoGg</f>
        <v>0</v>
      </c>
      <c r="Z120" s="22">
        <f>'Activity data'!Z79*UDCPPEF*NtoN2O*kgtoGg</f>
        <v>0</v>
      </c>
      <c r="AA120" s="22">
        <f>'Activity data'!AA79*UDCPPEF*NtoN2O*kgtoGg</f>
        <v>0</v>
      </c>
      <c r="AB120" s="22">
        <f>'Activity data'!AB79*UDCPPEF*NtoN2O*kgtoGg</f>
        <v>0</v>
      </c>
      <c r="AC120" s="22">
        <f>'Activity data'!AC79*UDCPPEF*NtoN2O*kgtoGg</f>
        <v>0</v>
      </c>
      <c r="AD120" s="22">
        <f>'Activity data'!AD79*UDCPPEF*NtoN2O*kgtoGg</f>
        <v>0</v>
      </c>
      <c r="AE120" s="22">
        <f>'Activity data'!AE79*UDCPPEF*NtoN2O*kgtoGg</f>
        <v>0</v>
      </c>
      <c r="AF120" s="22">
        <f>'Activity data'!AF79*UDCPPEF*NtoN2O*kgtoGg</f>
        <v>0</v>
      </c>
      <c r="AG120" s="22">
        <f>'Activity data'!AG79*UDCPPEF*NtoN2O*kgtoGg</f>
        <v>0</v>
      </c>
      <c r="AH120" s="22">
        <f>'Activity data'!AH79*UDCPPEF*NtoN2O*kgtoGg</f>
        <v>0</v>
      </c>
      <c r="AI120" s="22">
        <f>'Activity data'!AI79*UDCPPEF*NtoN2O*kgtoGg</f>
        <v>0</v>
      </c>
      <c r="AJ120" s="22">
        <f>'Activity data'!AJ79*UDCPPEF*NtoN2O*kgtoGg</f>
        <v>0</v>
      </c>
      <c r="AK120" s="22">
        <f>'Activity data'!AK79*UDCPPEF*NtoN2O*kgtoGg</f>
        <v>0</v>
      </c>
      <c r="AL120" s="22">
        <f>'Activity data'!AL79*UDCPPEF*NtoN2O*kgtoGg</f>
        <v>0</v>
      </c>
      <c r="AM120" s="22">
        <f>'Activity data'!AM79*UDCPPEF*NtoN2O*kgtoGg</f>
        <v>0</v>
      </c>
      <c r="AN120" s="22">
        <f>'Activity data'!AN79*UDCPPEF*NtoN2O*kgtoGg</f>
        <v>0</v>
      </c>
      <c r="AO120" s="22">
        <f>'Activity data'!AO79*UDCPPEF*NtoN2O*kgtoGg</f>
        <v>0</v>
      </c>
      <c r="AP120" s="22">
        <f>'Activity data'!AP79*UDCPPEF*NtoN2O*kgtoGg</f>
        <v>0</v>
      </c>
      <c r="AQ120" s="22">
        <f>'Activity data'!AQ79*UDCPPEF*NtoN2O*kgtoGg</f>
        <v>0</v>
      </c>
      <c r="AR120" s="22">
        <f>'Activity data'!AR79*UDCPPEF*NtoN2O*kgtoGg</f>
        <v>0</v>
      </c>
      <c r="AS120" s="22">
        <f>'Activity data'!AS79*UDCPPEF*NtoN2O*kgtoGg</f>
        <v>0</v>
      </c>
      <c r="AT120" s="22">
        <f>'Activity data'!AT79*UDCPPEF*NtoN2O*kgtoGg</f>
        <v>0</v>
      </c>
      <c r="AU120" s="22">
        <f>'Activity data'!AU79*UDCPPEF*NtoN2O*kgtoGg</f>
        <v>0</v>
      </c>
      <c r="AV120" s="22">
        <f>'Activity data'!AV79*UDCPPEF*NtoN2O*kgtoGg</f>
        <v>0</v>
      </c>
      <c r="AW120" s="22">
        <f>'Activity data'!AW79*UDCPPEF*NtoN2O*kgtoGg</f>
        <v>0</v>
      </c>
      <c r="AX120" s="22">
        <f>'Activity data'!AX79*UDCPPEF*NtoN2O*kgtoGg</f>
        <v>0</v>
      </c>
      <c r="AY120" s="22">
        <f>'Activity data'!AY79*UDCPPEF*NtoN2O*kgtoGg</f>
        <v>0</v>
      </c>
      <c r="AZ120" s="22">
        <f>'Activity data'!AZ79*UDCPPEF*NtoN2O*kgtoGg</f>
        <v>0</v>
      </c>
      <c r="BA120" s="22">
        <f>'Activity data'!BA79*UDCPPEF*NtoN2O*kgtoGg</f>
        <v>0</v>
      </c>
      <c r="BB120" s="22">
        <f>'Activity data'!BB79*UDCPPEF*NtoN2O*kgtoGg</f>
        <v>0</v>
      </c>
      <c r="BC120" s="22">
        <f>'Activity data'!BC79*UDCPPEF*NtoN2O*kgtoGg</f>
        <v>0</v>
      </c>
      <c r="BD120" s="22">
        <f>'Activity data'!BD79*UDCPPEF*NtoN2O*kgtoGg</f>
        <v>0</v>
      </c>
      <c r="BE120" s="22">
        <f>'Activity data'!BE79*UDCPPEF*NtoN2O*kgtoGg</f>
        <v>0</v>
      </c>
      <c r="BF120" s="22">
        <f>'Activity data'!BF79*UDCPPEF*NtoN2O*kgtoGg</f>
        <v>0</v>
      </c>
      <c r="BG120" s="22">
        <f>'Activity data'!BG79*UDCPPEF*NtoN2O*kgtoGg</f>
        <v>0</v>
      </c>
      <c r="BH120" s="22">
        <f>'Activity data'!BH79*UDCPPEF*NtoN2O*kgtoGg</f>
        <v>0</v>
      </c>
      <c r="BI120" s="22">
        <f>'Activity data'!BI79*UDCPPEF*NtoN2O*kgtoGg</f>
        <v>0</v>
      </c>
      <c r="BJ120" s="22">
        <f>'Activity data'!BJ79*UDCPPEF*NtoN2O*kgtoGg</f>
        <v>0</v>
      </c>
      <c r="BK120" s="22">
        <f>'Activity data'!BK79*UDCPPEF*NtoN2O*kgtoGg</f>
        <v>0</v>
      </c>
      <c r="BL120" s="22">
        <f>'Activity data'!BL79*UDCPPEF*NtoN2O*kgtoGg</f>
        <v>0</v>
      </c>
      <c r="BM120" s="22">
        <f>'Activity data'!BM79*UDCPPEF*NtoN2O*kgtoGg</f>
        <v>0</v>
      </c>
      <c r="BN120" s="22">
        <f>'Activity data'!BN79*UDCPPEF*NtoN2O*kgtoGg</f>
        <v>0</v>
      </c>
      <c r="BO120" s="22">
        <f>'Activity data'!BO79*UDCPPEF*NtoN2O*kgtoGg</f>
        <v>0</v>
      </c>
      <c r="BP120" s="22">
        <f>'Activity data'!BP79*UDCPPEF*NtoN2O*kgtoGg</f>
        <v>0</v>
      </c>
    </row>
    <row r="121" spans="1:68" x14ac:dyDescent="0.25">
      <c r="A121" t="str">
        <f t="shared" si="29"/>
        <v>3C Aggregated and non-CO2 emissions on land</v>
      </c>
      <c r="B121" t="str">
        <f t="shared" si="31"/>
        <v>3C4 Direct N2O from managed soils (N2O)</v>
      </c>
      <c r="C121" t="s">
        <v>422</v>
      </c>
      <c r="D121" t="str">
        <f t="shared" si="38"/>
        <v xml:space="preserve"> - Commercial layers</v>
      </c>
      <c r="E121" t="str">
        <f t="shared" si="32"/>
        <v>U&amp;D emissions - Commercial layers</v>
      </c>
      <c r="F121" t="str">
        <f t="shared" si="36"/>
        <v>N2O</v>
      </c>
      <c r="G121" t="str">
        <f t="shared" si="37"/>
        <v>Gg N2O</v>
      </c>
      <c r="H121" s="22">
        <f>'Activity data'!H80*UDCPPEF*NtoN2O*kgtoGg</f>
        <v>0</v>
      </c>
      <c r="I121" s="22">
        <f>'Activity data'!I80*UDCPPEF*NtoN2O*kgtoGg</f>
        <v>0</v>
      </c>
      <c r="J121" s="22">
        <f>'Activity data'!J80*UDCPPEF*NtoN2O*kgtoGg</f>
        <v>0</v>
      </c>
      <c r="K121" s="22">
        <f>'Activity data'!K80*UDCPPEF*NtoN2O*kgtoGg</f>
        <v>0</v>
      </c>
      <c r="L121" s="22">
        <f>'Activity data'!L80*UDCPPEF*NtoN2O*kgtoGg</f>
        <v>0</v>
      </c>
      <c r="M121" s="22">
        <f>'Activity data'!M80*UDCPPEF*NtoN2O*kgtoGg</f>
        <v>0</v>
      </c>
      <c r="N121" s="22">
        <f>'Activity data'!N80*UDCPPEF*NtoN2O*kgtoGg</f>
        <v>0</v>
      </c>
      <c r="O121" s="22">
        <f>'Activity data'!O80*UDCPPEF*NtoN2O*kgtoGg</f>
        <v>0</v>
      </c>
      <c r="P121" s="22">
        <f>'Activity data'!P80*UDCPPEF*NtoN2O*kgtoGg</f>
        <v>0</v>
      </c>
      <c r="Q121" s="22">
        <f>'Activity data'!Q80*UDCPPEF*NtoN2O*kgtoGg</f>
        <v>0</v>
      </c>
      <c r="R121" s="22">
        <f>'Activity data'!R80*UDCPPEF*NtoN2O*kgtoGg</f>
        <v>0</v>
      </c>
      <c r="S121" s="22">
        <f>'Activity data'!S80*UDCPPEF*NtoN2O*kgtoGg</f>
        <v>0</v>
      </c>
      <c r="T121" s="22">
        <f>'Activity data'!T80*UDCPPEF*NtoN2O*kgtoGg</f>
        <v>0</v>
      </c>
      <c r="U121" s="22">
        <f>'Activity data'!U80*UDCPPEF*NtoN2O*kgtoGg</f>
        <v>0</v>
      </c>
      <c r="V121" s="22">
        <f>'Activity data'!V80*UDCPPEF*NtoN2O*kgtoGg</f>
        <v>0</v>
      </c>
      <c r="W121" s="22">
        <f>'Activity data'!W80*UDCPPEF*NtoN2O*kgtoGg</f>
        <v>0</v>
      </c>
      <c r="X121" s="22">
        <f>'Activity data'!X80*UDCPPEF*NtoN2O*kgtoGg</f>
        <v>0</v>
      </c>
      <c r="Y121" s="22">
        <f>'Activity data'!Y80*UDCPPEF*NtoN2O*kgtoGg</f>
        <v>0</v>
      </c>
      <c r="Z121" s="22">
        <f>'Activity data'!Z80*UDCPPEF*NtoN2O*kgtoGg</f>
        <v>0</v>
      </c>
      <c r="AA121" s="22">
        <f>'Activity data'!AA80*UDCPPEF*NtoN2O*kgtoGg</f>
        <v>0</v>
      </c>
      <c r="AB121" s="22">
        <f>'Activity data'!AB80*UDCPPEF*NtoN2O*kgtoGg</f>
        <v>0</v>
      </c>
      <c r="AC121" s="22">
        <f>'Activity data'!AC80*UDCPPEF*NtoN2O*kgtoGg</f>
        <v>0</v>
      </c>
      <c r="AD121" s="22">
        <f>'Activity data'!AD80*UDCPPEF*NtoN2O*kgtoGg</f>
        <v>0</v>
      </c>
      <c r="AE121" s="22">
        <f>'Activity data'!AE80*UDCPPEF*NtoN2O*kgtoGg</f>
        <v>0</v>
      </c>
      <c r="AF121" s="22">
        <f>'Activity data'!AF80*UDCPPEF*NtoN2O*kgtoGg</f>
        <v>0</v>
      </c>
      <c r="AG121" s="22">
        <f>'Activity data'!AG80*UDCPPEF*NtoN2O*kgtoGg</f>
        <v>0</v>
      </c>
      <c r="AH121" s="22">
        <f>'Activity data'!AH80*UDCPPEF*NtoN2O*kgtoGg</f>
        <v>0</v>
      </c>
      <c r="AI121" s="22">
        <f>'Activity data'!AI80*UDCPPEF*NtoN2O*kgtoGg</f>
        <v>0</v>
      </c>
      <c r="AJ121" s="22">
        <f>'Activity data'!AJ80*UDCPPEF*NtoN2O*kgtoGg</f>
        <v>0</v>
      </c>
      <c r="AK121" s="22">
        <f>'Activity data'!AK80*UDCPPEF*NtoN2O*kgtoGg</f>
        <v>0</v>
      </c>
      <c r="AL121" s="22">
        <f>'Activity data'!AL80*UDCPPEF*NtoN2O*kgtoGg</f>
        <v>0</v>
      </c>
      <c r="AM121" s="22">
        <f>'Activity data'!AM80*UDCPPEF*NtoN2O*kgtoGg</f>
        <v>0</v>
      </c>
      <c r="AN121" s="22">
        <f>'Activity data'!AN80*UDCPPEF*NtoN2O*kgtoGg</f>
        <v>0</v>
      </c>
      <c r="AO121" s="22">
        <f>'Activity data'!AO80*UDCPPEF*NtoN2O*kgtoGg</f>
        <v>0</v>
      </c>
      <c r="AP121" s="22">
        <f>'Activity data'!AP80*UDCPPEF*NtoN2O*kgtoGg</f>
        <v>0</v>
      </c>
      <c r="AQ121" s="22">
        <f>'Activity data'!AQ80*UDCPPEF*NtoN2O*kgtoGg</f>
        <v>0</v>
      </c>
      <c r="AR121" s="22">
        <f>'Activity data'!AR80*UDCPPEF*NtoN2O*kgtoGg</f>
        <v>0</v>
      </c>
      <c r="AS121" s="22">
        <f>'Activity data'!AS80*UDCPPEF*NtoN2O*kgtoGg</f>
        <v>0</v>
      </c>
      <c r="AT121" s="22">
        <f>'Activity data'!AT80*UDCPPEF*NtoN2O*kgtoGg</f>
        <v>0</v>
      </c>
      <c r="AU121" s="22">
        <f>'Activity data'!AU80*UDCPPEF*NtoN2O*kgtoGg</f>
        <v>0</v>
      </c>
      <c r="AV121" s="22">
        <f>'Activity data'!AV80*UDCPPEF*NtoN2O*kgtoGg</f>
        <v>0</v>
      </c>
      <c r="AW121" s="22">
        <f>'Activity data'!AW80*UDCPPEF*NtoN2O*kgtoGg</f>
        <v>0</v>
      </c>
      <c r="AX121" s="22">
        <f>'Activity data'!AX80*UDCPPEF*NtoN2O*kgtoGg</f>
        <v>0</v>
      </c>
      <c r="AY121" s="22">
        <f>'Activity data'!AY80*UDCPPEF*NtoN2O*kgtoGg</f>
        <v>0</v>
      </c>
      <c r="AZ121" s="22">
        <f>'Activity data'!AZ80*UDCPPEF*NtoN2O*kgtoGg</f>
        <v>0</v>
      </c>
      <c r="BA121" s="22">
        <f>'Activity data'!BA80*UDCPPEF*NtoN2O*kgtoGg</f>
        <v>0</v>
      </c>
      <c r="BB121" s="22">
        <f>'Activity data'!BB80*UDCPPEF*NtoN2O*kgtoGg</f>
        <v>0</v>
      </c>
      <c r="BC121" s="22">
        <f>'Activity data'!BC80*UDCPPEF*NtoN2O*kgtoGg</f>
        <v>0</v>
      </c>
      <c r="BD121" s="22">
        <f>'Activity data'!BD80*UDCPPEF*NtoN2O*kgtoGg</f>
        <v>0</v>
      </c>
      <c r="BE121" s="22">
        <f>'Activity data'!BE80*UDCPPEF*NtoN2O*kgtoGg</f>
        <v>0</v>
      </c>
      <c r="BF121" s="22">
        <f>'Activity data'!BF80*UDCPPEF*NtoN2O*kgtoGg</f>
        <v>0</v>
      </c>
      <c r="BG121" s="22">
        <f>'Activity data'!BG80*UDCPPEF*NtoN2O*kgtoGg</f>
        <v>0</v>
      </c>
      <c r="BH121" s="22">
        <f>'Activity data'!BH80*UDCPPEF*NtoN2O*kgtoGg</f>
        <v>0</v>
      </c>
      <c r="BI121" s="22">
        <f>'Activity data'!BI80*UDCPPEF*NtoN2O*kgtoGg</f>
        <v>0</v>
      </c>
      <c r="BJ121" s="22">
        <f>'Activity data'!BJ80*UDCPPEF*NtoN2O*kgtoGg</f>
        <v>0</v>
      </c>
      <c r="BK121" s="22">
        <f>'Activity data'!BK80*UDCPPEF*NtoN2O*kgtoGg</f>
        <v>0</v>
      </c>
      <c r="BL121" s="22">
        <f>'Activity data'!BL80*UDCPPEF*NtoN2O*kgtoGg</f>
        <v>0</v>
      </c>
      <c r="BM121" s="22">
        <f>'Activity data'!BM80*UDCPPEF*NtoN2O*kgtoGg</f>
        <v>0</v>
      </c>
      <c r="BN121" s="22">
        <f>'Activity data'!BN80*UDCPPEF*NtoN2O*kgtoGg</f>
        <v>0</v>
      </c>
      <c r="BO121" s="22">
        <f>'Activity data'!BO80*UDCPPEF*NtoN2O*kgtoGg</f>
        <v>0</v>
      </c>
      <c r="BP121" s="22">
        <f>'Activity data'!BP80*UDCPPEF*NtoN2O*kgtoGg</f>
        <v>0</v>
      </c>
    </row>
    <row r="122" spans="1:68" x14ac:dyDescent="0.25">
      <c r="A122" t="str">
        <f t="shared" si="29"/>
        <v>3C Aggregated and non-CO2 emissions on land</v>
      </c>
      <c r="B122" t="str">
        <f t="shared" si="31"/>
        <v>3C4 Direct N2O from managed soils (N2O)</v>
      </c>
      <c r="C122" t="s">
        <v>422</v>
      </c>
      <c r="D122" t="str">
        <f t="shared" si="38"/>
        <v xml:space="preserve"> - Commercial broilers</v>
      </c>
      <c r="E122" t="str">
        <f t="shared" si="32"/>
        <v>U&amp;D emissions - Commercial broilers</v>
      </c>
      <c r="F122" t="str">
        <f t="shared" si="36"/>
        <v>N2O</v>
      </c>
      <c r="G122" t="str">
        <f t="shared" si="37"/>
        <v>Gg N2O</v>
      </c>
      <c r="H122" s="22">
        <f>'Activity data'!H81*UDCPPEF*NtoN2O*kgtoGg</f>
        <v>0</v>
      </c>
      <c r="I122" s="22">
        <f>'Activity data'!I81*UDCPPEF*NtoN2O*kgtoGg</f>
        <v>0</v>
      </c>
      <c r="J122" s="22">
        <f>'Activity data'!J81*UDCPPEF*NtoN2O*kgtoGg</f>
        <v>0</v>
      </c>
      <c r="K122" s="22">
        <f>'Activity data'!K81*UDCPPEF*NtoN2O*kgtoGg</f>
        <v>0</v>
      </c>
      <c r="L122" s="22">
        <f>'Activity data'!L81*UDCPPEF*NtoN2O*kgtoGg</f>
        <v>0</v>
      </c>
      <c r="M122" s="22">
        <f>'Activity data'!M81*UDCPPEF*NtoN2O*kgtoGg</f>
        <v>0</v>
      </c>
      <c r="N122" s="22">
        <f>'Activity data'!N81*UDCPPEF*NtoN2O*kgtoGg</f>
        <v>0</v>
      </c>
      <c r="O122" s="22">
        <f>'Activity data'!O81*UDCPPEF*NtoN2O*kgtoGg</f>
        <v>0</v>
      </c>
      <c r="P122" s="22">
        <f>'Activity data'!P81*UDCPPEF*NtoN2O*kgtoGg</f>
        <v>0</v>
      </c>
      <c r="Q122" s="22">
        <f>'Activity data'!Q81*UDCPPEF*NtoN2O*kgtoGg</f>
        <v>0</v>
      </c>
      <c r="R122" s="22">
        <f>'Activity data'!R81*UDCPPEF*NtoN2O*kgtoGg</f>
        <v>0</v>
      </c>
      <c r="S122" s="22">
        <f>'Activity data'!S81*UDCPPEF*NtoN2O*kgtoGg</f>
        <v>0</v>
      </c>
      <c r="T122" s="22">
        <f>'Activity data'!T81*UDCPPEF*NtoN2O*kgtoGg</f>
        <v>0</v>
      </c>
      <c r="U122" s="22">
        <f>'Activity data'!U81*UDCPPEF*NtoN2O*kgtoGg</f>
        <v>0</v>
      </c>
      <c r="V122" s="22">
        <f>'Activity data'!V81*UDCPPEF*NtoN2O*kgtoGg</f>
        <v>0</v>
      </c>
      <c r="W122" s="22">
        <f>'Activity data'!W81*UDCPPEF*NtoN2O*kgtoGg</f>
        <v>0</v>
      </c>
      <c r="X122" s="22">
        <f>'Activity data'!X81*UDCPPEF*NtoN2O*kgtoGg</f>
        <v>0</v>
      </c>
      <c r="Y122" s="22">
        <f>'Activity data'!Y81*UDCPPEF*NtoN2O*kgtoGg</f>
        <v>0</v>
      </c>
      <c r="Z122" s="22">
        <f>'Activity data'!Z81*UDCPPEF*NtoN2O*kgtoGg</f>
        <v>0</v>
      </c>
      <c r="AA122" s="22">
        <f>'Activity data'!AA81*UDCPPEF*NtoN2O*kgtoGg</f>
        <v>0</v>
      </c>
      <c r="AB122" s="22">
        <f>'Activity data'!AB81*UDCPPEF*NtoN2O*kgtoGg</f>
        <v>0</v>
      </c>
      <c r="AC122" s="22">
        <f>'Activity data'!AC81*UDCPPEF*NtoN2O*kgtoGg</f>
        <v>0</v>
      </c>
      <c r="AD122" s="22">
        <f>'Activity data'!AD81*UDCPPEF*NtoN2O*kgtoGg</f>
        <v>0</v>
      </c>
      <c r="AE122" s="22">
        <f>'Activity data'!AE81*UDCPPEF*NtoN2O*kgtoGg</f>
        <v>0</v>
      </c>
      <c r="AF122" s="22">
        <f>'Activity data'!AF81*UDCPPEF*NtoN2O*kgtoGg</f>
        <v>0</v>
      </c>
      <c r="AG122" s="22">
        <f>'Activity data'!AG81*UDCPPEF*NtoN2O*kgtoGg</f>
        <v>0</v>
      </c>
      <c r="AH122" s="22">
        <f>'Activity data'!AH81*UDCPPEF*NtoN2O*kgtoGg</f>
        <v>0</v>
      </c>
      <c r="AI122" s="22">
        <f>'Activity data'!AI81*UDCPPEF*NtoN2O*kgtoGg</f>
        <v>0</v>
      </c>
      <c r="AJ122" s="22">
        <f>'Activity data'!AJ81*UDCPPEF*NtoN2O*kgtoGg</f>
        <v>0</v>
      </c>
      <c r="AK122" s="22">
        <f>'Activity data'!AK81*UDCPPEF*NtoN2O*kgtoGg</f>
        <v>0</v>
      </c>
      <c r="AL122" s="22">
        <f>'Activity data'!AL81*UDCPPEF*NtoN2O*kgtoGg</f>
        <v>0</v>
      </c>
      <c r="AM122" s="22">
        <f>'Activity data'!AM81*UDCPPEF*NtoN2O*kgtoGg</f>
        <v>0</v>
      </c>
      <c r="AN122" s="22">
        <f>'Activity data'!AN81*UDCPPEF*NtoN2O*kgtoGg</f>
        <v>0</v>
      </c>
      <c r="AO122" s="22">
        <f>'Activity data'!AO81*UDCPPEF*NtoN2O*kgtoGg</f>
        <v>0</v>
      </c>
      <c r="AP122" s="22">
        <f>'Activity data'!AP81*UDCPPEF*NtoN2O*kgtoGg</f>
        <v>0</v>
      </c>
      <c r="AQ122" s="22">
        <f>'Activity data'!AQ81*UDCPPEF*NtoN2O*kgtoGg</f>
        <v>0</v>
      </c>
      <c r="AR122" s="22">
        <f>'Activity data'!AR81*UDCPPEF*NtoN2O*kgtoGg</f>
        <v>0</v>
      </c>
      <c r="AS122" s="22">
        <f>'Activity data'!AS81*UDCPPEF*NtoN2O*kgtoGg</f>
        <v>0</v>
      </c>
      <c r="AT122" s="22">
        <f>'Activity data'!AT81*UDCPPEF*NtoN2O*kgtoGg</f>
        <v>0</v>
      </c>
      <c r="AU122" s="22">
        <f>'Activity data'!AU81*UDCPPEF*NtoN2O*kgtoGg</f>
        <v>0</v>
      </c>
      <c r="AV122" s="22">
        <f>'Activity data'!AV81*UDCPPEF*NtoN2O*kgtoGg</f>
        <v>0</v>
      </c>
      <c r="AW122" s="22">
        <f>'Activity data'!AW81*UDCPPEF*NtoN2O*kgtoGg</f>
        <v>0</v>
      </c>
      <c r="AX122" s="22">
        <f>'Activity data'!AX81*UDCPPEF*NtoN2O*kgtoGg</f>
        <v>0</v>
      </c>
      <c r="AY122" s="22">
        <f>'Activity data'!AY81*UDCPPEF*NtoN2O*kgtoGg</f>
        <v>0</v>
      </c>
      <c r="AZ122" s="22">
        <f>'Activity data'!AZ81*UDCPPEF*NtoN2O*kgtoGg</f>
        <v>0</v>
      </c>
      <c r="BA122" s="22">
        <f>'Activity data'!BA81*UDCPPEF*NtoN2O*kgtoGg</f>
        <v>0</v>
      </c>
      <c r="BB122" s="22">
        <f>'Activity data'!BB81*UDCPPEF*NtoN2O*kgtoGg</f>
        <v>0</v>
      </c>
      <c r="BC122" s="22">
        <f>'Activity data'!BC81*UDCPPEF*NtoN2O*kgtoGg</f>
        <v>0</v>
      </c>
      <c r="BD122" s="22">
        <f>'Activity data'!BD81*UDCPPEF*NtoN2O*kgtoGg</f>
        <v>0</v>
      </c>
      <c r="BE122" s="22">
        <f>'Activity data'!BE81*UDCPPEF*NtoN2O*kgtoGg</f>
        <v>0</v>
      </c>
      <c r="BF122" s="22">
        <f>'Activity data'!BF81*UDCPPEF*NtoN2O*kgtoGg</f>
        <v>0</v>
      </c>
      <c r="BG122" s="22">
        <f>'Activity data'!BG81*UDCPPEF*NtoN2O*kgtoGg</f>
        <v>0</v>
      </c>
      <c r="BH122" s="22">
        <f>'Activity data'!BH81*UDCPPEF*NtoN2O*kgtoGg</f>
        <v>0</v>
      </c>
      <c r="BI122" s="22">
        <f>'Activity data'!BI81*UDCPPEF*NtoN2O*kgtoGg</f>
        <v>0</v>
      </c>
      <c r="BJ122" s="22">
        <f>'Activity data'!BJ81*UDCPPEF*NtoN2O*kgtoGg</f>
        <v>0</v>
      </c>
      <c r="BK122" s="22">
        <f>'Activity data'!BK81*UDCPPEF*NtoN2O*kgtoGg</f>
        <v>0</v>
      </c>
      <c r="BL122" s="22">
        <f>'Activity data'!BL81*UDCPPEF*NtoN2O*kgtoGg</f>
        <v>0</v>
      </c>
      <c r="BM122" s="22">
        <f>'Activity data'!BM81*UDCPPEF*NtoN2O*kgtoGg</f>
        <v>0</v>
      </c>
      <c r="BN122" s="22">
        <f>'Activity data'!BN81*UDCPPEF*NtoN2O*kgtoGg</f>
        <v>0</v>
      </c>
      <c r="BO122" s="22">
        <f>'Activity data'!BO81*UDCPPEF*NtoN2O*kgtoGg</f>
        <v>0</v>
      </c>
      <c r="BP122" s="22">
        <f>'Activity data'!BP81*UDCPPEF*NtoN2O*kgtoGg</f>
        <v>0</v>
      </c>
    </row>
    <row r="123" spans="1:68" x14ac:dyDescent="0.25">
      <c r="A123" t="str">
        <f>A122</f>
        <v>3C Aggregated and non-CO2 emissions on land</v>
      </c>
      <c r="B123" t="str">
        <f t="shared" si="31"/>
        <v>3C4 Direct N2O from managed soils (N2O)</v>
      </c>
      <c r="C123" t="s">
        <v>60</v>
      </c>
      <c r="D123" t="str">
        <f>" - "&amp;'Activity data'!D87</f>
        <v xml:space="preserve"> - Forest remaining forest land</v>
      </c>
      <c r="E123" t="str">
        <f t="shared" si="32"/>
        <v>FSOM - Forest remaining forest land</v>
      </c>
      <c r="G123" t="str">
        <f t="shared" si="37"/>
        <v>Gg N2O</v>
      </c>
      <c r="H123" s="22" t="str">
        <f>IFERROR((('Activity data'!H87*(1/Constants!$H$135))*ttokg)*FSOMEF*NtoN2O*kgtoGg,"NO")</f>
        <v>NO</v>
      </c>
      <c r="I123" s="22" t="str">
        <f>IFERROR((('Activity data'!I87*(1/Constants!$H$135))*ttokg)*FSOMEF*NtoN2O*kgtoGg,"NO")</f>
        <v>NO</v>
      </c>
      <c r="J123" s="22" t="str">
        <f>IFERROR((('Activity data'!J87*(1/Constants!$H$135))*ttokg)*FSOMEF*NtoN2O*kgtoGg,"NO")</f>
        <v>NO</v>
      </c>
      <c r="K123" s="22" t="str">
        <f>IFERROR((('Activity data'!K87*(1/Constants!$H$135))*ttokg)*FSOMEF*NtoN2O*kgtoGg,"NO")</f>
        <v>NO</v>
      </c>
      <c r="L123" s="22" t="str">
        <f>IFERROR((('Activity data'!L87*(1/Constants!$H$135))*ttokg)*FSOMEF*NtoN2O*kgtoGg,"NO")</f>
        <v>NO</v>
      </c>
      <c r="M123" s="22" t="str">
        <f>IFERROR((('Activity data'!M87*(1/Constants!$H$135))*ttokg)*FSOMEF*NtoN2O*kgtoGg,"NO")</f>
        <v>NO</v>
      </c>
      <c r="N123" s="22" t="str">
        <f>IFERROR((('Activity data'!N87*(1/Constants!$H$135))*ttokg)*FSOMEF*NtoN2O*kgtoGg,"NO")</f>
        <v>NO</v>
      </c>
      <c r="O123" s="22" t="str">
        <f>IFERROR((('Activity data'!O87*(1/Constants!$H$135))*ttokg)*FSOMEF*NtoN2O*kgtoGg,"NO")</f>
        <v>NO</v>
      </c>
      <c r="P123" s="22" t="str">
        <f>IFERROR((('Activity data'!P87*(1/Constants!$H$135))*ttokg)*FSOMEF*NtoN2O*kgtoGg,"NO")</f>
        <v>NO</v>
      </c>
      <c r="Q123" s="22" t="str">
        <f>IFERROR((('Activity data'!Q87*(1/Constants!$H$135))*ttokg)*FSOMEF*NtoN2O*kgtoGg,"NO")</f>
        <v>NO</v>
      </c>
      <c r="R123" s="22" t="str">
        <f>IFERROR((('Activity data'!R87*(1/Constants!$H$135))*ttokg)*FSOMEF*NtoN2O*kgtoGg,"NO")</f>
        <v>NO</v>
      </c>
      <c r="S123" s="22" t="str">
        <f>IFERROR((('Activity data'!S87*(1/Constants!$H$135))*ttokg)*FSOMEF*NtoN2O*kgtoGg,"NO")</f>
        <v>NO</v>
      </c>
      <c r="T123" s="22" t="str">
        <f>IFERROR((('Activity data'!T87*(1/Constants!$H$135))*ttokg)*FSOMEF*NtoN2O*kgtoGg,"NO")</f>
        <v>NO</v>
      </c>
      <c r="U123" s="22" t="str">
        <f>IFERROR((('Activity data'!U87*(1/Constants!$H$135))*ttokg)*FSOMEF*NtoN2O*kgtoGg,"NO")</f>
        <v>NO</v>
      </c>
      <c r="V123" s="22" t="str">
        <f>IFERROR((('Activity data'!V87*(1/Constants!$H$135))*ttokg)*FSOMEF*NtoN2O*kgtoGg,"NO")</f>
        <v>NO</v>
      </c>
      <c r="W123" s="22" t="str">
        <f>IFERROR((('Activity data'!W87*(1/Constants!$H$135))*ttokg)*FSOMEF*NtoN2O*kgtoGg,"NO")</f>
        <v>NO</v>
      </c>
      <c r="X123" s="22" t="str">
        <f>IFERROR((('Activity data'!X87*(1/Constants!$H$135))*ttokg)*FSOMEF*NtoN2O*kgtoGg,"NO")</f>
        <v>NO</v>
      </c>
      <c r="Y123" s="22" t="str">
        <f>IFERROR((('Activity data'!Y87*(1/Constants!$H$135))*ttokg)*FSOMEF*NtoN2O*kgtoGg,"NO")</f>
        <v>NO</v>
      </c>
      <c r="Z123" s="22" t="str">
        <f>IFERROR((('Activity data'!Z87*(1/Constants!$H$135))*ttokg)*FSOMEF*NtoN2O*kgtoGg,"NO")</f>
        <v>NO</v>
      </c>
      <c r="AA123" s="22" t="str">
        <f>IFERROR((('Activity data'!AA87*(1/Constants!$H$135))*ttokg)*FSOMEF*NtoN2O*kgtoGg,"NO")</f>
        <v>NO</v>
      </c>
      <c r="AB123" s="22" t="str">
        <f>IFERROR((('Activity data'!AB87*(1/Constants!$H$135))*ttokg)*FSOMEF*NtoN2O*kgtoGg,"NO")</f>
        <v>NO</v>
      </c>
      <c r="AC123" s="22" t="str">
        <f>IFERROR((('Activity data'!AC87*(1/Constants!$H$135))*ttokg)*FSOMEF*NtoN2O*kgtoGg,"NO")</f>
        <v>NO</v>
      </c>
      <c r="AD123" s="22" t="str">
        <f>IFERROR((('Activity data'!AD87*(1/Constants!$H$135))*ttokg)*FSOMEF*NtoN2O*kgtoGg,"NO")</f>
        <v>NO</v>
      </c>
      <c r="AE123" s="22" t="str">
        <f>IFERROR((('Activity data'!AE87*(1/Constants!$H$135))*ttokg)*FSOMEF*NtoN2O*kgtoGg,"NO")</f>
        <v>NO</v>
      </c>
      <c r="AF123" s="22" t="str">
        <f>IFERROR((('Activity data'!AF87*(1/Constants!$H$135))*ttokg)*FSOMEF*NtoN2O*kgtoGg,"NO")</f>
        <v>NO</v>
      </c>
      <c r="AG123" s="22" t="str">
        <f>IFERROR((('Activity data'!AG87*(1/Constants!$H$135))*ttokg)*FSOMEF*NtoN2O*kgtoGg,"NO")</f>
        <v>NO</v>
      </c>
      <c r="AH123" s="22" t="str">
        <f>IFERROR((('Activity data'!AH87*(1/Constants!$H$135))*ttokg)*FSOMEF*NtoN2O*kgtoGg,"NO")</f>
        <v>NO</v>
      </c>
      <c r="AI123" s="22" t="str">
        <f>IFERROR((('Activity data'!AI87*(1/Constants!$H$135))*ttokg)*FSOMEF*NtoN2O*kgtoGg,"NO")</f>
        <v>NO</v>
      </c>
      <c r="AJ123" s="22" t="str">
        <f>IFERROR((('Activity data'!AJ87*(1/Constants!$H$135))*ttokg)*FSOMEF*NtoN2O*kgtoGg,"NO")</f>
        <v>NO</v>
      </c>
      <c r="AK123" s="22" t="str">
        <f>IFERROR((('Activity data'!AK87*(1/Constants!$H$135))*ttokg)*FSOMEF*NtoN2O*kgtoGg,"NO")</f>
        <v>NO</v>
      </c>
      <c r="AL123" s="22" t="str">
        <f>IFERROR((('Activity data'!AL87*(1/Constants!$H$135))*ttokg)*FSOMEF*NtoN2O*kgtoGg,"NO")</f>
        <v>NO</v>
      </c>
      <c r="AM123" s="22" t="str">
        <f>IFERROR((('Activity data'!AM87*(1/Constants!$H$135))*ttokg)*FSOMEF*NtoN2O*kgtoGg,"NO")</f>
        <v>NO</v>
      </c>
      <c r="AN123" s="22" t="str">
        <f>IFERROR((('Activity data'!AN87*(1/Constants!$H$135))*ttokg)*FSOMEF*NtoN2O*kgtoGg,"NO")</f>
        <v>NO</v>
      </c>
      <c r="AO123" s="22" t="str">
        <f>IFERROR((('Activity data'!AO87*(1/Constants!$H$135))*ttokg)*FSOMEF*NtoN2O*kgtoGg,"NO")</f>
        <v>NO</v>
      </c>
      <c r="AP123" s="22" t="str">
        <f>IFERROR((('Activity data'!AP87*(1/Constants!$H$135))*ttokg)*FSOMEF*NtoN2O*kgtoGg,"NO")</f>
        <v>NO</v>
      </c>
      <c r="AQ123" s="22" t="str">
        <f>IFERROR((('Activity data'!AQ87*(1/Constants!$H$135))*ttokg)*FSOMEF*NtoN2O*kgtoGg,"NO")</f>
        <v>NO</v>
      </c>
      <c r="AR123" s="22" t="str">
        <f>IFERROR((('Activity data'!AR87*(1/Constants!$H$135))*ttokg)*FSOMEF*NtoN2O*kgtoGg,"NO")</f>
        <v>NO</v>
      </c>
      <c r="AS123" s="22" t="str">
        <f>IFERROR((('Activity data'!AS87*(1/Constants!$H$135))*ttokg)*FSOMEF*NtoN2O*kgtoGg,"NO")</f>
        <v>NO</v>
      </c>
      <c r="AT123" s="22" t="str">
        <f>IFERROR((('Activity data'!AT87*(1/Constants!$H$135))*ttokg)*FSOMEF*NtoN2O*kgtoGg,"NO")</f>
        <v>NO</v>
      </c>
      <c r="AU123" s="22" t="str">
        <f>IFERROR((('Activity data'!AU87*(1/Constants!$H$135))*ttokg)*FSOMEF*NtoN2O*kgtoGg,"NO")</f>
        <v>NO</v>
      </c>
      <c r="AV123" s="22" t="str">
        <f>IFERROR((('Activity data'!AV87*(1/Constants!$H$135))*ttokg)*FSOMEF*NtoN2O*kgtoGg,"NO")</f>
        <v>NO</v>
      </c>
      <c r="AW123" s="22" t="str">
        <f>IFERROR((('Activity data'!AW87*(1/Constants!$H$135))*ttokg)*FSOMEF*NtoN2O*kgtoGg,"NO")</f>
        <v>NO</v>
      </c>
      <c r="AX123" s="22" t="str">
        <f>IFERROR((('Activity data'!AX87*(1/Constants!$H$135))*ttokg)*FSOMEF*NtoN2O*kgtoGg,"NO")</f>
        <v>NO</v>
      </c>
      <c r="AY123" s="22" t="str">
        <f>IFERROR((('Activity data'!AY87*(1/Constants!$H$135))*ttokg)*FSOMEF*NtoN2O*kgtoGg,"NO")</f>
        <v>NO</v>
      </c>
      <c r="AZ123" s="22" t="str">
        <f>IFERROR((('Activity data'!AZ87*(1/Constants!$H$135))*ttokg)*FSOMEF*NtoN2O*kgtoGg,"NO")</f>
        <v>NO</v>
      </c>
      <c r="BA123" s="22" t="str">
        <f>IFERROR((('Activity data'!BA87*(1/Constants!$H$135))*ttokg)*FSOMEF*NtoN2O*kgtoGg,"NO")</f>
        <v>NO</v>
      </c>
      <c r="BB123" s="22" t="str">
        <f>IFERROR((('Activity data'!BB87*(1/Constants!$H$135))*ttokg)*FSOMEF*NtoN2O*kgtoGg,"NO")</f>
        <v>NO</v>
      </c>
      <c r="BC123" s="22" t="str">
        <f>IFERROR((('Activity data'!BC87*(1/Constants!$H$135))*ttokg)*FSOMEF*NtoN2O*kgtoGg,"NO")</f>
        <v>NO</v>
      </c>
      <c r="BD123" s="22" t="str">
        <f>IFERROR((('Activity data'!BD87*(1/Constants!$H$135))*ttokg)*FSOMEF*NtoN2O*kgtoGg,"NO")</f>
        <v>NO</v>
      </c>
      <c r="BE123" s="22" t="str">
        <f>IFERROR((('Activity data'!BE87*(1/Constants!$H$135))*ttokg)*FSOMEF*NtoN2O*kgtoGg,"NO")</f>
        <v>NO</v>
      </c>
      <c r="BF123" s="22" t="str">
        <f>IFERROR((('Activity data'!BF87*(1/Constants!$H$135))*ttokg)*FSOMEF*NtoN2O*kgtoGg,"NO")</f>
        <v>NO</v>
      </c>
      <c r="BG123" s="22" t="str">
        <f>IFERROR((('Activity data'!BG87*(1/Constants!$H$135))*ttokg)*FSOMEF*NtoN2O*kgtoGg,"NO")</f>
        <v>NO</v>
      </c>
      <c r="BH123" s="22" t="str">
        <f>IFERROR((('Activity data'!BH87*(1/Constants!$H$135))*ttokg)*FSOMEF*NtoN2O*kgtoGg,"NO")</f>
        <v>NO</v>
      </c>
      <c r="BI123" s="22" t="str">
        <f>IFERROR((('Activity data'!BI87*(1/Constants!$H$135))*ttokg)*FSOMEF*NtoN2O*kgtoGg,"NO")</f>
        <v>NO</v>
      </c>
      <c r="BJ123" s="22" t="str">
        <f>IFERROR((('Activity data'!BJ87*(1/Constants!$H$135))*ttokg)*FSOMEF*NtoN2O*kgtoGg,"NO")</f>
        <v>NO</v>
      </c>
      <c r="BK123" s="22" t="str">
        <f>IFERROR((('Activity data'!BK87*(1/Constants!$H$135))*ttokg)*FSOMEF*NtoN2O*kgtoGg,"NO")</f>
        <v>NO</v>
      </c>
      <c r="BL123" s="22" t="str">
        <f>IFERROR((('Activity data'!BL87*(1/Constants!$H$135))*ttokg)*FSOMEF*NtoN2O*kgtoGg,"NO")</f>
        <v>NO</v>
      </c>
      <c r="BM123" s="22" t="str">
        <f>IFERROR((('Activity data'!BM87*(1/Constants!$H$135))*ttokg)*FSOMEF*NtoN2O*kgtoGg,"NO")</f>
        <v>NO</v>
      </c>
      <c r="BN123" s="22" t="str">
        <f>IFERROR((('Activity data'!BN87*(1/Constants!$H$135))*ttokg)*FSOMEF*NtoN2O*kgtoGg,"NO")</f>
        <v>NO</v>
      </c>
      <c r="BO123" s="22" t="str">
        <f>IFERROR((('Activity data'!BO87*(1/Constants!$H$135))*ttokg)*FSOMEF*NtoN2O*kgtoGg,"NO")</f>
        <v>NO</v>
      </c>
      <c r="BP123" s="22" t="str">
        <f>IFERROR((('Activity data'!BP87*(1/Constants!$H$135))*ttokg)*FSOMEF*NtoN2O*kgtoGg,"NO")</f>
        <v>NO</v>
      </c>
    </row>
    <row r="124" spans="1:68" x14ac:dyDescent="0.25">
      <c r="A124" t="str">
        <f t="shared" ref="A124:A134" si="39">A123</f>
        <v>3C Aggregated and non-CO2 emissions on land</v>
      </c>
      <c r="B124" t="str">
        <f t="shared" si="31"/>
        <v>3C4 Direct N2O from managed soils (N2O)</v>
      </c>
      <c r="C124" t="s">
        <v>60</v>
      </c>
      <c r="D124" t="str">
        <f>" - "&amp;'Activity data'!D88</f>
        <v xml:space="preserve"> - Land converted to forest land</v>
      </c>
      <c r="E124" t="str">
        <f t="shared" ref="E124:E128" si="40">C124&amp;D124</f>
        <v>FSOM - Land converted to forest land</v>
      </c>
      <c r="G124" t="str">
        <f t="shared" si="37"/>
        <v>Gg N2O</v>
      </c>
      <c r="H124" s="22" t="str">
        <f>IFERROR(('Activity data'!H88*(1/Constants!$H$135))*ttokg*FSOMEF*NtoN2O*kgtoGg,"NO")</f>
        <v>NO</v>
      </c>
      <c r="I124" s="22" t="str">
        <f>IFERROR(('Activity data'!I88*(1/Constants!$H$135))*ttokg*FSOMEF*NtoN2O*kgtoGg,"NO")</f>
        <v>NO</v>
      </c>
      <c r="J124" s="22" t="str">
        <f>IFERROR(('Activity data'!J88*(1/Constants!$H$135))*ttokg*FSOMEF*NtoN2O*kgtoGg,"NO")</f>
        <v>NO</v>
      </c>
      <c r="K124" s="22" t="str">
        <f>IFERROR(('Activity data'!K88*(1/Constants!$H$135))*ttokg*FSOMEF*NtoN2O*kgtoGg,"NO")</f>
        <v>NO</v>
      </c>
      <c r="L124" s="22" t="str">
        <f>IFERROR(('Activity data'!L88*(1/Constants!$H$135))*ttokg*FSOMEF*NtoN2O*kgtoGg,"NO")</f>
        <v>NO</v>
      </c>
      <c r="M124" s="22" t="str">
        <f>IFERROR(('Activity data'!M88*(1/Constants!$H$135))*ttokg*FSOMEF*NtoN2O*kgtoGg,"NO")</f>
        <v>NO</v>
      </c>
      <c r="N124" s="22" t="str">
        <f>IFERROR(('Activity data'!N88*(1/Constants!$H$135))*ttokg*FSOMEF*NtoN2O*kgtoGg,"NO")</f>
        <v>NO</v>
      </c>
      <c r="O124" s="22" t="str">
        <f>IFERROR(('Activity data'!O88*(1/Constants!$H$135))*ttokg*FSOMEF*NtoN2O*kgtoGg,"NO")</f>
        <v>NO</v>
      </c>
      <c r="P124" s="22" t="str">
        <f>IFERROR(('Activity data'!P88*(1/Constants!$H$135))*ttokg*FSOMEF*NtoN2O*kgtoGg,"NO")</f>
        <v>NO</v>
      </c>
      <c r="Q124" s="22" t="str">
        <f>IFERROR(('Activity data'!Q88*(1/Constants!$H$135))*ttokg*FSOMEF*NtoN2O*kgtoGg,"NO")</f>
        <v>NO</v>
      </c>
      <c r="R124" s="22" t="str">
        <f>IFERROR(('Activity data'!R88*(1/Constants!$H$135))*ttokg*FSOMEF*NtoN2O*kgtoGg,"NO")</f>
        <v>NO</v>
      </c>
      <c r="S124" s="22" t="str">
        <f>IFERROR(('Activity data'!S88*(1/Constants!$H$135))*ttokg*FSOMEF*NtoN2O*kgtoGg,"NO")</f>
        <v>NO</v>
      </c>
      <c r="T124" s="22" t="str">
        <f>IFERROR(('Activity data'!T88*(1/Constants!$H$135))*ttokg*FSOMEF*NtoN2O*kgtoGg,"NO")</f>
        <v>NO</v>
      </c>
      <c r="U124" s="22" t="str">
        <f>IFERROR(('Activity data'!U88*(1/Constants!$H$135))*ttokg*FSOMEF*NtoN2O*kgtoGg,"NO")</f>
        <v>NO</v>
      </c>
      <c r="V124" s="22" t="str">
        <f>IFERROR(('Activity data'!V88*(1/Constants!$H$135))*ttokg*FSOMEF*NtoN2O*kgtoGg,"NO")</f>
        <v>NO</v>
      </c>
      <c r="W124" s="22" t="str">
        <f>IFERROR(('Activity data'!W88*(1/Constants!$H$135))*ttokg*FSOMEF*NtoN2O*kgtoGg,"NO")</f>
        <v>NO</v>
      </c>
      <c r="X124" s="22" t="str">
        <f>IFERROR(('Activity data'!X88*(1/Constants!$H$135))*ttokg*FSOMEF*NtoN2O*kgtoGg,"NO")</f>
        <v>NO</v>
      </c>
      <c r="Y124" s="22" t="str">
        <f>IFERROR(('Activity data'!Y88*(1/Constants!$H$135))*ttokg*FSOMEF*NtoN2O*kgtoGg,"NO")</f>
        <v>NO</v>
      </c>
      <c r="Z124" s="22" t="str">
        <f>IFERROR(('Activity data'!Z88*(1/Constants!$H$135))*ttokg*FSOMEF*NtoN2O*kgtoGg,"NO")</f>
        <v>NO</v>
      </c>
      <c r="AA124" s="22" t="str">
        <f>IFERROR(('Activity data'!AA88*(1/Constants!$H$135))*ttokg*FSOMEF*NtoN2O*kgtoGg,"NO")</f>
        <v>NO</v>
      </c>
      <c r="AB124" s="22" t="str">
        <f>IFERROR(('Activity data'!AB88*(1/Constants!$H$135))*ttokg*FSOMEF*NtoN2O*kgtoGg,"NO")</f>
        <v>NO</v>
      </c>
      <c r="AC124" s="22" t="str">
        <f>IFERROR(('Activity data'!AC88*(1/Constants!$H$135))*ttokg*FSOMEF*NtoN2O*kgtoGg,"NO")</f>
        <v>NO</v>
      </c>
      <c r="AD124" s="22" t="str">
        <f>IFERROR(('Activity data'!AD88*(1/Constants!$H$135))*ttokg*FSOMEF*NtoN2O*kgtoGg,"NO")</f>
        <v>NO</v>
      </c>
      <c r="AE124" s="22" t="str">
        <f>IFERROR(('Activity data'!AE88*(1/Constants!$H$135))*ttokg*FSOMEF*NtoN2O*kgtoGg,"NO")</f>
        <v>NO</v>
      </c>
      <c r="AF124" s="22" t="str">
        <f>IFERROR(('Activity data'!AF88*(1/Constants!$H$135))*ttokg*FSOMEF*NtoN2O*kgtoGg,"NO")</f>
        <v>NO</v>
      </c>
      <c r="AG124" s="22" t="str">
        <f>IFERROR(('Activity data'!AG88*(1/Constants!$H$135))*ttokg*FSOMEF*NtoN2O*kgtoGg,"NO")</f>
        <v>NO</v>
      </c>
      <c r="AH124" s="22" t="str">
        <f>IFERROR(('Activity data'!AH88*(1/Constants!$H$135))*ttokg*FSOMEF*NtoN2O*kgtoGg,"NO")</f>
        <v>NO</v>
      </c>
      <c r="AI124" s="22" t="str">
        <f>IFERROR(('Activity data'!AI88*(1/Constants!$H$135))*ttokg*FSOMEF*NtoN2O*kgtoGg,"NO")</f>
        <v>NO</v>
      </c>
      <c r="AJ124" s="22" t="str">
        <f>IFERROR(('Activity data'!AJ88*(1/Constants!$H$135))*ttokg*FSOMEF*NtoN2O*kgtoGg,"NO")</f>
        <v>NO</v>
      </c>
      <c r="AK124" s="22" t="str">
        <f>IFERROR(('Activity data'!AK88*(1/Constants!$H$135))*ttokg*FSOMEF*NtoN2O*kgtoGg,"NO")</f>
        <v>NO</v>
      </c>
      <c r="AL124" s="22" t="str">
        <f>IFERROR(('Activity data'!AL88*(1/Constants!$H$135))*ttokg*FSOMEF*NtoN2O*kgtoGg,"NO")</f>
        <v>NO</v>
      </c>
      <c r="AM124" s="22" t="str">
        <f>IFERROR(('Activity data'!AM88*(1/Constants!$H$135))*ttokg*FSOMEF*NtoN2O*kgtoGg,"NO")</f>
        <v>NO</v>
      </c>
      <c r="AN124" s="22" t="str">
        <f>IFERROR(('Activity data'!AN88*(1/Constants!$H$135))*ttokg*FSOMEF*NtoN2O*kgtoGg,"NO")</f>
        <v>NO</v>
      </c>
      <c r="AO124" s="22" t="str">
        <f>IFERROR(('Activity data'!AO88*(1/Constants!$H$135))*ttokg*FSOMEF*NtoN2O*kgtoGg,"NO")</f>
        <v>NO</v>
      </c>
      <c r="AP124" s="22" t="str">
        <f>IFERROR(('Activity data'!AP88*(1/Constants!$H$135))*ttokg*FSOMEF*NtoN2O*kgtoGg,"NO")</f>
        <v>NO</v>
      </c>
      <c r="AQ124" s="22" t="str">
        <f>IFERROR(('Activity data'!AQ88*(1/Constants!$H$135))*ttokg*FSOMEF*NtoN2O*kgtoGg,"NO")</f>
        <v>NO</v>
      </c>
      <c r="AR124" s="22" t="str">
        <f>IFERROR(('Activity data'!AR88*(1/Constants!$H$135))*ttokg*FSOMEF*NtoN2O*kgtoGg,"NO")</f>
        <v>NO</v>
      </c>
      <c r="AS124" s="22" t="str">
        <f>IFERROR(('Activity data'!AS88*(1/Constants!$H$135))*ttokg*FSOMEF*NtoN2O*kgtoGg,"NO")</f>
        <v>NO</v>
      </c>
      <c r="AT124" s="22" t="str">
        <f>IFERROR(('Activity data'!AT88*(1/Constants!$H$135))*ttokg*FSOMEF*NtoN2O*kgtoGg,"NO")</f>
        <v>NO</v>
      </c>
      <c r="AU124" s="22" t="str">
        <f>IFERROR(('Activity data'!AU88*(1/Constants!$H$135))*ttokg*FSOMEF*NtoN2O*kgtoGg,"NO")</f>
        <v>NO</v>
      </c>
      <c r="AV124" s="22" t="str">
        <f>IFERROR(('Activity data'!AV88*(1/Constants!$H$135))*ttokg*FSOMEF*NtoN2O*kgtoGg,"NO")</f>
        <v>NO</v>
      </c>
      <c r="AW124" s="22" t="str">
        <f>IFERROR(('Activity data'!AW88*(1/Constants!$H$135))*ttokg*FSOMEF*NtoN2O*kgtoGg,"NO")</f>
        <v>NO</v>
      </c>
      <c r="AX124" s="22" t="str">
        <f>IFERROR(('Activity data'!AX88*(1/Constants!$H$135))*ttokg*FSOMEF*NtoN2O*kgtoGg,"NO")</f>
        <v>NO</v>
      </c>
      <c r="AY124" s="22" t="str">
        <f>IFERROR(('Activity data'!AY88*(1/Constants!$H$135))*ttokg*FSOMEF*NtoN2O*kgtoGg,"NO")</f>
        <v>NO</v>
      </c>
      <c r="AZ124" s="22" t="str">
        <f>IFERROR(('Activity data'!AZ88*(1/Constants!$H$135))*ttokg*FSOMEF*NtoN2O*kgtoGg,"NO")</f>
        <v>NO</v>
      </c>
      <c r="BA124" s="22" t="str">
        <f>IFERROR(('Activity data'!BA88*(1/Constants!$H$135))*ttokg*FSOMEF*NtoN2O*kgtoGg,"NO")</f>
        <v>NO</v>
      </c>
      <c r="BB124" s="22" t="str">
        <f>IFERROR(('Activity data'!BB88*(1/Constants!$H$135))*ttokg*FSOMEF*NtoN2O*kgtoGg,"NO")</f>
        <v>NO</v>
      </c>
      <c r="BC124" s="22" t="str">
        <f>IFERROR(('Activity data'!BC88*(1/Constants!$H$135))*ttokg*FSOMEF*NtoN2O*kgtoGg,"NO")</f>
        <v>NO</v>
      </c>
      <c r="BD124" s="22" t="str">
        <f>IFERROR(('Activity data'!BD88*(1/Constants!$H$135))*ttokg*FSOMEF*NtoN2O*kgtoGg,"NO")</f>
        <v>NO</v>
      </c>
      <c r="BE124" s="22" t="str">
        <f>IFERROR(('Activity data'!BE88*(1/Constants!$H$135))*ttokg*FSOMEF*NtoN2O*kgtoGg,"NO")</f>
        <v>NO</v>
      </c>
      <c r="BF124" s="22" t="str">
        <f>IFERROR(('Activity data'!BF88*(1/Constants!$H$135))*ttokg*FSOMEF*NtoN2O*kgtoGg,"NO")</f>
        <v>NO</v>
      </c>
      <c r="BG124" s="22" t="str">
        <f>IFERROR(('Activity data'!BG88*(1/Constants!$H$135))*ttokg*FSOMEF*NtoN2O*kgtoGg,"NO")</f>
        <v>NO</v>
      </c>
      <c r="BH124" s="22" t="str">
        <f>IFERROR(('Activity data'!BH88*(1/Constants!$H$135))*ttokg*FSOMEF*NtoN2O*kgtoGg,"NO")</f>
        <v>NO</v>
      </c>
      <c r="BI124" s="22" t="str">
        <f>IFERROR(('Activity data'!BI88*(1/Constants!$H$135))*ttokg*FSOMEF*NtoN2O*kgtoGg,"NO")</f>
        <v>NO</v>
      </c>
      <c r="BJ124" s="22" t="str">
        <f>IFERROR(('Activity data'!BJ88*(1/Constants!$H$135))*ttokg*FSOMEF*NtoN2O*kgtoGg,"NO")</f>
        <v>NO</v>
      </c>
      <c r="BK124" s="22" t="str">
        <f>IFERROR(('Activity data'!BK88*(1/Constants!$H$135))*ttokg*FSOMEF*NtoN2O*kgtoGg,"NO")</f>
        <v>NO</v>
      </c>
      <c r="BL124" s="22" t="str">
        <f>IFERROR(('Activity data'!BL88*(1/Constants!$H$135))*ttokg*FSOMEF*NtoN2O*kgtoGg,"NO")</f>
        <v>NO</v>
      </c>
      <c r="BM124" s="22" t="str">
        <f>IFERROR(('Activity data'!BM88*(1/Constants!$H$135))*ttokg*FSOMEF*NtoN2O*kgtoGg,"NO")</f>
        <v>NO</v>
      </c>
      <c r="BN124" s="22" t="str">
        <f>IFERROR(('Activity data'!BN88*(1/Constants!$H$135))*ttokg*FSOMEF*NtoN2O*kgtoGg,"NO")</f>
        <v>NO</v>
      </c>
      <c r="BO124" s="22" t="str">
        <f>IFERROR(('Activity data'!BO88*(1/Constants!$H$135))*ttokg*FSOMEF*NtoN2O*kgtoGg,"NO")</f>
        <v>NO</v>
      </c>
      <c r="BP124" s="22" t="str">
        <f>IFERROR(('Activity data'!BP88*(1/Constants!$H$135))*ttokg*FSOMEF*NtoN2O*kgtoGg,"NO")</f>
        <v>NO</v>
      </c>
    </row>
    <row r="125" spans="1:68" x14ac:dyDescent="0.25">
      <c r="A125" t="str">
        <f t="shared" si="39"/>
        <v>3C Aggregated and non-CO2 emissions on land</v>
      </c>
      <c r="B125" t="str">
        <f t="shared" si="31"/>
        <v>3C4 Direct N2O from managed soils (N2O)</v>
      </c>
      <c r="C125" t="s">
        <v>60</v>
      </c>
      <c r="D125" t="str">
        <f>" - "&amp;'Activity data'!D89</f>
        <v xml:space="preserve"> - Cropland remaining cropland</v>
      </c>
      <c r="E125" t="str">
        <f t="shared" si="40"/>
        <v>FSOM - Cropland remaining cropland</v>
      </c>
      <c r="G125" t="str">
        <f t="shared" si="37"/>
        <v>Gg N2O</v>
      </c>
      <c r="H125" s="22" t="str">
        <f>IFERROR(('Activity data'!H89*(1/Constants!$H$135))*ttokg*FSOMEF*NtoN2O*kgtoGg,"NO")</f>
        <v>NO</v>
      </c>
      <c r="I125" s="22">
        <f>IFERROR(('Activity data'!I89*(1/Constants!$H$135))*ttokg*FSOMEF*NtoN2O*kgtoGg,"NO")</f>
        <v>4.4409793738676062E-4</v>
      </c>
      <c r="J125" s="22">
        <f>IFERROR(('Activity data'!J89*(1/Constants!$H$135))*ttokg*FSOMEF*NtoN2O*kgtoGg,"NO")</f>
        <v>4.4409793738676062E-4</v>
      </c>
      <c r="K125" s="22">
        <f>IFERROR(('Activity data'!K89*(1/Constants!$H$135))*ttokg*FSOMEF*NtoN2O*kgtoGg,"NO")</f>
        <v>4.4409793738676062E-4</v>
      </c>
      <c r="L125" s="22">
        <f>IFERROR(('Activity data'!L89*(1/Constants!$H$135))*ttokg*FSOMEF*NtoN2O*kgtoGg,"NO")</f>
        <v>4.4409793738676062E-4</v>
      </c>
      <c r="M125" s="22">
        <f>IFERROR(('Activity data'!M89*(1/Constants!$H$135))*ttokg*FSOMEF*NtoN2O*kgtoGg,"NO")</f>
        <v>4.4409793738676062E-4</v>
      </c>
      <c r="N125" s="22">
        <f>IFERROR(('Activity data'!N89*(1/Constants!$H$135))*ttokg*FSOMEF*NtoN2O*kgtoGg,"NO")</f>
        <v>4.4409793738676062E-4</v>
      </c>
      <c r="O125" s="22">
        <f>IFERROR(('Activity data'!O89*(1/Constants!$H$135))*ttokg*FSOMEF*NtoN2O*kgtoGg,"NO")</f>
        <v>4.4409793738676062E-4</v>
      </c>
      <c r="P125" s="22">
        <f>IFERROR(('Activity data'!P89*(1/Constants!$H$135))*ttokg*FSOMEF*NtoN2O*kgtoGg,"NO")</f>
        <v>4.4409793738676062E-4</v>
      </c>
      <c r="Q125" s="22">
        <f>IFERROR(('Activity data'!Q89*(1/Constants!$H$135))*ttokg*FSOMEF*NtoN2O*kgtoGg,"NO")</f>
        <v>4.4409793738676062E-4</v>
      </c>
      <c r="R125" s="22">
        <f>IFERROR(('Activity data'!R89*(1/Constants!$H$135))*ttokg*FSOMEF*NtoN2O*kgtoGg,"NO")</f>
        <v>4.4409793738676062E-4</v>
      </c>
      <c r="S125" s="22">
        <f>IFERROR(('Activity data'!S89*(1/Constants!$H$135))*ttokg*FSOMEF*NtoN2O*kgtoGg,"NO")</f>
        <v>4.4409793738676062E-4</v>
      </c>
      <c r="T125" s="22">
        <f>IFERROR(('Activity data'!T89*(1/Constants!$H$135))*ttokg*FSOMEF*NtoN2O*kgtoGg,"NO")</f>
        <v>4.4409793738676062E-4</v>
      </c>
      <c r="U125" s="22">
        <f>IFERROR(('Activity data'!U89*(1/Constants!$H$135))*ttokg*FSOMEF*NtoN2O*kgtoGg,"NO")</f>
        <v>4.4409793738676062E-4</v>
      </c>
      <c r="V125" s="22">
        <f>IFERROR(('Activity data'!V89*(1/Constants!$H$135))*ttokg*FSOMEF*NtoN2O*kgtoGg,"NO")</f>
        <v>4.4409793738676062E-4</v>
      </c>
      <c r="W125" s="22">
        <f>IFERROR(('Activity data'!W89*(1/Constants!$H$135))*ttokg*FSOMEF*NtoN2O*kgtoGg,"NO")</f>
        <v>4.4409793738676062E-4</v>
      </c>
      <c r="X125" s="22">
        <f>IFERROR(('Activity data'!X89*(1/Constants!$H$135))*ttokg*FSOMEF*NtoN2O*kgtoGg,"NO")</f>
        <v>4.4409793738676062E-4</v>
      </c>
      <c r="Y125" s="22">
        <f>IFERROR(('Activity data'!Y89*(1/Constants!$H$135))*ttokg*FSOMEF*NtoN2O*kgtoGg,"NO")</f>
        <v>4.4409793738676062E-4</v>
      </c>
      <c r="Z125" s="22">
        <f>IFERROR(('Activity data'!Z89*(1/Constants!$H$135))*ttokg*FSOMEF*NtoN2O*kgtoGg,"NO")</f>
        <v>4.4409793738676062E-4</v>
      </c>
      <c r="AA125" s="22">
        <f>IFERROR(('Activity data'!AA89*(1/Constants!$H$135))*ttokg*FSOMEF*NtoN2O*kgtoGg,"NO")</f>
        <v>4.4409793738676062E-4</v>
      </c>
      <c r="AB125" s="22">
        <f>IFERROR(('Activity data'!AB89*(1/Constants!$H$135))*ttokg*FSOMEF*NtoN2O*kgtoGg,"NO")</f>
        <v>4.4409793738676062E-4</v>
      </c>
      <c r="AC125" s="22">
        <f>IFERROR(('Activity data'!AC89*(1/Constants!$H$135))*ttokg*FSOMEF*NtoN2O*kgtoGg,"NO")</f>
        <v>4.4409793738676062E-4</v>
      </c>
      <c r="AD125" s="22">
        <f>IFERROR(('Activity data'!AD89*(1/Constants!$H$135))*ttokg*FSOMEF*NtoN2O*kgtoGg,"NO")</f>
        <v>3.4398813895090996E-3</v>
      </c>
      <c r="AE125" s="22">
        <f>IFERROR(('Activity data'!AE89*(1/Constants!$H$135))*ttokg*FSOMEF*NtoN2O*kgtoGg,"NO")</f>
        <v>3.4358310252377683E-3</v>
      </c>
      <c r="AF125" s="22">
        <f>IFERROR(('Activity data'!AF89*(1/Constants!$H$135))*ttokg*FSOMEF*NtoN2O*kgtoGg,"NO")</f>
        <v>3.4317806609664363E-3</v>
      </c>
      <c r="AG125" s="22">
        <f>IFERROR(('Activity data'!AG89*(1/Constants!$H$135))*ttokg*FSOMEF*NtoN2O*kgtoGg,"NO")</f>
        <v>3.4277302966951037E-3</v>
      </c>
      <c r="AH125" s="22">
        <f>IFERROR(('Activity data'!AH89*(1/Constants!$H$135))*ttokg*FSOMEF*NtoN2O*kgtoGg,"NO")</f>
        <v>3.4236799324237725E-3</v>
      </c>
      <c r="AI125" s="22">
        <f>IFERROR(('Activity data'!AI89*(1/Constants!$H$135))*ttokg*FSOMEF*NtoN2O*kgtoGg,"NO")</f>
        <v>3.4196295681524396E-3</v>
      </c>
      <c r="AJ125" s="22">
        <f>IFERROR(('Activity data'!AJ89*(1/Constants!$H$135))*ttokg*FSOMEF*NtoN2O*kgtoGg,"NO")</f>
        <v>3.4155792038811079E-3</v>
      </c>
      <c r="AK125" s="22">
        <f>IFERROR(('Activity data'!AK89*(1/Constants!$H$135))*ttokg*FSOMEF*NtoN2O*kgtoGg,"NO")</f>
        <v>3.4115288396097763E-3</v>
      </c>
      <c r="AL125" s="22">
        <f>IFERROR(('Activity data'!AL89*(1/Constants!$H$135))*ttokg*FSOMEF*NtoN2O*kgtoGg,"NO")</f>
        <v>3.4074784753384451E-3</v>
      </c>
      <c r="AM125" s="22">
        <f>IFERROR(('Activity data'!AM89*(1/Constants!$H$135))*ttokg*FSOMEF*NtoN2O*kgtoGg,"NO")</f>
        <v>3.4034281110671134E-3</v>
      </c>
      <c r="AN125" s="22">
        <f>IFERROR(('Activity data'!AN89*(1/Constants!$H$135))*ttokg*FSOMEF*NtoN2O*kgtoGg,"NO")</f>
        <v>3.39937774679578E-3</v>
      </c>
      <c r="AO125" s="22">
        <f>IFERROR(('Activity data'!AO89*(1/Constants!$H$135))*ttokg*FSOMEF*NtoN2O*kgtoGg,"NO")</f>
        <v>3.3953273825244488E-3</v>
      </c>
      <c r="AP125" s="22">
        <f>IFERROR(('Activity data'!AP89*(1/Constants!$H$135))*ttokg*FSOMEF*NtoN2O*kgtoGg,"NO")</f>
        <v>3.3912770182531172E-3</v>
      </c>
      <c r="AQ125" s="22">
        <f>IFERROR(('Activity data'!AQ89*(1/Constants!$H$135))*ttokg*FSOMEF*NtoN2O*kgtoGg,"NO")</f>
        <v>3.387226653981786E-3</v>
      </c>
      <c r="AR125" s="22">
        <f>IFERROR(('Activity data'!AR89*(1/Constants!$H$135))*ttokg*FSOMEF*NtoN2O*kgtoGg,"NO")</f>
        <v>3.3831762897104547E-3</v>
      </c>
      <c r="AS125" s="22">
        <f>IFERROR(('Activity data'!AS89*(1/Constants!$H$135))*ttokg*FSOMEF*NtoN2O*kgtoGg,"NO")</f>
        <v>3.3791259254391218E-3</v>
      </c>
      <c r="AT125" s="22">
        <f>IFERROR(('Activity data'!AT89*(1/Constants!$H$135))*ttokg*FSOMEF*NtoN2O*kgtoGg,"NO")</f>
        <v>3.375075561167791E-3</v>
      </c>
      <c r="AU125" s="22">
        <f>IFERROR(('Activity data'!AU89*(1/Constants!$H$135))*ttokg*FSOMEF*NtoN2O*kgtoGg,"NO")</f>
        <v>3.3710251968964585E-3</v>
      </c>
      <c r="AV125" s="22">
        <f>IFERROR(('Activity data'!AV89*(1/Constants!$H$135))*ttokg*FSOMEF*NtoN2O*kgtoGg,"NO")</f>
        <v>3.3669748326251273E-3</v>
      </c>
      <c r="AW125" s="22">
        <f>IFERROR(('Activity data'!AW89*(1/Constants!$H$135))*ttokg*FSOMEF*NtoN2O*kgtoGg,"NO")</f>
        <v>3.3629244683537943E-3</v>
      </c>
      <c r="AX125" s="22">
        <f>IFERROR(('Activity data'!AX89*(1/Constants!$H$135))*ttokg*FSOMEF*NtoN2O*kgtoGg,"NO")</f>
        <v>3.358874104082464E-3</v>
      </c>
      <c r="AY125" s="22">
        <f>IFERROR(('Activity data'!AY89*(1/Constants!$H$135))*ttokg*FSOMEF*NtoN2O*kgtoGg,"NO")</f>
        <v>3.3548237398111319E-3</v>
      </c>
      <c r="AZ125" s="22">
        <f>IFERROR(('Activity data'!AZ89*(1/Constants!$H$135))*ttokg*FSOMEF*NtoN2O*kgtoGg,"NO")</f>
        <v>3.3507733755397998E-3</v>
      </c>
      <c r="BA125" s="22">
        <f>IFERROR(('Activity data'!BA89*(1/Constants!$H$135))*ttokg*FSOMEF*NtoN2O*kgtoGg,"NO")</f>
        <v>3.3467230112684673E-3</v>
      </c>
      <c r="BB125" s="22">
        <f>IFERROR(('Activity data'!BB89*(1/Constants!$H$135))*ttokg*FSOMEF*NtoN2O*kgtoGg,"NO")</f>
        <v>3.3426726469971361E-3</v>
      </c>
      <c r="BC125" s="22">
        <f>IFERROR(('Activity data'!BC89*(1/Constants!$H$135))*ttokg*FSOMEF*NtoN2O*kgtoGg,"NO")</f>
        <v>3.3386222827258044E-3</v>
      </c>
      <c r="BD125" s="22">
        <f>IFERROR(('Activity data'!BD89*(1/Constants!$H$135))*ttokg*FSOMEF*NtoN2O*kgtoGg,"NO")</f>
        <v>3.3345719184544728E-3</v>
      </c>
      <c r="BE125" s="22">
        <f>IFERROR(('Activity data'!BE89*(1/Constants!$H$135))*ttokg*FSOMEF*NtoN2O*kgtoGg,"NO")</f>
        <v>3.3305215541831416E-3</v>
      </c>
      <c r="BF125" s="22">
        <f>IFERROR(('Activity data'!BF89*(1/Constants!$H$135))*ttokg*FSOMEF*NtoN2O*kgtoGg,"NO")</f>
        <v>3.3264711899118095E-3</v>
      </c>
      <c r="BG125" s="22">
        <f>IFERROR(('Activity data'!BG89*(1/Constants!$H$135))*ttokg*FSOMEF*NtoN2O*kgtoGg,"NO")</f>
        <v>3.3224208256404765E-3</v>
      </c>
      <c r="BH125" s="22">
        <f>IFERROR(('Activity data'!BH89*(1/Constants!$H$135))*ttokg*FSOMEF*NtoN2O*kgtoGg,"NO")</f>
        <v>3.3183704613691458E-3</v>
      </c>
      <c r="BI125" s="22">
        <f>IFERROR(('Activity data'!BI89*(1/Constants!$H$135))*ttokg*FSOMEF*NtoN2O*kgtoGg,"NO")</f>
        <v>3.3143200970978137E-3</v>
      </c>
      <c r="BJ125" s="22">
        <f>IFERROR(('Activity data'!BJ89*(1/Constants!$H$135))*ttokg*FSOMEF*NtoN2O*kgtoGg,"NO")</f>
        <v>3.3102697328264833E-3</v>
      </c>
      <c r="BK125" s="22">
        <f>IFERROR(('Activity data'!BK89*(1/Constants!$H$135))*ttokg*FSOMEF*NtoN2O*kgtoGg,"NO")</f>
        <v>3.3062193685551499E-3</v>
      </c>
      <c r="BL125" s="22">
        <f>IFERROR(('Activity data'!BL89*(1/Constants!$H$135))*ttokg*FSOMEF*NtoN2O*kgtoGg,"NO")</f>
        <v>3.3021690042838187E-3</v>
      </c>
      <c r="BM125" s="22">
        <f>IFERROR(('Activity data'!BM89*(1/Constants!$H$135))*ttokg*FSOMEF*NtoN2O*kgtoGg,"NO")</f>
        <v>3.2981186400124866E-3</v>
      </c>
      <c r="BN125" s="22">
        <f>IFERROR(('Activity data'!BN89*(1/Constants!$H$135))*ttokg*FSOMEF*NtoN2O*kgtoGg,"NO")</f>
        <v>3.2940682757411541E-3</v>
      </c>
      <c r="BO125" s="22">
        <f>IFERROR(('Activity data'!BO89*(1/Constants!$H$135))*ttokg*FSOMEF*NtoN2O*kgtoGg,"NO")</f>
        <v>3.2900179114698229E-3</v>
      </c>
      <c r="BP125" s="22">
        <f>IFERROR(('Activity data'!BP89*(1/Constants!$H$135))*ttokg*FSOMEF*NtoN2O*kgtoGg,"NO")</f>
        <v>3.2859675471984908E-3</v>
      </c>
    </row>
    <row r="126" spans="1:68" x14ac:dyDescent="0.25">
      <c r="A126" t="str">
        <f t="shared" si="39"/>
        <v>3C Aggregated and non-CO2 emissions on land</v>
      </c>
      <c r="B126" t="str">
        <f t="shared" si="31"/>
        <v>3C4 Direct N2O from managed soils (N2O)</v>
      </c>
      <c r="C126" t="s">
        <v>60</v>
      </c>
      <c r="D126" t="str">
        <f>" - "&amp;'Activity data'!D90</f>
        <v xml:space="preserve"> - Land converted to cropland</v>
      </c>
      <c r="E126" t="str">
        <f t="shared" si="40"/>
        <v>FSOM - Land converted to cropland</v>
      </c>
      <c r="G126" t="str">
        <f t="shared" si="37"/>
        <v>Gg N2O</v>
      </c>
      <c r="H126" s="22" t="str">
        <f>IFERROR(('Activity data'!H90*(1/Constants!$H$135))*ttokg*FSOMEF*NtoN2O*kgtoGg,"NO")</f>
        <v>NO</v>
      </c>
      <c r="I126" s="22">
        <f>IFERROR(('Activity data'!I90*(1/Constants!$H$135))*ttokg*FSOMEF*NtoN2O*kgtoGg,"NO")</f>
        <v>4.6331887587896581E-2</v>
      </c>
      <c r="J126" s="22">
        <f>IFERROR(('Activity data'!J90*(1/Constants!$H$135))*ttokg*FSOMEF*NtoN2O*kgtoGg,"NO")</f>
        <v>4.6331887587896581E-2</v>
      </c>
      <c r="K126" s="22">
        <f>IFERROR(('Activity data'!K90*(1/Constants!$H$135))*ttokg*FSOMEF*NtoN2O*kgtoGg,"NO")</f>
        <v>4.6331887587896581E-2</v>
      </c>
      <c r="L126" s="22">
        <f>IFERROR(('Activity data'!L90*(1/Constants!$H$135))*ttokg*FSOMEF*NtoN2O*kgtoGg,"NO")</f>
        <v>4.6331887587896581E-2</v>
      </c>
      <c r="M126" s="22">
        <f>IFERROR(('Activity data'!M90*(1/Constants!$H$135))*ttokg*FSOMEF*NtoN2O*kgtoGg,"NO")</f>
        <v>4.6331887587896581E-2</v>
      </c>
      <c r="N126" s="22">
        <f>IFERROR(('Activity data'!N90*(1/Constants!$H$135))*ttokg*FSOMEF*NtoN2O*kgtoGg,"NO")</f>
        <v>4.6331887587896581E-2</v>
      </c>
      <c r="O126" s="22">
        <f>IFERROR(('Activity data'!O90*(1/Constants!$H$135))*ttokg*FSOMEF*NtoN2O*kgtoGg,"NO")</f>
        <v>4.6331887587896581E-2</v>
      </c>
      <c r="P126" s="22">
        <f>IFERROR(('Activity data'!P90*(1/Constants!$H$135))*ttokg*FSOMEF*NtoN2O*kgtoGg,"NO")</f>
        <v>4.6331887587896581E-2</v>
      </c>
      <c r="Q126" s="22">
        <f>IFERROR(('Activity data'!Q90*(1/Constants!$H$135))*ttokg*FSOMEF*NtoN2O*kgtoGg,"NO")</f>
        <v>4.6331887587896581E-2</v>
      </c>
      <c r="R126" s="22">
        <f>IFERROR(('Activity data'!R90*(1/Constants!$H$135))*ttokg*FSOMEF*NtoN2O*kgtoGg,"NO")</f>
        <v>4.6331887587896581E-2</v>
      </c>
      <c r="S126" s="22">
        <f>IFERROR(('Activity data'!S90*(1/Constants!$H$135))*ttokg*FSOMEF*NtoN2O*kgtoGg,"NO")</f>
        <v>4.6331887587896581E-2</v>
      </c>
      <c r="T126" s="22">
        <f>IFERROR(('Activity data'!T90*(1/Constants!$H$135))*ttokg*FSOMEF*NtoN2O*kgtoGg,"NO")</f>
        <v>4.6331887587896581E-2</v>
      </c>
      <c r="U126" s="22">
        <f>IFERROR(('Activity data'!U90*(1/Constants!$H$135))*ttokg*FSOMEF*NtoN2O*kgtoGg,"NO")</f>
        <v>4.6331887587896581E-2</v>
      </c>
      <c r="V126" s="22">
        <f>IFERROR(('Activity data'!V90*(1/Constants!$H$135))*ttokg*FSOMEF*NtoN2O*kgtoGg,"NO")</f>
        <v>4.6331887587896581E-2</v>
      </c>
      <c r="W126" s="22">
        <f>IFERROR(('Activity data'!W90*(1/Constants!$H$135))*ttokg*FSOMEF*NtoN2O*kgtoGg,"NO")</f>
        <v>4.6331887587896581E-2</v>
      </c>
      <c r="X126" s="22">
        <f>IFERROR(('Activity data'!X90*(1/Constants!$H$135))*ttokg*FSOMEF*NtoN2O*kgtoGg,"NO")</f>
        <v>4.6331887587896581E-2</v>
      </c>
      <c r="Y126" s="22">
        <f>IFERROR(('Activity data'!Y90*(1/Constants!$H$135))*ttokg*FSOMEF*NtoN2O*kgtoGg,"NO")</f>
        <v>4.6331887587896581E-2</v>
      </c>
      <c r="Z126" s="22">
        <f>IFERROR(('Activity data'!Z90*(1/Constants!$H$135))*ttokg*FSOMEF*NtoN2O*kgtoGg,"NO")</f>
        <v>4.6331887587896581E-2</v>
      </c>
      <c r="AA126" s="22">
        <f>IFERROR(('Activity data'!AA90*(1/Constants!$H$135))*ttokg*FSOMEF*NtoN2O*kgtoGg,"NO")</f>
        <v>4.6331887587896581E-2</v>
      </c>
      <c r="AB126" s="22">
        <f>IFERROR(('Activity data'!AB90*(1/Constants!$H$135))*ttokg*FSOMEF*NtoN2O*kgtoGg,"NO")</f>
        <v>4.6331887587896581E-2</v>
      </c>
      <c r="AC126" s="22">
        <f>IFERROR(('Activity data'!AC90*(1/Constants!$H$135))*ttokg*FSOMEF*NtoN2O*kgtoGg,"NO")</f>
        <v>4.6331887587896581E-2</v>
      </c>
      <c r="AD126" s="22">
        <f>IFERROR(('Activity data'!AD90*(1/Constants!$H$135))*ttokg*FSOMEF*NtoN2O*kgtoGg,"NO")</f>
        <v>0.49020960547040615</v>
      </c>
      <c r="AE126" s="22">
        <f>IFERROR(('Activity data'!AE90*(1/Constants!$H$135))*ttokg*FSOMEF*NtoN2O*kgtoGg,"NO")</f>
        <v>0.49134551154341793</v>
      </c>
      <c r="AF126" s="22">
        <f>IFERROR(('Activity data'!AF90*(1/Constants!$H$135))*ttokg*FSOMEF*NtoN2O*kgtoGg,"NO")</f>
        <v>0.49248141761642988</v>
      </c>
      <c r="AG126" s="22">
        <f>IFERROR(('Activity data'!AG90*(1/Constants!$H$135))*ttokg*FSOMEF*NtoN2O*kgtoGg,"NO")</f>
        <v>0.49361732368944172</v>
      </c>
      <c r="AH126" s="22">
        <f>IFERROR(('Activity data'!AH90*(1/Constants!$H$135))*ttokg*FSOMEF*NtoN2O*kgtoGg,"NO")</f>
        <v>0.49475322976245356</v>
      </c>
      <c r="AI126" s="22">
        <f>IFERROR(('Activity data'!AI90*(1/Constants!$H$135))*ttokg*FSOMEF*NtoN2O*kgtoGg,"NO")</f>
        <v>0.49588913583546534</v>
      </c>
      <c r="AJ126" s="22">
        <f>IFERROR(('Activity data'!AJ90*(1/Constants!$H$135))*ttokg*FSOMEF*NtoN2O*kgtoGg,"NO")</f>
        <v>0.49702504190847724</v>
      </c>
      <c r="AK126" s="22">
        <f>IFERROR(('Activity data'!AK90*(1/Constants!$H$135))*ttokg*FSOMEF*NtoN2O*kgtoGg,"NO")</f>
        <v>0.49816094798148913</v>
      </c>
      <c r="AL126" s="22">
        <f>IFERROR(('Activity data'!AL90*(1/Constants!$H$135))*ttokg*FSOMEF*NtoN2O*kgtoGg,"NO")</f>
        <v>0.49929685405450086</v>
      </c>
      <c r="AM126" s="22">
        <f>IFERROR(('Activity data'!AM90*(1/Constants!$H$135))*ttokg*FSOMEF*NtoN2O*kgtoGg,"NO")</f>
        <v>0.50043276012751292</v>
      </c>
      <c r="AN126" s="22">
        <f>IFERROR(('Activity data'!AN90*(1/Constants!$H$135))*ttokg*FSOMEF*NtoN2O*kgtoGg,"NO")</f>
        <v>0.50156866620052454</v>
      </c>
      <c r="AO126" s="22">
        <f>IFERROR(('Activity data'!AO90*(1/Constants!$H$135))*ttokg*FSOMEF*NtoN2O*kgtoGg,"NO")</f>
        <v>0.50270457227353649</v>
      </c>
      <c r="AP126" s="22">
        <f>IFERROR(('Activity data'!AP90*(1/Constants!$H$135))*ttokg*FSOMEF*NtoN2O*kgtoGg,"NO")</f>
        <v>0.50384047834654833</v>
      </c>
      <c r="AQ126" s="22">
        <f>IFERROR(('Activity data'!AQ90*(1/Constants!$H$135))*ttokg*FSOMEF*NtoN2O*kgtoGg,"NO")</f>
        <v>0.50497638441956039</v>
      </c>
      <c r="AR126" s="22">
        <f>IFERROR(('Activity data'!AR90*(1/Constants!$H$135))*ttokg*FSOMEF*NtoN2O*kgtoGg,"NO")</f>
        <v>0.506112290492572</v>
      </c>
      <c r="AS126" s="22">
        <f>IFERROR(('Activity data'!AS90*(1/Constants!$H$135))*ttokg*FSOMEF*NtoN2O*kgtoGg,"NO")</f>
        <v>0.50724819656558406</v>
      </c>
      <c r="AT126" s="22">
        <f>IFERROR(('Activity data'!AT90*(1/Constants!$H$135))*ttokg*FSOMEF*NtoN2O*kgtoGg,"NO")</f>
        <v>0.50838410263859568</v>
      </c>
      <c r="AU126" s="22">
        <f>IFERROR(('Activity data'!AU90*(1/Constants!$H$135))*ttokg*FSOMEF*NtoN2O*kgtoGg,"NO")</f>
        <v>0.50952000871160763</v>
      </c>
      <c r="AV126" s="22">
        <f>IFERROR(('Activity data'!AV90*(1/Constants!$H$135))*ttokg*FSOMEF*NtoN2O*kgtoGg,"NO")</f>
        <v>0.51065591478461958</v>
      </c>
      <c r="AW126" s="22">
        <f>IFERROR(('Activity data'!AW90*(1/Constants!$H$135))*ttokg*FSOMEF*NtoN2O*kgtoGg,"NO")</f>
        <v>0.51179182085763142</v>
      </c>
      <c r="AX126" s="22">
        <f>IFERROR(('Activity data'!AX90*(1/Constants!$H$135))*ttokg*FSOMEF*NtoN2O*kgtoGg,"NO")</f>
        <v>0.51292772693064326</v>
      </c>
      <c r="AY126" s="22">
        <f>IFERROR(('Activity data'!AY90*(1/Constants!$H$135))*ttokg*FSOMEF*NtoN2O*kgtoGg,"NO")</f>
        <v>0.5140636330036551</v>
      </c>
      <c r="AZ126" s="22">
        <f>IFERROR(('Activity data'!AZ90*(1/Constants!$H$135))*ttokg*FSOMEF*NtoN2O*kgtoGg,"NO")</f>
        <v>0.51519953907666705</v>
      </c>
      <c r="BA126" s="22">
        <f>IFERROR(('Activity data'!BA90*(1/Constants!$H$135))*ttokg*FSOMEF*NtoN2O*kgtoGg,"NO")</f>
        <v>0.51633544514967877</v>
      </c>
      <c r="BB126" s="22">
        <f>IFERROR(('Activity data'!BB90*(1/Constants!$H$135))*ttokg*FSOMEF*NtoN2O*kgtoGg,"NO")</f>
        <v>0.51747135122269072</v>
      </c>
      <c r="BC126" s="22">
        <f>IFERROR(('Activity data'!BC90*(1/Constants!$H$135))*ttokg*FSOMEF*NtoN2O*kgtoGg,"NO")</f>
        <v>0.51860725729570256</v>
      </c>
      <c r="BD126" s="22">
        <f>IFERROR(('Activity data'!BD90*(1/Constants!$H$135))*ttokg*FSOMEF*NtoN2O*kgtoGg,"NO")</f>
        <v>0.5197431633687144</v>
      </c>
      <c r="BE126" s="22">
        <f>IFERROR(('Activity data'!BE90*(1/Constants!$H$135))*ttokg*FSOMEF*NtoN2O*kgtoGg,"NO")</f>
        <v>0.52087906944172624</v>
      </c>
      <c r="BF126" s="22">
        <f>IFERROR(('Activity data'!BF90*(1/Constants!$H$135))*ttokg*FSOMEF*NtoN2O*kgtoGg,"NO")</f>
        <v>0.52201497551473808</v>
      </c>
      <c r="BG126" s="22">
        <f>IFERROR(('Activity data'!BG90*(1/Constants!$H$135))*ttokg*FSOMEF*NtoN2O*kgtoGg,"NO")</f>
        <v>0.52315088158774992</v>
      </c>
      <c r="BH126" s="22">
        <f>IFERROR(('Activity data'!BH90*(1/Constants!$H$135))*ttokg*FSOMEF*NtoN2O*kgtoGg,"NO")</f>
        <v>0.52428678766076187</v>
      </c>
      <c r="BI126" s="22">
        <f>IFERROR(('Activity data'!BI90*(1/Constants!$H$135))*ttokg*FSOMEF*NtoN2O*kgtoGg,"NO")</f>
        <v>0.52542269373377359</v>
      </c>
      <c r="BJ126" s="22">
        <f>IFERROR(('Activity data'!BJ90*(1/Constants!$H$135))*ttokg*FSOMEF*NtoN2O*kgtoGg,"NO")</f>
        <v>0.52655859980678543</v>
      </c>
      <c r="BK126" s="22">
        <f>IFERROR(('Activity data'!BK90*(1/Constants!$H$135))*ttokg*FSOMEF*NtoN2O*kgtoGg,"NO")</f>
        <v>0.52769450587979749</v>
      </c>
      <c r="BL126" s="22">
        <f>IFERROR(('Activity data'!BL90*(1/Constants!$H$135))*ttokg*FSOMEF*NtoN2O*kgtoGg,"NO")</f>
        <v>0.52883041195280922</v>
      </c>
      <c r="BM126" s="22">
        <f>IFERROR(('Activity data'!BM90*(1/Constants!$H$135))*ttokg*FSOMEF*NtoN2O*kgtoGg,"NO")</f>
        <v>0.52996631802582106</v>
      </c>
      <c r="BN126" s="22">
        <f>IFERROR(('Activity data'!BN90*(1/Constants!$H$135))*ttokg*FSOMEF*NtoN2O*kgtoGg,"NO")</f>
        <v>0.53110222409883301</v>
      </c>
      <c r="BO126" s="22">
        <f>IFERROR(('Activity data'!BO90*(1/Constants!$H$135))*ttokg*FSOMEF*NtoN2O*kgtoGg,"NO")</f>
        <v>0.53223813017184474</v>
      </c>
      <c r="BP126" s="22">
        <f>IFERROR(('Activity data'!BP90*(1/Constants!$H$135))*ttokg*FSOMEF*NtoN2O*kgtoGg,"NO")</f>
        <v>0.5333740362448568</v>
      </c>
    </row>
    <row r="127" spans="1:68" x14ac:dyDescent="0.25">
      <c r="A127" t="str">
        <f t="shared" si="39"/>
        <v>3C Aggregated and non-CO2 emissions on land</v>
      </c>
      <c r="B127" t="str">
        <f t="shared" si="31"/>
        <v>3C4 Direct N2O from managed soils (N2O)</v>
      </c>
      <c r="C127" t="s">
        <v>60</v>
      </c>
      <c r="D127" t="str">
        <f>" - "&amp;'Activity data'!D91</f>
        <v xml:space="preserve"> - Grassland remaining grassland</v>
      </c>
      <c r="E127" t="str">
        <f t="shared" si="40"/>
        <v>FSOM - Grassland remaining grassland</v>
      </c>
      <c r="G127" t="str">
        <f t="shared" si="37"/>
        <v>Gg N2O</v>
      </c>
      <c r="H127" s="22" t="str">
        <f>IFERROR(('Activity data'!H91*(1/Constants!$H$135))*ttokg*FSOMEF*NtoN2O*kgtoGg,"NO")</f>
        <v>NO</v>
      </c>
      <c r="I127" s="22">
        <f>IFERROR(('Activity data'!I91*(1/Constants!$H$135))*ttokg*FSOMEF*NtoN2O*kgtoGg,"NO")</f>
        <v>5.1014681376878313E-2</v>
      </c>
      <c r="J127" s="22">
        <f>IFERROR(('Activity data'!J91*(1/Constants!$H$135))*ttokg*FSOMEF*NtoN2O*kgtoGg,"NO")</f>
        <v>5.1014681376878313E-2</v>
      </c>
      <c r="K127" s="22">
        <f>IFERROR(('Activity data'!K91*(1/Constants!$H$135))*ttokg*FSOMEF*NtoN2O*kgtoGg,"NO")</f>
        <v>5.1014681376878313E-2</v>
      </c>
      <c r="L127" s="22">
        <f>IFERROR(('Activity data'!L91*(1/Constants!$H$135))*ttokg*FSOMEF*NtoN2O*kgtoGg,"NO")</f>
        <v>5.1014681376878313E-2</v>
      </c>
      <c r="M127" s="22">
        <f>IFERROR(('Activity data'!M91*(1/Constants!$H$135))*ttokg*FSOMEF*NtoN2O*kgtoGg,"NO")</f>
        <v>5.1014681376878313E-2</v>
      </c>
      <c r="N127" s="22">
        <f>IFERROR(('Activity data'!N91*(1/Constants!$H$135))*ttokg*FSOMEF*NtoN2O*kgtoGg,"NO")</f>
        <v>5.1014681376878313E-2</v>
      </c>
      <c r="O127" s="22">
        <f>IFERROR(('Activity data'!O91*(1/Constants!$H$135))*ttokg*FSOMEF*NtoN2O*kgtoGg,"NO")</f>
        <v>5.1014681376878313E-2</v>
      </c>
      <c r="P127" s="22">
        <f>IFERROR(('Activity data'!P91*(1/Constants!$H$135))*ttokg*FSOMEF*NtoN2O*kgtoGg,"NO")</f>
        <v>5.1014681376878313E-2</v>
      </c>
      <c r="Q127" s="22">
        <f>IFERROR(('Activity data'!Q91*(1/Constants!$H$135))*ttokg*FSOMEF*NtoN2O*kgtoGg,"NO")</f>
        <v>5.1014681376878313E-2</v>
      </c>
      <c r="R127" s="22">
        <f>IFERROR(('Activity data'!R91*(1/Constants!$H$135))*ttokg*FSOMEF*NtoN2O*kgtoGg,"NO")</f>
        <v>5.1014681376878313E-2</v>
      </c>
      <c r="S127" s="22">
        <f>IFERROR(('Activity data'!S91*(1/Constants!$H$135))*ttokg*FSOMEF*NtoN2O*kgtoGg,"NO")</f>
        <v>5.1014681376878313E-2</v>
      </c>
      <c r="T127" s="22">
        <f>IFERROR(('Activity data'!T91*(1/Constants!$H$135))*ttokg*FSOMEF*NtoN2O*kgtoGg,"NO")</f>
        <v>5.1014681376878313E-2</v>
      </c>
      <c r="U127" s="22">
        <f>IFERROR(('Activity data'!U91*(1/Constants!$H$135))*ttokg*FSOMEF*NtoN2O*kgtoGg,"NO")</f>
        <v>5.1014681376878313E-2</v>
      </c>
      <c r="V127" s="22">
        <f>IFERROR(('Activity data'!V91*(1/Constants!$H$135))*ttokg*FSOMEF*NtoN2O*kgtoGg,"NO")</f>
        <v>5.1014681376878313E-2</v>
      </c>
      <c r="W127" s="22">
        <f>IFERROR(('Activity data'!W91*(1/Constants!$H$135))*ttokg*FSOMEF*NtoN2O*kgtoGg,"NO")</f>
        <v>5.1014681376878313E-2</v>
      </c>
      <c r="X127" s="22">
        <f>IFERROR(('Activity data'!X91*(1/Constants!$H$135))*ttokg*FSOMEF*NtoN2O*kgtoGg,"NO")</f>
        <v>5.1014681376878313E-2</v>
      </c>
      <c r="Y127" s="22">
        <f>IFERROR(('Activity data'!Y91*(1/Constants!$H$135))*ttokg*FSOMEF*NtoN2O*kgtoGg,"NO")</f>
        <v>5.1014681376878313E-2</v>
      </c>
      <c r="Z127" s="22">
        <f>IFERROR(('Activity data'!Z91*(1/Constants!$H$135))*ttokg*FSOMEF*NtoN2O*kgtoGg,"NO")</f>
        <v>5.1014681376878313E-2</v>
      </c>
      <c r="AA127" s="22">
        <f>IFERROR(('Activity data'!AA91*(1/Constants!$H$135))*ttokg*FSOMEF*NtoN2O*kgtoGg,"NO")</f>
        <v>5.1014681376878313E-2</v>
      </c>
      <c r="AB127" s="22">
        <f>IFERROR(('Activity data'!AB91*(1/Constants!$H$135))*ttokg*FSOMEF*NtoN2O*kgtoGg,"NO")</f>
        <v>5.1014681376878313E-2</v>
      </c>
      <c r="AC127" s="22">
        <f>IFERROR(('Activity data'!AC91*(1/Constants!$H$135))*ttokg*FSOMEF*NtoN2O*kgtoGg,"NO")</f>
        <v>5.1014681376878313E-2</v>
      </c>
      <c r="AD127" s="22">
        <f>IFERROR(('Activity data'!AD91*(1/Constants!$H$135))*ttokg*FSOMEF*NtoN2O*kgtoGg,"NO")</f>
        <v>0.57597220909378744</v>
      </c>
      <c r="AE127" s="22">
        <f>IFERROR(('Activity data'!AE91*(1/Constants!$H$135))*ttokg*FSOMEF*NtoN2O*kgtoGg,"NO")</f>
        <v>0.57597220909378744</v>
      </c>
      <c r="AF127" s="22">
        <f>IFERROR(('Activity data'!AF91*(1/Constants!$H$135))*ttokg*FSOMEF*NtoN2O*kgtoGg,"NO")</f>
        <v>0.57597220909378744</v>
      </c>
      <c r="AG127" s="22">
        <f>IFERROR(('Activity data'!AG91*(1/Constants!$H$135))*ttokg*FSOMEF*NtoN2O*kgtoGg,"NO")</f>
        <v>0.57597220909378744</v>
      </c>
      <c r="AH127" s="22">
        <f>IFERROR(('Activity data'!AH91*(1/Constants!$H$135))*ttokg*FSOMEF*NtoN2O*kgtoGg,"NO")</f>
        <v>0.57597220909378744</v>
      </c>
      <c r="AI127" s="22">
        <f>IFERROR(('Activity data'!AI91*(1/Constants!$H$135))*ttokg*FSOMEF*NtoN2O*kgtoGg,"NO")</f>
        <v>0.57597220909378744</v>
      </c>
      <c r="AJ127" s="22">
        <f>IFERROR(('Activity data'!AJ91*(1/Constants!$H$135))*ttokg*FSOMEF*NtoN2O*kgtoGg,"NO")</f>
        <v>0.57597220909378744</v>
      </c>
      <c r="AK127" s="22">
        <f>IFERROR(('Activity data'!AK91*(1/Constants!$H$135))*ttokg*FSOMEF*NtoN2O*kgtoGg,"NO")</f>
        <v>0.57597220909378744</v>
      </c>
      <c r="AL127" s="22">
        <f>IFERROR(('Activity data'!AL91*(1/Constants!$H$135))*ttokg*FSOMEF*NtoN2O*kgtoGg,"NO")</f>
        <v>0.57597220909378744</v>
      </c>
      <c r="AM127" s="22">
        <f>IFERROR(('Activity data'!AM91*(1/Constants!$H$135))*ttokg*FSOMEF*NtoN2O*kgtoGg,"NO")</f>
        <v>0.57597220909378744</v>
      </c>
      <c r="AN127" s="22">
        <f>IFERROR(('Activity data'!AN91*(1/Constants!$H$135))*ttokg*FSOMEF*NtoN2O*kgtoGg,"NO")</f>
        <v>0.57597220909378744</v>
      </c>
      <c r="AO127" s="22">
        <f>IFERROR(('Activity data'!AO91*(1/Constants!$H$135))*ttokg*FSOMEF*NtoN2O*kgtoGg,"NO")</f>
        <v>0.57597220909378744</v>
      </c>
      <c r="AP127" s="22">
        <f>IFERROR(('Activity data'!AP91*(1/Constants!$H$135))*ttokg*FSOMEF*NtoN2O*kgtoGg,"NO")</f>
        <v>0.57597220909378744</v>
      </c>
      <c r="AQ127" s="22">
        <f>IFERROR(('Activity data'!AQ91*(1/Constants!$H$135))*ttokg*FSOMEF*NtoN2O*kgtoGg,"NO")</f>
        <v>0.57597220909378744</v>
      </c>
      <c r="AR127" s="22">
        <f>IFERROR(('Activity data'!AR91*(1/Constants!$H$135))*ttokg*FSOMEF*NtoN2O*kgtoGg,"NO")</f>
        <v>0.57597220909378744</v>
      </c>
      <c r="AS127" s="22">
        <f>IFERROR(('Activity data'!AS91*(1/Constants!$H$135))*ttokg*FSOMEF*NtoN2O*kgtoGg,"NO")</f>
        <v>0.57597220909378744</v>
      </c>
      <c r="AT127" s="22">
        <f>IFERROR(('Activity data'!AT91*(1/Constants!$H$135))*ttokg*FSOMEF*NtoN2O*kgtoGg,"NO")</f>
        <v>0.57597220909378744</v>
      </c>
      <c r="AU127" s="22">
        <f>IFERROR(('Activity data'!AU91*(1/Constants!$H$135))*ttokg*FSOMEF*NtoN2O*kgtoGg,"NO")</f>
        <v>0.57597220909378744</v>
      </c>
      <c r="AV127" s="22">
        <f>IFERROR(('Activity data'!AV91*(1/Constants!$H$135))*ttokg*FSOMEF*NtoN2O*kgtoGg,"NO")</f>
        <v>0.57597220909378744</v>
      </c>
      <c r="AW127" s="22">
        <f>IFERROR(('Activity data'!AW91*(1/Constants!$H$135))*ttokg*FSOMEF*NtoN2O*kgtoGg,"NO")</f>
        <v>0.57597220909378744</v>
      </c>
      <c r="AX127" s="22">
        <f>IFERROR(('Activity data'!AX91*(1/Constants!$H$135))*ttokg*FSOMEF*NtoN2O*kgtoGg,"NO")</f>
        <v>0.57597220909378744</v>
      </c>
      <c r="AY127" s="22">
        <f>IFERROR(('Activity data'!AY91*(1/Constants!$H$135))*ttokg*FSOMEF*NtoN2O*kgtoGg,"NO")</f>
        <v>0.57597220909378744</v>
      </c>
      <c r="AZ127" s="22">
        <f>IFERROR(('Activity data'!AZ91*(1/Constants!$H$135))*ttokg*FSOMEF*NtoN2O*kgtoGg,"NO")</f>
        <v>0.57597220909378744</v>
      </c>
      <c r="BA127" s="22">
        <f>IFERROR(('Activity data'!BA91*(1/Constants!$H$135))*ttokg*FSOMEF*NtoN2O*kgtoGg,"NO")</f>
        <v>0.57597220909378744</v>
      </c>
      <c r="BB127" s="22">
        <f>IFERROR(('Activity data'!BB91*(1/Constants!$H$135))*ttokg*FSOMEF*NtoN2O*kgtoGg,"NO")</f>
        <v>0.57597220909378744</v>
      </c>
      <c r="BC127" s="22">
        <f>IFERROR(('Activity data'!BC91*(1/Constants!$H$135))*ttokg*FSOMEF*NtoN2O*kgtoGg,"NO")</f>
        <v>0.57597220909378744</v>
      </c>
      <c r="BD127" s="22">
        <f>IFERROR(('Activity data'!BD91*(1/Constants!$H$135))*ttokg*FSOMEF*NtoN2O*kgtoGg,"NO")</f>
        <v>0.57597220909378744</v>
      </c>
      <c r="BE127" s="22">
        <f>IFERROR(('Activity data'!BE91*(1/Constants!$H$135))*ttokg*FSOMEF*NtoN2O*kgtoGg,"NO")</f>
        <v>0.57597220909378744</v>
      </c>
      <c r="BF127" s="22">
        <f>IFERROR(('Activity data'!BF91*(1/Constants!$H$135))*ttokg*FSOMEF*NtoN2O*kgtoGg,"NO")</f>
        <v>0.57597220909378744</v>
      </c>
      <c r="BG127" s="22">
        <f>IFERROR(('Activity data'!BG91*(1/Constants!$H$135))*ttokg*FSOMEF*NtoN2O*kgtoGg,"NO")</f>
        <v>0.57597220909378744</v>
      </c>
      <c r="BH127" s="22">
        <f>IFERROR(('Activity data'!BH91*(1/Constants!$H$135))*ttokg*FSOMEF*NtoN2O*kgtoGg,"NO")</f>
        <v>0.57597220909378744</v>
      </c>
      <c r="BI127" s="22">
        <f>IFERROR(('Activity data'!BI91*(1/Constants!$H$135))*ttokg*FSOMEF*NtoN2O*kgtoGg,"NO")</f>
        <v>0.57597220909378744</v>
      </c>
      <c r="BJ127" s="22">
        <f>IFERROR(('Activity data'!BJ91*(1/Constants!$H$135))*ttokg*FSOMEF*NtoN2O*kgtoGg,"NO")</f>
        <v>0.57597220909378744</v>
      </c>
      <c r="BK127" s="22">
        <f>IFERROR(('Activity data'!BK91*(1/Constants!$H$135))*ttokg*FSOMEF*NtoN2O*kgtoGg,"NO")</f>
        <v>0.57597220909378744</v>
      </c>
      <c r="BL127" s="22">
        <f>IFERROR(('Activity data'!BL91*(1/Constants!$H$135))*ttokg*FSOMEF*NtoN2O*kgtoGg,"NO")</f>
        <v>0.57597220909378744</v>
      </c>
      <c r="BM127" s="22">
        <f>IFERROR(('Activity data'!BM91*(1/Constants!$H$135))*ttokg*FSOMEF*NtoN2O*kgtoGg,"NO")</f>
        <v>0.57597220909378744</v>
      </c>
      <c r="BN127" s="22">
        <f>IFERROR(('Activity data'!BN91*(1/Constants!$H$135))*ttokg*FSOMEF*NtoN2O*kgtoGg,"NO")</f>
        <v>0.57597220909378744</v>
      </c>
      <c r="BO127" s="22">
        <f>IFERROR(('Activity data'!BO91*(1/Constants!$H$135))*ttokg*FSOMEF*NtoN2O*kgtoGg,"NO")</f>
        <v>0.57597220909378744</v>
      </c>
      <c r="BP127" s="22">
        <f>IFERROR(('Activity data'!BP91*(1/Constants!$H$135))*ttokg*FSOMEF*NtoN2O*kgtoGg,"NO")</f>
        <v>0.57597220909378744</v>
      </c>
    </row>
    <row r="128" spans="1:68" x14ac:dyDescent="0.25">
      <c r="A128" t="str">
        <f t="shared" si="39"/>
        <v>3C Aggregated and non-CO2 emissions on land</v>
      </c>
      <c r="B128" t="str">
        <f t="shared" si="31"/>
        <v>3C4 Direct N2O from managed soils (N2O)</v>
      </c>
      <c r="C128" t="s">
        <v>60</v>
      </c>
      <c r="D128" t="str">
        <f>" - "&amp;'Activity data'!D92</f>
        <v xml:space="preserve"> - Land converted to grassland</v>
      </c>
      <c r="E128" t="str">
        <f t="shared" si="40"/>
        <v>FSOM - Land converted to grassland</v>
      </c>
      <c r="G128" t="str">
        <f t="shared" si="37"/>
        <v>Gg N2O</v>
      </c>
      <c r="H128" s="22">
        <f>IFERROR(('Activity data'!H92*(1/Constants!$H$135))*ttokg*FSOMEF*NtoN2O*kgtoGg,"NO")</f>
        <v>0</v>
      </c>
      <c r="I128" s="22">
        <f>IFERROR(('Activity data'!I92*(1/Constants!$H$135))*ttokg*FSOMEF*NtoN2O*kgtoGg,"NO")</f>
        <v>5.6957876987639012E-4</v>
      </c>
      <c r="J128" s="22">
        <f>IFERROR(('Activity data'!J92*(1/Constants!$H$135))*ttokg*FSOMEF*NtoN2O*kgtoGg,"NO")</f>
        <v>5.6957876987639012E-4</v>
      </c>
      <c r="K128" s="22">
        <f>IFERROR(('Activity data'!K92*(1/Constants!$H$135))*ttokg*FSOMEF*NtoN2O*kgtoGg,"NO")</f>
        <v>5.6957876987639012E-4</v>
      </c>
      <c r="L128" s="22">
        <f>IFERROR(('Activity data'!L92*(1/Constants!$H$135))*ttokg*FSOMEF*NtoN2O*kgtoGg,"NO")</f>
        <v>5.6957876987639012E-4</v>
      </c>
      <c r="M128" s="22">
        <f>IFERROR(('Activity data'!M92*(1/Constants!$H$135))*ttokg*FSOMEF*NtoN2O*kgtoGg,"NO")</f>
        <v>5.6957876987639012E-4</v>
      </c>
      <c r="N128" s="22">
        <f>IFERROR(('Activity data'!N92*(1/Constants!$H$135))*ttokg*FSOMEF*NtoN2O*kgtoGg,"NO")</f>
        <v>5.6957876987639012E-4</v>
      </c>
      <c r="O128" s="22">
        <f>IFERROR(('Activity data'!O92*(1/Constants!$H$135))*ttokg*FSOMEF*NtoN2O*kgtoGg,"NO")</f>
        <v>5.6957876987639012E-4</v>
      </c>
      <c r="P128" s="22">
        <f>IFERROR(('Activity data'!P92*(1/Constants!$H$135))*ttokg*FSOMEF*NtoN2O*kgtoGg,"NO")</f>
        <v>5.6957876987639012E-4</v>
      </c>
      <c r="Q128" s="22">
        <f>IFERROR(('Activity data'!Q92*(1/Constants!$H$135))*ttokg*FSOMEF*NtoN2O*kgtoGg,"NO")</f>
        <v>5.6957876987639012E-4</v>
      </c>
      <c r="R128" s="22">
        <f>IFERROR(('Activity data'!R92*(1/Constants!$H$135))*ttokg*FSOMEF*NtoN2O*kgtoGg,"NO")</f>
        <v>5.6957876987639012E-4</v>
      </c>
      <c r="S128" s="22">
        <f>IFERROR(('Activity data'!S92*(1/Constants!$H$135))*ttokg*FSOMEF*NtoN2O*kgtoGg,"NO")</f>
        <v>5.6957876987639012E-4</v>
      </c>
      <c r="T128" s="22">
        <f>IFERROR(('Activity data'!T92*(1/Constants!$H$135))*ttokg*FSOMEF*NtoN2O*kgtoGg,"NO")</f>
        <v>5.6957876987639012E-4</v>
      </c>
      <c r="U128" s="22">
        <f>IFERROR(('Activity data'!U92*(1/Constants!$H$135))*ttokg*FSOMEF*NtoN2O*kgtoGg,"NO")</f>
        <v>5.6957876987639012E-4</v>
      </c>
      <c r="V128" s="22">
        <f>IFERROR(('Activity data'!V92*(1/Constants!$H$135))*ttokg*FSOMEF*NtoN2O*kgtoGg,"NO")</f>
        <v>5.6957876987639012E-4</v>
      </c>
      <c r="W128" s="22">
        <f>IFERROR(('Activity data'!W92*(1/Constants!$H$135))*ttokg*FSOMEF*NtoN2O*kgtoGg,"NO")</f>
        <v>5.6957876987639012E-4</v>
      </c>
      <c r="X128" s="22">
        <f>IFERROR(('Activity data'!X92*(1/Constants!$H$135))*ttokg*FSOMEF*NtoN2O*kgtoGg,"NO")</f>
        <v>5.6957876987639012E-4</v>
      </c>
      <c r="Y128" s="22">
        <f>IFERROR(('Activity data'!Y92*(1/Constants!$H$135))*ttokg*FSOMEF*NtoN2O*kgtoGg,"NO")</f>
        <v>5.6957876987639012E-4</v>
      </c>
      <c r="Z128" s="22">
        <f>IFERROR(('Activity data'!Z92*(1/Constants!$H$135))*ttokg*FSOMEF*NtoN2O*kgtoGg,"NO")</f>
        <v>5.6957876987639012E-4</v>
      </c>
      <c r="AA128" s="22">
        <f>IFERROR(('Activity data'!AA92*(1/Constants!$H$135))*ttokg*FSOMEF*NtoN2O*kgtoGg,"NO")</f>
        <v>5.6957876987639012E-4</v>
      </c>
      <c r="AB128" s="22">
        <f>IFERROR(('Activity data'!AB92*(1/Constants!$H$135))*ttokg*FSOMEF*NtoN2O*kgtoGg,"NO")</f>
        <v>5.6957876987639012E-4</v>
      </c>
      <c r="AC128" s="22">
        <f>IFERROR(('Activity data'!AC92*(1/Constants!$H$135))*ttokg*FSOMEF*NtoN2O*kgtoGg,"NO")</f>
        <v>5.6957876987639012E-4</v>
      </c>
      <c r="AD128" s="22" t="str">
        <f>IFERROR(('Activity data'!AD92*(1/Constants!$H$135))*ttokg*FSOMEF*NtoN2O*kgtoGg,"NO")</f>
        <v>NO</v>
      </c>
      <c r="AE128" s="22" t="str">
        <f>IFERROR(('Activity data'!AE92*(1/Constants!$H$135))*ttokg*FSOMEF*NtoN2O*kgtoGg,"NO")</f>
        <v>NO</v>
      </c>
      <c r="AF128" s="22" t="str">
        <f>IFERROR(('Activity data'!AF92*(1/Constants!$H$135))*ttokg*FSOMEF*NtoN2O*kgtoGg,"NO")</f>
        <v>NO</v>
      </c>
      <c r="AG128" s="22" t="str">
        <f>IFERROR(('Activity data'!AG92*(1/Constants!$H$135))*ttokg*FSOMEF*NtoN2O*kgtoGg,"NO")</f>
        <v>NO</v>
      </c>
      <c r="AH128" s="22" t="str">
        <f>IFERROR(('Activity data'!AH92*(1/Constants!$H$135))*ttokg*FSOMEF*NtoN2O*kgtoGg,"NO")</f>
        <v>NO</v>
      </c>
      <c r="AI128" s="22" t="str">
        <f>IFERROR(('Activity data'!AI92*(1/Constants!$H$135))*ttokg*FSOMEF*NtoN2O*kgtoGg,"NO")</f>
        <v>NO</v>
      </c>
      <c r="AJ128" s="22" t="str">
        <f>IFERROR(('Activity data'!AJ92*(1/Constants!$H$135))*ttokg*FSOMEF*NtoN2O*kgtoGg,"NO")</f>
        <v>NO</v>
      </c>
      <c r="AK128" s="22" t="str">
        <f>IFERROR(('Activity data'!AK92*(1/Constants!$H$135))*ttokg*FSOMEF*NtoN2O*kgtoGg,"NO")</f>
        <v>NO</v>
      </c>
      <c r="AL128" s="22" t="str">
        <f>IFERROR(('Activity data'!AL92*(1/Constants!$H$135))*ttokg*FSOMEF*NtoN2O*kgtoGg,"NO")</f>
        <v>NO</v>
      </c>
      <c r="AM128" s="22" t="str">
        <f>IFERROR(('Activity data'!AM92*(1/Constants!$H$135))*ttokg*FSOMEF*NtoN2O*kgtoGg,"NO")</f>
        <v>NO</v>
      </c>
      <c r="AN128" s="22" t="str">
        <f>IFERROR(('Activity data'!AN92*(1/Constants!$H$135))*ttokg*FSOMEF*NtoN2O*kgtoGg,"NO")</f>
        <v>NO</v>
      </c>
      <c r="AO128" s="22" t="str">
        <f>IFERROR(('Activity data'!AO92*(1/Constants!$H$135))*ttokg*FSOMEF*NtoN2O*kgtoGg,"NO")</f>
        <v>NO</v>
      </c>
      <c r="AP128" s="22" t="str">
        <f>IFERROR(('Activity data'!AP92*(1/Constants!$H$135))*ttokg*FSOMEF*NtoN2O*kgtoGg,"NO")</f>
        <v>NO</v>
      </c>
      <c r="AQ128" s="22" t="str">
        <f>IFERROR(('Activity data'!AQ92*(1/Constants!$H$135))*ttokg*FSOMEF*NtoN2O*kgtoGg,"NO")</f>
        <v>NO</v>
      </c>
      <c r="AR128" s="22" t="str">
        <f>IFERROR(('Activity data'!AR92*(1/Constants!$H$135))*ttokg*FSOMEF*NtoN2O*kgtoGg,"NO")</f>
        <v>NO</v>
      </c>
      <c r="AS128" s="22" t="str">
        <f>IFERROR(('Activity data'!AS92*(1/Constants!$H$135))*ttokg*FSOMEF*NtoN2O*kgtoGg,"NO")</f>
        <v>NO</v>
      </c>
      <c r="AT128" s="22" t="str">
        <f>IFERROR(('Activity data'!AT92*(1/Constants!$H$135))*ttokg*FSOMEF*NtoN2O*kgtoGg,"NO")</f>
        <v>NO</v>
      </c>
      <c r="AU128" s="22" t="str">
        <f>IFERROR(('Activity data'!AU92*(1/Constants!$H$135))*ttokg*FSOMEF*NtoN2O*kgtoGg,"NO")</f>
        <v>NO</v>
      </c>
      <c r="AV128" s="22" t="str">
        <f>IFERROR(('Activity data'!AV92*(1/Constants!$H$135))*ttokg*FSOMEF*NtoN2O*kgtoGg,"NO")</f>
        <v>NO</v>
      </c>
      <c r="AW128" s="22" t="str">
        <f>IFERROR(('Activity data'!AW92*(1/Constants!$H$135))*ttokg*FSOMEF*NtoN2O*kgtoGg,"NO")</f>
        <v>NO</v>
      </c>
      <c r="AX128" s="22" t="str">
        <f>IFERROR(('Activity data'!AX92*(1/Constants!$H$135))*ttokg*FSOMEF*NtoN2O*kgtoGg,"NO")</f>
        <v>NO</v>
      </c>
      <c r="AY128" s="22" t="str">
        <f>IFERROR(('Activity data'!AY92*(1/Constants!$H$135))*ttokg*FSOMEF*NtoN2O*kgtoGg,"NO")</f>
        <v>NO</v>
      </c>
      <c r="AZ128" s="22" t="str">
        <f>IFERROR(('Activity data'!AZ92*(1/Constants!$H$135))*ttokg*FSOMEF*NtoN2O*kgtoGg,"NO")</f>
        <v>NO</v>
      </c>
      <c r="BA128" s="22" t="str">
        <f>IFERROR(('Activity data'!BA92*(1/Constants!$H$135))*ttokg*FSOMEF*NtoN2O*kgtoGg,"NO")</f>
        <v>NO</v>
      </c>
      <c r="BB128" s="22" t="str">
        <f>IFERROR(('Activity data'!BB92*(1/Constants!$H$135))*ttokg*FSOMEF*NtoN2O*kgtoGg,"NO")</f>
        <v>NO</v>
      </c>
      <c r="BC128" s="22" t="str">
        <f>IFERROR(('Activity data'!BC92*(1/Constants!$H$135))*ttokg*FSOMEF*NtoN2O*kgtoGg,"NO")</f>
        <v>NO</v>
      </c>
      <c r="BD128" s="22" t="str">
        <f>IFERROR(('Activity data'!BD92*(1/Constants!$H$135))*ttokg*FSOMEF*NtoN2O*kgtoGg,"NO")</f>
        <v>NO</v>
      </c>
      <c r="BE128" s="22" t="str">
        <f>IFERROR(('Activity data'!BE92*(1/Constants!$H$135))*ttokg*FSOMEF*NtoN2O*kgtoGg,"NO")</f>
        <v>NO</v>
      </c>
      <c r="BF128" s="22" t="str">
        <f>IFERROR(('Activity data'!BF92*(1/Constants!$H$135))*ttokg*FSOMEF*NtoN2O*kgtoGg,"NO")</f>
        <v>NO</v>
      </c>
      <c r="BG128" s="22" t="str">
        <f>IFERROR(('Activity data'!BG92*(1/Constants!$H$135))*ttokg*FSOMEF*NtoN2O*kgtoGg,"NO")</f>
        <v>NO</v>
      </c>
      <c r="BH128" s="22" t="str">
        <f>IFERROR(('Activity data'!BH92*(1/Constants!$H$135))*ttokg*FSOMEF*NtoN2O*kgtoGg,"NO")</f>
        <v>NO</v>
      </c>
      <c r="BI128" s="22" t="str">
        <f>IFERROR(('Activity data'!BI92*(1/Constants!$H$135))*ttokg*FSOMEF*NtoN2O*kgtoGg,"NO")</f>
        <v>NO</v>
      </c>
      <c r="BJ128" s="22" t="str">
        <f>IFERROR(('Activity data'!BJ92*(1/Constants!$H$135))*ttokg*FSOMEF*NtoN2O*kgtoGg,"NO")</f>
        <v>NO</v>
      </c>
      <c r="BK128" s="22" t="str">
        <f>IFERROR(('Activity data'!BK92*(1/Constants!$H$135))*ttokg*FSOMEF*NtoN2O*kgtoGg,"NO")</f>
        <v>NO</v>
      </c>
      <c r="BL128" s="22" t="str">
        <f>IFERROR(('Activity data'!BL92*(1/Constants!$H$135))*ttokg*FSOMEF*NtoN2O*kgtoGg,"NO")</f>
        <v>NO</v>
      </c>
      <c r="BM128" s="22" t="str">
        <f>IFERROR(('Activity data'!BM92*(1/Constants!$H$135))*ttokg*FSOMEF*NtoN2O*kgtoGg,"NO")</f>
        <v>NO</v>
      </c>
      <c r="BN128" s="22" t="str">
        <f>IFERROR(('Activity data'!BN92*(1/Constants!$H$135))*ttokg*FSOMEF*NtoN2O*kgtoGg,"NO")</f>
        <v>NO</v>
      </c>
      <c r="BO128" s="22" t="str">
        <f>IFERROR(('Activity data'!BO92*(1/Constants!$H$135))*ttokg*FSOMEF*NtoN2O*kgtoGg,"NO")</f>
        <v>NO</v>
      </c>
      <c r="BP128" s="22" t="str">
        <f>IFERROR(('Activity data'!BP92*(1/Constants!$H$135))*ttokg*FSOMEF*NtoN2O*kgtoGg,"NO")</f>
        <v>NO</v>
      </c>
    </row>
    <row r="129" spans="1:68" x14ac:dyDescent="0.25">
      <c r="A129" t="str">
        <f t="shared" si="39"/>
        <v>3C Aggregated and non-CO2 emissions on land</v>
      </c>
      <c r="B129" t="str">
        <f t="shared" si="31"/>
        <v>3C4 Direct N2O from managed soils (N2O)</v>
      </c>
      <c r="C129" t="s">
        <v>60</v>
      </c>
      <c r="D129" t="str">
        <f>" - "&amp;'Activity data'!D93</f>
        <v xml:space="preserve"> - Wetland remaining wetland</v>
      </c>
      <c r="E129" t="str">
        <f t="shared" si="32"/>
        <v>FSOM - Wetland remaining wetland</v>
      </c>
      <c r="G129" t="str">
        <f t="shared" si="37"/>
        <v>Gg N2O</v>
      </c>
      <c r="H129" s="22" t="str">
        <f>IFERROR(('Activity data'!H93*(1/Constants!$H$134))*ttokg*FSOMEF*NtoN2O*kgtoGg,"NO")</f>
        <v>NO</v>
      </c>
      <c r="I129" s="22" t="str">
        <f>IFERROR(('Activity data'!I93*(1/Constants!$H$134))*ttokg*FSOMEF*NtoN2O*kgtoGg,"NO")</f>
        <v>NO</v>
      </c>
      <c r="J129" s="22" t="str">
        <f>IFERROR(('Activity data'!J93*(1/Constants!$H$134))*ttokg*FSOMEF*NtoN2O*kgtoGg,"NO")</f>
        <v>NO</v>
      </c>
      <c r="K129" s="22" t="str">
        <f>IFERROR(('Activity data'!K93*(1/Constants!$H$134))*ttokg*FSOMEF*NtoN2O*kgtoGg,"NO")</f>
        <v>NO</v>
      </c>
      <c r="L129" s="22" t="str">
        <f>IFERROR(('Activity data'!L93*(1/Constants!$H$134))*ttokg*FSOMEF*NtoN2O*kgtoGg,"NO")</f>
        <v>NO</v>
      </c>
      <c r="M129" s="22" t="str">
        <f>IFERROR(('Activity data'!M93*(1/Constants!$H$134))*ttokg*FSOMEF*NtoN2O*kgtoGg,"NO")</f>
        <v>NO</v>
      </c>
      <c r="N129" s="22" t="str">
        <f>IFERROR(('Activity data'!N93*(1/Constants!$H$134))*ttokg*FSOMEF*NtoN2O*kgtoGg,"NO")</f>
        <v>NO</v>
      </c>
      <c r="O129" s="22" t="str">
        <f>IFERROR(('Activity data'!O93*(1/Constants!$H$134))*ttokg*FSOMEF*NtoN2O*kgtoGg,"NO")</f>
        <v>NO</v>
      </c>
      <c r="P129" s="22" t="str">
        <f>IFERROR(('Activity data'!P93*(1/Constants!$H$134))*ttokg*FSOMEF*NtoN2O*kgtoGg,"NO")</f>
        <v>NO</v>
      </c>
      <c r="Q129" s="22" t="str">
        <f>IFERROR(('Activity data'!Q93*(1/Constants!$H$134))*ttokg*FSOMEF*NtoN2O*kgtoGg,"NO")</f>
        <v>NO</v>
      </c>
      <c r="R129" s="22" t="str">
        <f>IFERROR(('Activity data'!R93*(1/Constants!$H$134))*ttokg*FSOMEF*NtoN2O*kgtoGg,"NO")</f>
        <v>NO</v>
      </c>
      <c r="S129" s="22" t="str">
        <f>IFERROR(('Activity data'!S93*(1/Constants!$H$134))*ttokg*FSOMEF*NtoN2O*kgtoGg,"NO")</f>
        <v>NO</v>
      </c>
      <c r="T129" s="22" t="str">
        <f>IFERROR(('Activity data'!T93*(1/Constants!$H$134))*ttokg*FSOMEF*NtoN2O*kgtoGg,"NO")</f>
        <v>NO</v>
      </c>
      <c r="U129" s="22" t="str">
        <f>IFERROR(('Activity data'!U93*(1/Constants!$H$134))*ttokg*FSOMEF*NtoN2O*kgtoGg,"NO")</f>
        <v>NO</v>
      </c>
      <c r="V129" s="22" t="str">
        <f>IFERROR(('Activity data'!V93*(1/Constants!$H$134))*ttokg*FSOMEF*NtoN2O*kgtoGg,"NO")</f>
        <v>NO</v>
      </c>
      <c r="W129" s="22" t="str">
        <f>IFERROR(('Activity data'!W93*(1/Constants!$H$134))*ttokg*FSOMEF*NtoN2O*kgtoGg,"NO")</f>
        <v>NO</v>
      </c>
      <c r="X129" s="22" t="str">
        <f>IFERROR(('Activity data'!X93*(1/Constants!$H$134))*ttokg*FSOMEF*NtoN2O*kgtoGg,"NO")</f>
        <v>NO</v>
      </c>
      <c r="Y129" s="22" t="str">
        <f>IFERROR(('Activity data'!Y93*(1/Constants!$H$134))*ttokg*FSOMEF*NtoN2O*kgtoGg,"NO")</f>
        <v>NO</v>
      </c>
      <c r="Z129" s="22" t="str">
        <f>IFERROR(('Activity data'!Z93*(1/Constants!$H$134))*ttokg*FSOMEF*NtoN2O*kgtoGg,"NO")</f>
        <v>NO</v>
      </c>
      <c r="AA129" s="22" t="str">
        <f>IFERROR(('Activity data'!AA93*(1/Constants!$H$134))*ttokg*FSOMEF*NtoN2O*kgtoGg,"NO")</f>
        <v>NO</v>
      </c>
      <c r="AB129" s="22" t="str">
        <f>IFERROR(('Activity data'!AB93*(1/Constants!$H$134))*ttokg*FSOMEF*NtoN2O*kgtoGg,"NO")</f>
        <v>NO</v>
      </c>
      <c r="AC129" s="22" t="str">
        <f>IFERROR(('Activity data'!AC93*(1/Constants!$H$134))*ttokg*FSOMEF*NtoN2O*kgtoGg,"NO")</f>
        <v>NO</v>
      </c>
      <c r="AD129" s="22" t="str">
        <f>IFERROR(('Activity data'!AD93*(1/Constants!$H$134))*ttokg*FSOMEF*NtoN2O*kgtoGg,"NO")</f>
        <v>NO</v>
      </c>
      <c r="AE129" s="22" t="str">
        <f>IFERROR(('Activity data'!AE93*(1/Constants!$H$134))*ttokg*FSOMEF*NtoN2O*kgtoGg,"NO")</f>
        <v>NO</v>
      </c>
      <c r="AF129" s="22" t="str">
        <f>IFERROR(('Activity data'!AF93*(1/Constants!$H$134))*ttokg*FSOMEF*NtoN2O*kgtoGg,"NO")</f>
        <v>NO</v>
      </c>
      <c r="AG129" s="22" t="str">
        <f>IFERROR(('Activity data'!AG93*(1/Constants!$H$134))*ttokg*FSOMEF*NtoN2O*kgtoGg,"NO")</f>
        <v>NO</v>
      </c>
      <c r="AH129" s="22" t="str">
        <f>IFERROR(('Activity data'!AH93*(1/Constants!$H$134))*ttokg*FSOMEF*NtoN2O*kgtoGg,"NO")</f>
        <v>NO</v>
      </c>
      <c r="AI129" s="22" t="str">
        <f>IFERROR(('Activity data'!AI93*(1/Constants!$H$134))*ttokg*FSOMEF*NtoN2O*kgtoGg,"NO")</f>
        <v>NO</v>
      </c>
      <c r="AJ129" s="22" t="str">
        <f>IFERROR(('Activity data'!AJ93*(1/Constants!$H$134))*ttokg*FSOMEF*NtoN2O*kgtoGg,"NO")</f>
        <v>NO</v>
      </c>
      <c r="AK129" s="22" t="str">
        <f>IFERROR(('Activity data'!AK93*(1/Constants!$H$134))*ttokg*FSOMEF*NtoN2O*kgtoGg,"NO")</f>
        <v>NO</v>
      </c>
      <c r="AL129" s="22" t="str">
        <f>IFERROR(('Activity data'!AL93*(1/Constants!$H$134))*ttokg*FSOMEF*NtoN2O*kgtoGg,"NO")</f>
        <v>NO</v>
      </c>
      <c r="AM129" s="22" t="str">
        <f>IFERROR(('Activity data'!AM93*(1/Constants!$H$134))*ttokg*FSOMEF*NtoN2O*kgtoGg,"NO")</f>
        <v>NO</v>
      </c>
      <c r="AN129" s="22" t="str">
        <f>IFERROR(('Activity data'!AN93*(1/Constants!$H$134))*ttokg*FSOMEF*NtoN2O*kgtoGg,"NO")</f>
        <v>NO</v>
      </c>
      <c r="AO129" s="22" t="str">
        <f>IFERROR(('Activity data'!AO93*(1/Constants!$H$134))*ttokg*FSOMEF*NtoN2O*kgtoGg,"NO")</f>
        <v>NO</v>
      </c>
      <c r="AP129" s="22" t="str">
        <f>IFERROR(('Activity data'!AP93*(1/Constants!$H$134))*ttokg*FSOMEF*NtoN2O*kgtoGg,"NO")</f>
        <v>NO</v>
      </c>
      <c r="AQ129" s="22" t="str">
        <f>IFERROR(('Activity data'!AQ93*(1/Constants!$H$134))*ttokg*FSOMEF*NtoN2O*kgtoGg,"NO")</f>
        <v>NO</v>
      </c>
      <c r="AR129" s="22" t="str">
        <f>IFERROR(('Activity data'!AR93*(1/Constants!$H$134))*ttokg*FSOMEF*NtoN2O*kgtoGg,"NO")</f>
        <v>NO</v>
      </c>
      <c r="AS129" s="22" t="str">
        <f>IFERROR(('Activity data'!AS93*(1/Constants!$H$134))*ttokg*FSOMEF*NtoN2O*kgtoGg,"NO")</f>
        <v>NO</v>
      </c>
      <c r="AT129" s="22" t="str">
        <f>IFERROR(('Activity data'!AT93*(1/Constants!$H$134))*ttokg*FSOMEF*NtoN2O*kgtoGg,"NO")</f>
        <v>NO</v>
      </c>
      <c r="AU129" s="22" t="str">
        <f>IFERROR(('Activity data'!AU93*(1/Constants!$H$134))*ttokg*FSOMEF*NtoN2O*kgtoGg,"NO")</f>
        <v>NO</v>
      </c>
      <c r="AV129" s="22" t="str">
        <f>IFERROR(('Activity data'!AV93*(1/Constants!$H$134))*ttokg*FSOMEF*NtoN2O*kgtoGg,"NO")</f>
        <v>NO</v>
      </c>
      <c r="AW129" s="22" t="str">
        <f>IFERROR(('Activity data'!AW93*(1/Constants!$H$134))*ttokg*FSOMEF*NtoN2O*kgtoGg,"NO")</f>
        <v>NO</v>
      </c>
      <c r="AX129" s="22" t="str">
        <f>IFERROR(('Activity data'!AX93*(1/Constants!$H$134))*ttokg*FSOMEF*NtoN2O*kgtoGg,"NO")</f>
        <v>NO</v>
      </c>
      <c r="AY129" s="22" t="str">
        <f>IFERROR(('Activity data'!AY93*(1/Constants!$H$134))*ttokg*FSOMEF*NtoN2O*kgtoGg,"NO")</f>
        <v>NO</v>
      </c>
      <c r="AZ129" s="22" t="str">
        <f>IFERROR(('Activity data'!AZ93*(1/Constants!$H$134))*ttokg*FSOMEF*NtoN2O*kgtoGg,"NO")</f>
        <v>NO</v>
      </c>
      <c r="BA129" s="22" t="str">
        <f>IFERROR(('Activity data'!BA93*(1/Constants!$H$134))*ttokg*FSOMEF*NtoN2O*kgtoGg,"NO")</f>
        <v>NO</v>
      </c>
      <c r="BB129" s="22" t="str">
        <f>IFERROR(('Activity data'!BB93*(1/Constants!$H$134))*ttokg*FSOMEF*NtoN2O*kgtoGg,"NO")</f>
        <v>NO</v>
      </c>
      <c r="BC129" s="22" t="str">
        <f>IFERROR(('Activity data'!BC93*(1/Constants!$H$134))*ttokg*FSOMEF*NtoN2O*kgtoGg,"NO")</f>
        <v>NO</v>
      </c>
      <c r="BD129" s="22" t="str">
        <f>IFERROR(('Activity data'!BD93*(1/Constants!$H$134))*ttokg*FSOMEF*NtoN2O*kgtoGg,"NO")</f>
        <v>NO</v>
      </c>
      <c r="BE129" s="22" t="str">
        <f>IFERROR(('Activity data'!BE93*(1/Constants!$H$134))*ttokg*FSOMEF*NtoN2O*kgtoGg,"NO")</f>
        <v>NO</v>
      </c>
      <c r="BF129" s="22" t="str">
        <f>IFERROR(('Activity data'!BF93*(1/Constants!$H$134))*ttokg*FSOMEF*NtoN2O*kgtoGg,"NO")</f>
        <v>NO</v>
      </c>
      <c r="BG129" s="22" t="str">
        <f>IFERROR(('Activity data'!BG93*(1/Constants!$H$134))*ttokg*FSOMEF*NtoN2O*kgtoGg,"NO")</f>
        <v>NO</v>
      </c>
      <c r="BH129" s="22" t="str">
        <f>IFERROR(('Activity data'!BH93*(1/Constants!$H$134))*ttokg*FSOMEF*NtoN2O*kgtoGg,"NO")</f>
        <v>NO</v>
      </c>
      <c r="BI129" s="22" t="str">
        <f>IFERROR(('Activity data'!BI93*(1/Constants!$H$134))*ttokg*FSOMEF*NtoN2O*kgtoGg,"NO")</f>
        <v>NO</v>
      </c>
      <c r="BJ129" s="22" t="str">
        <f>IFERROR(('Activity data'!BJ93*(1/Constants!$H$134))*ttokg*FSOMEF*NtoN2O*kgtoGg,"NO")</f>
        <v>NO</v>
      </c>
      <c r="BK129" s="22" t="str">
        <f>IFERROR(('Activity data'!BK93*(1/Constants!$H$134))*ttokg*FSOMEF*NtoN2O*kgtoGg,"NO")</f>
        <v>NO</v>
      </c>
      <c r="BL129" s="22" t="str">
        <f>IFERROR(('Activity data'!BL93*(1/Constants!$H$134))*ttokg*FSOMEF*NtoN2O*kgtoGg,"NO")</f>
        <v>NO</v>
      </c>
      <c r="BM129" s="22" t="str">
        <f>IFERROR(('Activity data'!BM93*(1/Constants!$H$134))*ttokg*FSOMEF*NtoN2O*kgtoGg,"NO")</f>
        <v>NO</v>
      </c>
      <c r="BN129" s="22" t="str">
        <f>IFERROR(('Activity data'!BN93*(1/Constants!$H$134))*ttokg*FSOMEF*NtoN2O*kgtoGg,"NO")</f>
        <v>NO</v>
      </c>
      <c r="BO129" s="22" t="str">
        <f>IFERROR(('Activity data'!BO93*(1/Constants!$H$134))*ttokg*FSOMEF*NtoN2O*kgtoGg,"NO")</f>
        <v>NO</v>
      </c>
      <c r="BP129" s="22" t="str">
        <f>IFERROR(('Activity data'!BP93*(1/Constants!$H$134))*ttokg*FSOMEF*NtoN2O*kgtoGg,"NO")</f>
        <v>NO</v>
      </c>
    </row>
    <row r="130" spans="1:68" x14ac:dyDescent="0.25">
      <c r="A130" t="str">
        <f t="shared" si="39"/>
        <v>3C Aggregated and non-CO2 emissions on land</v>
      </c>
      <c r="B130" t="str">
        <f t="shared" si="31"/>
        <v>3C4 Direct N2O from managed soils (N2O)</v>
      </c>
      <c r="C130" t="s">
        <v>60</v>
      </c>
      <c r="D130" t="str">
        <f>" - "&amp;'Activity data'!D94</f>
        <v xml:space="preserve"> - Land converted to wetland</v>
      </c>
      <c r="E130" t="str">
        <f t="shared" ref="E130:E134" si="41">C130&amp;D130</f>
        <v>FSOM - Land converted to wetland</v>
      </c>
      <c r="G130" t="str">
        <f t="shared" si="37"/>
        <v>Gg N2O</v>
      </c>
      <c r="H130" s="22" t="str">
        <f>IFERROR(('Activity data'!H94*(1/Constants!$H$132))*ttokg*FSOMEF*NtoN2O*kgtoGg,"NO")</f>
        <v>NO</v>
      </c>
      <c r="I130" s="22" t="str">
        <f>IFERROR(('Activity data'!I94*(1/Constants!$H$132))*ttokg*FSOMEF*NtoN2O*kgtoGg,"NO")</f>
        <v>NO</v>
      </c>
      <c r="J130" s="22" t="str">
        <f>IFERROR(('Activity data'!J94*(1/Constants!$H$132))*ttokg*FSOMEF*NtoN2O*kgtoGg,"NO")</f>
        <v>NO</v>
      </c>
      <c r="K130" s="22" t="str">
        <f>IFERROR(('Activity data'!K94*(1/Constants!$H$132))*ttokg*FSOMEF*NtoN2O*kgtoGg,"NO")</f>
        <v>NO</v>
      </c>
      <c r="L130" s="22" t="str">
        <f>IFERROR(('Activity data'!L94*(1/Constants!$H$132))*ttokg*FSOMEF*NtoN2O*kgtoGg,"NO")</f>
        <v>NO</v>
      </c>
      <c r="M130" s="22" t="str">
        <f>IFERROR(('Activity data'!M94*(1/Constants!$H$132))*ttokg*FSOMEF*NtoN2O*kgtoGg,"NO")</f>
        <v>NO</v>
      </c>
      <c r="N130" s="22" t="str">
        <f>IFERROR(('Activity data'!N94*(1/Constants!$H$132))*ttokg*FSOMEF*NtoN2O*kgtoGg,"NO")</f>
        <v>NO</v>
      </c>
      <c r="O130" s="22" t="str">
        <f>IFERROR(('Activity data'!O94*(1/Constants!$H$132))*ttokg*FSOMEF*NtoN2O*kgtoGg,"NO")</f>
        <v>NO</v>
      </c>
      <c r="P130" s="22" t="str">
        <f>IFERROR(('Activity data'!P94*(1/Constants!$H$132))*ttokg*FSOMEF*NtoN2O*kgtoGg,"NO")</f>
        <v>NO</v>
      </c>
      <c r="Q130" s="22" t="str">
        <f>IFERROR(('Activity data'!Q94*(1/Constants!$H$132))*ttokg*FSOMEF*NtoN2O*kgtoGg,"NO")</f>
        <v>NO</v>
      </c>
      <c r="R130" s="22" t="str">
        <f>IFERROR(('Activity data'!R94*(1/Constants!$H$132))*ttokg*FSOMEF*NtoN2O*kgtoGg,"NO")</f>
        <v>NO</v>
      </c>
      <c r="S130" s="22" t="str">
        <f>IFERROR(('Activity data'!S94*(1/Constants!$H$132))*ttokg*FSOMEF*NtoN2O*kgtoGg,"NO")</f>
        <v>NO</v>
      </c>
      <c r="T130" s="22" t="str">
        <f>IFERROR(('Activity data'!T94*(1/Constants!$H$132))*ttokg*FSOMEF*NtoN2O*kgtoGg,"NO")</f>
        <v>NO</v>
      </c>
      <c r="U130" s="22" t="str">
        <f>IFERROR(('Activity data'!U94*(1/Constants!$H$132))*ttokg*FSOMEF*NtoN2O*kgtoGg,"NO")</f>
        <v>NO</v>
      </c>
      <c r="V130" s="22" t="str">
        <f>IFERROR(('Activity data'!V94*(1/Constants!$H$132))*ttokg*FSOMEF*NtoN2O*kgtoGg,"NO")</f>
        <v>NO</v>
      </c>
      <c r="W130" s="22" t="str">
        <f>IFERROR(('Activity data'!W94*(1/Constants!$H$132))*ttokg*FSOMEF*NtoN2O*kgtoGg,"NO")</f>
        <v>NO</v>
      </c>
      <c r="X130" s="22" t="str">
        <f>IFERROR(('Activity data'!X94*(1/Constants!$H$132))*ttokg*FSOMEF*NtoN2O*kgtoGg,"NO")</f>
        <v>NO</v>
      </c>
      <c r="Y130" s="22" t="str">
        <f>IFERROR(('Activity data'!Y94*(1/Constants!$H$132))*ttokg*FSOMEF*NtoN2O*kgtoGg,"NO")</f>
        <v>NO</v>
      </c>
      <c r="Z130" s="22" t="str">
        <f>IFERROR(('Activity data'!Z94*(1/Constants!$H$132))*ttokg*FSOMEF*NtoN2O*kgtoGg,"NO")</f>
        <v>NO</v>
      </c>
      <c r="AA130" s="22" t="str">
        <f>IFERROR(('Activity data'!AA94*(1/Constants!$H$132))*ttokg*FSOMEF*NtoN2O*kgtoGg,"NO")</f>
        <v>NO</v>
      </c>
      <c r="AB130" s="22" t="str">
        <f>IFERROR(('Activity data'!AB94*(1/Constants!$H$132))*ttokg*FSOMEF*NtoN2O*kgtoGg,"NO")</f>
        <v>NO</v>
      </c>
      <c r="AC130" s="22" t="str">
        <f>IFERROR(('Activity data'!AC94*(1/Constants!$H$132))*ttokg*FSOMEF*NtoN2O*kgtoGg,"NO")</f>
        <v>NO</v>
      </c>
      <c r="AD130" s="22" t="str">
        <f>IFERROR(('Activity data'!AD94*(1/Constants!$H$132))*ttokg*FSOMEF*NtoN2O*kgtoGg,"NO")</f>
        <v>NO</v>
      </c>
      <c r="AE130" s="22" t="str">
        <f>IFERROR(('Activity data'!AE94*(1/Constants!$H$132))*ttokg*FSOMEF*NtoN2O*kgtoGg,"NO")</f>
        <v>NO</v>
      </c>
      <c r="AF130" s="22" t="str">
        <f>IFERROR(('Activity data'!AF94*(1/Constants!$H$132))*ttokg*FSOMEF*NtoN2O*kgtoGg,"NO")</f>
        <v>NO</v>
      </c>
      <c r="AG130" s="22" t="str">
        <f>IFERROR(('Activity data'!AG94*(1/Constants!$H$132))*ttokg*FSOMEF*NtoN2O*kgtoGg,"NO")</f>
        <v>NO</v>
      </c>
      <c r="AH130" s="22" t="str">
        <f>IFERROR(('Activity data'!AH94*(1/Constants!$H$132))*ttokg*FSOMEF*NtoN2O*kgtoGg,"NO")</f>
        <v>NO</v>
      </c>
      <c r="AI130" s="22" t="str">
        <f>IFERROR(('Activity data'!AI94*(1/Constants!$H$132))*ttokg*FSOMEF*NtoN2O*kgtoGg,"NO")</f>
        <v>NO</v>
      </c>
      <c r="AJ130" s="22" t="str">
        <f>IFERROR(('Activity data'!AJ94*(1/Constants!$H$132))*ttokg*FSOMEF*NtoN2O*kgtoGg,"NO")</f>
        <v>NO</v>
      </c>
      <c r="AK130" s="22" t="str">
        <f>IFERROR(('Activity data'!AK94*(1/Constants!$H$132))*ttokg*FSOMEF*NtoN2O*kgtoGg,"NO")</f>
        <v>NO</v>
      </c>
      <c r="AL130" s="22" t="str">
        <f>IFERROR(('Activity data'!AL94*(1/Constants!$H$132))*ttokg*FSOMEF*NtoN2O*kgtoGg,"NO")</f>
        <v>NO</v>
      </c>
      <c r="AM130" s="22" t="str">
        <f>IFERROR(('Activity data'!AM94*(1/Constants!$H$132))*ttokg*FSOMEF*NtoN2O*kgtoGg,"NO")</f>
        <v>NO</v>
      </c>
      <c r="AN130" s="22" t="str">
        <f>IFERROR(('Activity data'!AN94*(1/Constants!$H$132))*ttokg*FSOMEF*NtoN2O*kgtoGg,"NO")</f>
        <v>NO</v>
      </c>
      <c r="AO130" s="22" t="str">
        <f>IFERROR(('Activity data'!AO94*(1/Constants!$H$132))*ttokg*FSOMEF*NtoN2O*kgtoGg,"NO")</f>
        <v>NO</v>
      </c>
      <c r="AP130" s="22" t="str">
        <f>IFERROR(('Activity data'!AP94*(1/Constants!$H$132))*ttokg*FSOMEF*NtoN2O*kgtoGg,"NO")</f>
        <v>NO</v>
      </c>
      <c r="AQ130" s="22" t="str">
        <f>IFERROR(('Activity data'!AQ94*(1/Constants!$H$132))*ttokg*FSOMEF*NtoN2O*kgtoGg,"NO")</f>
        <v>NO</v>
      </c>
      <c r="AR130" s="22" t="str">
        <f>IFERROR(('Activity data'!AR94*(1/Constants!$H$132))*ttokg*FSOMEF*NtoN2O*kgtoGg,"NO")</f>
        <v>NO</v>
      </c>
      <c r="AS130" s="22" t="str">
        <f>IFERROR(('Activity data'!AS94*(1/Constants!$H$132))*ttokg*FSOMEF*NtoN2O*kgtoGg,"NO")</f>
        <v>NO</v>
      </c>
      <c r="AT130" s="22" t="str">
        <f>IFERROR(('Activity data'!AT94*(1/Constants!$H$132))*ttokg*FSOMEF*NtoN2O*kgtoGg,"NO")</f>
        <v>NO</v>
      </c>
      <c r="AU130" s="22" t="str">
        <f>IFERROR(('Activity data'!AU94*(1/Constants!$H$132))*ttokg*FSOMEF*NtoN2O*kgtoGg,"NO")</f>
        <v>NO</v>
      </c>
      <c r="AV130" s="22" t="str">
        <f>IFERROR(('Activity data'!AV94*(1/Constants!$H$132))*ttokg*FSOMEF*NtoN2O*kgtoGg,"NO")</f>
        <v>NO</v>
      </c>
      <c r="AW130" s="22" t="str">
        <f>IFERROR(('Activity data'!AW94*(1/Constants!$H$132))*ttokg*FSOMEF*NtoN2O*kgtoGg,"NO")</f>
        <v>NO</v>
      </c>
      <c r="AX130" s="22" t="str">
        <f>IFERROR(('Activity data'!AX94*(1/Constants!$H$132))*ttokg*FSOMEF*NtoN2O*kgtoGg,"NO")</f>
        <v>NO</v>
      </c>
      <c r="AY130" s="22" t="str">
        <f>IFERROR(('Activity data'!AY94*(1/Constants!$H$132))*ttokg*FSOMEF*NtoN2O*kgtoGg,"NO")</f>
        <v>NO</v>
      </c>
      <c r="AZ130" s="22" t="str">
        <f>IFERROR(('Activity data'!AZ94*(1/Constants!$H$132))*ttokg*FSOMEF*NtoN2O*kgtoGg,"NO")</f>
        <v>NO</v>
      </c>
      <c r="BA130" s="22" t="str">
        <f>IFERROR(('Activity data'!BA94*(1/Constants!$H$132))*ttokg*FSOMEF*NtoN2O*kgtoGg,"NO")</f>
        <v>NO</v>
      </c>
      <c r="BB130" s="22" t="str">
        <f>IFERROR(('Activity data'!BB94*(1/Constants!$H$132))*ttokg*FSOMEF*NtoN2O*kgtoGg,"NO")</f>
        <v>NO</v>
      </c>
      <c r="BC130" s="22" t="str">
        <f>IFERROR(('Activity data'!BC94*(1/Constants!$H$132))*ttokg*FSOMEF*NtoN2O*kgtoGg,"NO")</f>
        <v>NO</v>
      </c>
      <c r="BD130" s="22" t="str">
        <f>IFERROR(('Activity data'!BD94*(1/Constants!$H$132))*ttokg*FSOMEF*NtoN2O*kgtoGg,"NO")</f>
        <v>NO</v>
      </c>
      <c r="BE130" s="22" t="str">
        <f>IFERROR(('Activity data'!BE94*(1/Constants!$H$132))*ttokg*FSOMEF*NtoN2O*kgtoGg,"NO")</f>
        <v>NO</v>
      </c>
      <c r="BF130" s="22" t="str">
        <f>IFERROR(('Activity data'!BF94*(1/Constants!$H$132))*ttokg*FSOMEF*NtoN2O*kgtoGg,"NO")</f>
        <v>NO</v>
      </c>
      <c r="BG130" s="22" t="str">
        <f>IFERROR(('Activity data'!BG94*(1/Constants!$H$132))*ttokg*FSOMEF*NtoN2O*kgtoGg,"NO")</f>
        <v>NO</v>
      </c>
      <c r="BH130" s="22" t="str">
        <f>IFERROR(('Activity data'!BH94*(1/Constants!$H$132))*ttokg*FSOMEF*NtoN2O*kgtoGg,"NO")</f>
        <v>NO</v>
      </c>
      <c r="BI130" s="22" t="str">
        <f>IFERROR(('Activity data'!BI94*(1/Constants!$H$132))*ttokg*FSOMEF*NtoN2O*kgtoGg,"NO")</f>
        <v>NO</v>
      </c>
      <c r="BJ130" s="22" t="str">
        <f>IFERROR(('Activity data'!BJ94*(1/Constants!$H$132))*ttokg*FSOMEF*NtoN2O*kgtoGg,"NO")</f>
        <v>NO</v>
      </c>
      <c r="BK130" s="22" t="str">
        <f>IFERROR(('Activity data'!BK94*(1/Constants!$H$132))*ttokg*FSOMEF*NtoN2O*kgtoGg,"NO")</f>
        <v>NO</v>
      </c>
      <c r="BL130" s="22" t="str">
        <f>IFERROR(('Activity data'!BL94*(1/Constants!$H$132))*ttokg*FSOMEF*NtoN2O*kgtoGg,"NO")</f>
        <v>NO</v>
      </c>
      <c r="BM130" s="22" t="str">
        <f>IFERROR(('Activity data'!BM94*(1/Constants!$H$132))*ttokg*FSOMEF*NtoN2O*kgtoGg,"NO")</f>
        <v>NO</v>
      </c>
      <c r="BN130" s="22" t="str">
        <f>IFERROR(('Activity data'!BN94*(1/Constants!$H$132))*ttokg*FSOMEF*NtoN2O*kgtoGg,"NO")</f>
        <v>NO</v>
      </c>
      <c r="BO130" s="22" t="str">
        <f>IFERROR(('Activity data'!BO94*(1/Constants!$H$132))*ttokg*FSOMEF*NtoN2O*kgtoGg,"NO")</f>
        <v>NO</v>
      </c>
      <c r="BP130" s="22" t="str">
        <f>IFERROR(('Activity data'!BP94*(1/Constants!$H$132))*ttokg*FSOMEF*NtoN2O*kgtoGg,"NO")</f>
        <v>NO</v>
      </c>
    </row>
    <row r="131" spans="1:68" x14ac:dyDescent="0.25">
      <c r="A131" t="str">
        <f t="shared" si="39"/>
        <v>3C Aggregated and non-CO2 emissions on land</v>
      </c>
      <c r="B131" t="str">
        <f t="shared" si="31"/>
        <v>3C4 Direct N2O from managed soils (N2O)</v>
      </c>
      <c r="C131" t="s">
        <v>60</v>
      </c>
      <c r="D131" t="str">
        <f>" - "&amp;'Activity data'!D95</f>
        <v xml:space="preserve"> - Settlements remaining settlements</v>
      </c>
      <c r="E131" t="str">
        <f t="shared" si="41"/>
        <v>FSOM - Settlements remaining settlements</v>
      </c>
      <c r="G131" t="str">
        <f t="shared" si="37"/>
        <v>Gg N2O</v>
      </c>
      <c r="H131" s="22" t="str">
        <f>IFERROR(('Activity data'!H95*(1/Constants!$H$133))*ttokg*FSOMEF*NtoN2O*kgtoGg,"NO")</f>
        <v>NO</v>
      </c>
      <c r="I131" s="22">
        <f>IFERROR(('Activity data'!I95*(1/Constants!$H$133))*ttokg*FSOMEF*NtoN2O*kgtoGg,"NO")</f>
        <v>4.963559447138258E-6</v>
      </c>
      <c r="J131" s="22">
        <f>IFERROR(('Activity data'!J95*(1/Constants!$H$133))*ttokg*FSOMEF*NtoN2O*kgtoGg,"NO")</f>
        <v>4.963559447138258E-6</v>
      </c>
      <c r="K131" s="22">
        <f>IFERROR(('Activity data'!K95*(1/Constants!$H$133))*ttokg*FSOMEF*NtoN2O*kgtoGg,"NO")</f>
        <v>4.963559447138258E-6</v>
      </c>
      <c r="L131" s="22">
        <f>IFERROR(('Activity data'!L95*(1/Constants!$H$133))*ttokg*FSOMEF*NtoN2O*kgtoGg,"NO")</f>
        <v>4.963559447138258E-6</v>
      </c>
      <c r="M131" s="22">
        <f>IFERROR(('Activity data'!M95*(1/Constants!$H$133))*ttokg*FSOMEF*NtoN2O*kgtoGg,"NO")</f>
        <v>4.963559447138258E-6</v>
      </c>
      <c r="N131" s="22">
        <f>IFERROR(('Activity data'!N95*(1/Constants!$H$133))*ttokg*FSOMEF*NtoN2O*kgtoGg,"NO")</f>
        <v>4.963559447138258E-6</v>
      </c>
      <c r="O131" s="22">
        <f>IFERROR(('Activity data'!O95*(1/Constants!$H$133))*ttokg*FSOMEF*NtoN2O*kgtoGg,"NO")</f>
        <v>4.963559447138258E-6</v>
      </c>
      <c r="P131" s="22">
        <f>IFERROR(('Activity data'!P95*(1/Constants!$H$133))*ttokg*FSOMEF*NtoN2O*kgtoGg,"NO")</f>
        <v>4.963559447138258E-6</v>
      </c>
      <c r="Q131" s="22">
        <f>IFERROR(('Activity data'!Q95*(1/Constants!$H$133))*ttokg*FSOMEF*NtoN2O*kgtoGg,"NO")</f>
        <v>4.963559447138258E-6</v>
      </c>
      <c r="R131" s="22">
        <f>IFERROR(('Activity data'!R95*(1/Constants!$H$133))*ttokg*FSOMEF*NtoN2O*kgtoGg,"NO")</f>
        <v>4.963559447138258E-6</v>
      </c>
      <c r="S131" s="22">
        <f>IFERROR(('Activity data'!S95*(1/Constants!$H$133))*ttokg*FSOMEF*NtoN2O*kgtoGg,"NO")</f>
        <v>4.963559447138258E-6</v>
      </c>
      <c r="T131" s="22">
        <f>IFERROR(('Activity data'!T95*(1/Constants!$H$133))*ttokg*FSOMEF*NtoN2O*kgtoGg,"NO")</f>
        <v>4.963559447138258E-6</v>
      </c>
      <c r="U131" s="22">
        <f>IFERROR(('Activity data'!U95*(1/Constants!$H$133))*ttokg*FSOMEF*NtoN2O*kgtoGg,"NO")</f>
        <v>4.963559447138258E-6</v>
      </c>
      <c r="V131" s="22">
        <f>IFERROR(('Activity data'!V95*(1/Constants!$H$133))*ttokg*FSOMEF*NtoN2O*kgtoGg,"NO")</f>
        <v>4.963559447138258E-6</v>
      </c>
      <c r="W131" s="22">
        <f>IFERROR(('Activity data'!W95*(1/Constants!$H$133))*ttokg*FSOMEF*NtoN2O*kgtoGg,"NO")</f>
        <v>4.963559447138258E-6</v>
      </c>
      <c r="X131" s="22">
        <f>IFERROR(('Activity data'!X95*(1/Constants!$H$133))*ttokg*FSOMEF*NtoN2O*kgtoGg,"NO")</f>
        <v>4.963559447138258E-6</v>
      </c>
      <c r="Y131" s="22">
        <f>IFERROR(('Activity data'!Y95*(1/Constants!$H$133))*ttokg*FSOMEF*NtoN2O*kgtoGg,"NO")</f>
        <v>4.963559447138258E-6</v>
      </c>
      <c r="Z131" s="22">
        <f>IFERROR(('Activity data'!Z95*(1/Constants!$H$133))*ttokg*FSOMEF*NtoN2O*kgtoGg,"NO")</f>
        <v>4.963559447138258E-6</v>
      </c>
      <c r="AA131" s="22">
        <f>IFERROR(('Activity data'!AA95*(1/Constants!$H$133))*ttokg*FSOMEF*NtoN2O*kgtoGg,"NO")</f>
        <v>4.963559447138258E-6</v>
      </c>
      <c r="AB131" s="22">
        <f>IFERROR(('Activity data'!AB95*(1/Constants!$H$133))*ttokg*FSOMEF*NtoN2O*kgtoGg,"NO")</f>
        <v>4.963559447138258E-6</v>
      </c>
      <c r="AC131" s="22">
        <f>IFERROR(('Activity data'!AC95*(1/Constants!$H$133))*ttokg*FSOMEF*NtoN2O*kgtoGg,"NO")</f>
        <v>4.963559447138258E-6</v>
      </c>
      <c r="AD131" s="22">
        <f>IFERROR(('Activity data'!AD95*(1/Constants!$H$133))*ttokg*FSOMEF*NtoN2O*kgtoGg,"NO")</f>
        <v>5.604018730639919E-5</v>
      </c>
      <c r="AE131" s="22">
        <f>IFERROR(('Activity data'!AE95*(1/Constants!$H$133))*ttokg*FSOMEF*NtoN2O*kgtoGg,"NO")</f>
        <v>5.604018730639919E-5</v>
      </c>
      <c r="AF131" s="22">
        <f>IFERROR(('Activity data'!AF95*(1/Constants!$H$133))*ttokg*FSOMEF*NtoN2O*kgtoGg,"NO")</f>
        <v>5.604018730639919E-5</v>
      </c>
      <c r="AG131" s="22">
        <f>IFERROR(('Activity data'!AG95*(1/Constants!$H$133))*ttokg*FSOMEF*NtoN2O*kgtoGg,"NO")</f>
        <v>5.604018730639919E-5</v>
      </c>
      <c r="AH131" s="22">
        <f>IFERROR(('Activity data'!AH95*(1/Constants!$H$133))*ttokg*FSOMEF*NtoN2O*kgtoGg,"NO")</f>
        <v>5.604018730639919E-5</v>
      </c>
      <c r="AI131" s="22">
        <f>IFERROR(('Activity data'!AI95*(1/Constants!$H$133))*ttokg*FSOMEF*NtoN2O*kgtoGg,"NO")</f>
        <v>5.604018730639919E-5</v>
      </c>
      <c r="AJ131" s="22">
        <f>IFERROR(('Activity data'!AJ95*(1/Constants!$H$133))*ttokg*FSOMEF*NtoN2O*kgtoGg,"NO")</f>
        <v>5.604018730639919E-5</v>
      </c>
      <c r="AK131" s="22">
        <f>IFERROR(('Activity data'!AK95*(1/Constants!$H$133))*ttokg*FSOMEF*NtoN2O*kgtoGg,"NO")</f>
        <v>5.604018730639919E-5</v>
      </c>
      <c r="AL131" s="22">
        <f>IFERROR(('Activity data'!AL95*(1/Constants!$H$133))*ttokg*FSOMEF*NtoN2O*kgtoGg,"NO")</f>
        <v>5.604018730639919E-5</v>
      </c>
      <c r="AM131" s="22">
        <f>IFERROR(('Activity data'!AM95*(1/Constants!$H$133))*ttokg*FSOMEF*NtoN2O*kgtoGg,"NO")</f>
        <v>5.604018730639919E-5</v>
      </c>
      <c r="AN131" s="22">
        <f>IFERROR(('Activity data'!AN95*(1/Constants!$H$133))*ttokg*FSOMEF*NtoN2O*kgtoGg,"NO")</f>
        <v>5.604018730639919E-5</v>
      </c>
      <c r="AO131" s="22">
        <f>IFERROR(('Activity data'!AO95*(1/Constants!$H$133))*ttokg*FSOMEF*NtoN2O*kgtoGg,"NO")</f>
        <v>5.604018730639919E-5</v>
      </c>
      <c r="AP131" s="22">
        <f>IFERROR(('Activity data'!AP95*(1/Constants!$H$133))*ttokg*FSOMEF*NtoN2O*kgtoGg,"NO")</f>
        <v>5.604018730639919E-5</v>
      </c>
      <c r="AQ131" s="22">
        <f>IFERROR(('Activity data'!AQ95*(1/Constants!$H$133))*ttokg*FSOMEF*NtoN2O*kgtoGg,"NO")</f>
        <v>5.604018730639919E-5</v>
      </c>
      <c r="AR131" s="22">
        <f>IFERROR(('Activity data'!AR95*(1/Constants!$H$133))*ttokg*FSOMEF*NtoN2O*kgtoGg,"NO")</f>
        <v>5.604018730639919E-5</v>
      </c>
      <c r="AS131" s="22">
        <f>IFERROR(('Activity data'!AS95*(1/Constants!$H$133))*ttokg*FSOMEF*NtoN2O*kgtoGg,"NO")</f>
        <v>5.604018730639919E-5</v>
      </c>
      <c r="AT131" s="22">
        <f>IFERROR(('Activity data'!AT95*(1/Constants!$H$133))*ttokg*FSOMEF*NtoN2O*kgtoGg,"NO")</f>
        <v>5.604018730639919E-5</v>
      </c>
      <c r="AU131" s="22">
        <f>IFERROR(('Activity data'!AU95*(1/Constants!$H$133))*ttokg*FSOMEF*NtoN2O*kgtoGg,"NO")</f>
        <v>5.604018730639919E-5</v>
      </c>
      <c r="AV131" s="22">
        <f>IFERROR(('Activity data'!AV95*(1/Constants!$H$133))*ttokg*FSOMEF*NtoN2O*kgtoGg,"NO")</f>
        <v>5.604018730639919E-5</v>
      </c>
      <c r="AW131" s="22">
        <f>IFERROR(('Activity data'!AW95*(1/Constants!$H$133))*ttokg*FSOMEF*NtoN2O*kgtoGg,"NO")</f>
        <v>5.604018730639919E-5</v>
      </c>
      <c r="AX131" s="22">
        <f>IFERROR(('Activity data'!AX95*(1/Constants!$H$133))*ttokg*FSOMEF*NtoN2O*kgtoGg,"NO")</f>
        <v>5.604018730639919E-5</v>
      </c>
      <c r="AY131" s="22">
        <f>IFERROR(('Activity data'!AY95*(1/Constants!$H$133))*ttokg*FSOMEF*NtoN2O*kgtoGg,"NO")</f>
        <v>5.604018730639919E-5</v>
      </c>
      <c r="AZ131" s="22">
        <f>IFERROR(('Activity data'!AZ95*(1/Constants!$H$133))*ttokg*FSOMEF*NtoN2O*kgtoGg,"NO")</f>
        <v>5.604018730639919E-5</v>
      </c>
      <c r="BA131" s="22">
        <f>IFERROR(('Activity data'!BA95*(1/Constants!$H$133))*ttokg*FSOMEF*NtoN2O*kgtoGg,"NO")</f>
        <v>5.604018730639919E-5</v>
      </c>
      <c r="BB131" s="22">
        <f>IFERROR(('Activity data'!BB95*(1/Constants!$H$133))*ttokg*FSOMEF*NtoN2O*kgtoGg,"NO")</f>
        <v>5.604018730639919E-5</v>
      </c>
      <c r="BC131" s="22">
        <f>IFERROR(('Activity data'!BC95*(1/Constants!$H$133))*ttokg*FSOMEF*NtoN2O*kgtoGg,"NO")</f>
        <v>5.604018730639919E-5</v>
      </c>
      <c r="BD131" s="22">
        <f>IFERROR(('Activity data'!BD95*(1/Constants!$H$133))*ttokg*FSOMEF*NtoN2O*kgtoGg,"NO")</f>
        <v>5.604018730639919E-5</v>
      </c>
      <c r="BE131" s="22">
        <f>IFERROR(('Activity data'!BE95*(1/Constants!$H$133))*ttokg*FSOMEF*NtoN2O*kgtoGg,"NO")</f>
        <v>5.604018730639919E-5</v>
      </c>
      <c r="BF131" s="22">
        <f>IFERROR(('Activity data'!BF95*(1/Constants!$H$133))*ttokg*FSOMEF*NtoN2O*kgtoGg,"NO")</f>
        <v>5.604018730639919E-5</v>
      </c>
      <c r="BG131" s="22">
        <f>IFERROR(('Activity data'!BG95*(1/Constants!$H$133))*ttokg*FSOMEF*NtoN2O*kgtoGg,"NO")</f>
        <v>5.604018730639919E-5</v>
      </c>
      <c r="BH131" s="22">
        <f>IFERROR(('Activity data'!BH95*(1/Constants!$H$133))*ttokg*FSOMEF*NtoN2O*kgtoGg,"NO")</f>
        <v>5.604018730639919E-5</v>
      </c>
      <c r="BI131" s="22">
        <f>IFERROR(('Activity data'!BI95*(1/Constants!$H$133))*ttokg*FSOMEF*NtoN2O*kgtoGg,"NO")</f>
        <v>5.604018730639919E-5</v>
      </c>
      <c r="BJ131" s="22">
        <f>IFERROR(('Activity data'!BJ95*(1/Constants!$H$133))*ttokg*FSOMEF*NtoN2O*kgtoGg,"NO")</f>
        <v>5.604018730639919E-5</v>
      </c>
      <c r="BK131" s="22">
        <f>IFERROR(('Activity data'!BK95*(1/Constants!$H$133))*ttokg*FSOMEF*NtoN2O*kgtoGg,"NO")</f>
        <v>5.604018730639919E-5</v>
      </c>
      <c r="BL131" s="22">
        <f>IFERROR(('Activity data'!BL95*(1/Constants!$H$133))*ttokg*FSOMEF*NtoN2O*kgtoGg,"NO")</f>
        <v>5.604018730639919E-5</v>
      </c>
      <c r="BM131" s="22">
        <f>IFERROR(('Activity data'!BM95*(1/Constants!$H$133))*ttokg*FSOMEF*NtoN2O*kgtoGg,"NO")</f>
        <v>5.604018730639919E-5</v>
      </c>
      <c r="BN131" s="22">
        <f>IFERROR(('Activity data'!BN95*(1/Constants!$H$133))*ttokg*FSOMEF*NtoN2O*kgtoGg,"NO")</f>
        <v>5.604018730639919E-5</v>
      </c>
      <c r="BO131" s="22">
        <f>IFERROR(('Activity data'!BO95*(1/Constants!$H$133))*ttokg*FSOMEF*NtoN2O*kgtoGg,"NO")</f>
        <v>5.604018730639919E-5</v>
      </c>
      <c r="BP131" s="22">
        <f>IFERROR(('Activity data'!BP95*(1/Constants!$H$133))*ttokg*FSOMEF*NtoN2O*kgtoGg,"NO")</f>
        <v>5.604018730639919E-5</v>
      </c>
    </row>
    <row r="132" spans="1:68" x14ac:dyDescent="0.25">
      <c r="A132" t="str">
        <f t="shared" si="39"/>
        <v>3C Aggregated and non-CO2 emissions on land</v>
      </c>
      <c r="B132" t="str">
        <f t="shared" si="31"/>
        <v>3C4 Direct N2O from managed soils (N2O)</v>
      </c>
      <c r="C132" t="s">
        <v>60</v>
      </c>
      <c r="D132" t="str">
        <f>" - "&amp;'Activity data'!D96</f>
        <v xml:space="preserve"> - Land converted to settlements</v>
      </c>
      <c r="E132" t="str">
        <f t="shared" si="41"/>
        <v>FSOM - Land converted to settlements</v>
      </c>
      <c r="G132" t="str">
        <f t="shared" si="37"/>
        <v>Gg N2O</v>
      </c>
      <c r="H132" s="22">
        <f>IFERROR(('Activity data'!H96*(1/Constants!$H$135))*ttokg*FSOMEF*NtoN2O*kgtoGg,"NO")</f>
        <v>0</v>
      </c>
      <c r="I132" s="22">
        <f>IFERROR(('Activity data'!I96*(1/Constants!$H$135))*ttokg*FSOMEF*NtoN2O*kgtoGg,"NO")</f>
        <v>6.2257171325729504E-3</v>
      </c>
      <c r="J132" s="22">
        <f>IFERROR(('Activity data'!J96*(1/Constants!$H$135))*ttokg*FSOMEF*NtoN2O*kgtoGg,"NO")</f>
        <v>6.2257171325729504E-3</v>
      </c>
      <c r="K132" s="22">
        <f>IFERROR(('Activity data'!K96*(1/Constants!$H$135))*ttokg*FSOMEF*NtoN2O*kgtoGg,"NO")</f>
        <v>6.2257171325729504E-3</v>
      </c>
      <c r="L132" s="22">
        <f>IFERROR(('Activity data'!L96*(1/Constants!$H$135))*ttokg*FSOMEF*NtoN2O*kgtoGg,"NO")</f>
        <v>6.2257171325729504E-3</v>
      </c>
      <c r="M132" s="22">
        <f>IFERROR(('Activity data'!M96*(1/Constants!$H$135))*ttokg*FSOMEF*NtoN2O*kgtoGg,"NO")</f>
        <v>6.2257171325729504E-3</v>
      </c>
      <c r="N132" s="22">
        <f>IFERROR(('Activity data'!N96*(1/Constants!$H$135))*ttokg*FSOMEF*NtoN2O*kgtoGg,"NO")</f>
        <v>6.2257171325729504E-3</v>
      </c>
      <c r="O132" s="22">
        <f>IFERROR(('Activity data'!O96*(1/Constants!$H$135))*ttokg*FSOMEF*NtoN2O*kgtoGg,"NO")</f>
        <v>6.2257171325729504E-3</v>
      </c>
      <c r="P132" s="22">
        <f>IFERROR(('Activity data'!P96*(1/Constants!$H$135))*ttokg*FSOMEF*NtoN2O*kgtoGg,"NO")</f>
        <v>6.2257171325729504E-3</v>
      </c>
      <c r="Q132" s="22">
        <f>IFERROR(('Activity data'!Q96*(1/Constants!$H$135))*ttokg*FSOMEF*NtoN2O*kgtoGg,"NO")</f>
        <v>6.2257171325729504E-3</v>
      </c>
      <c r="R132" s="22">
        <f>IFERROR(('Activity data'!R96*(1/Constants!$H$135))*ttokg*FSOMEF*NtoN2O*kgtoGg,"NO")</f>
        <v>6.2257171325729504E-3</v>
      </c>
      <c r="S132" s="22">
        <f>IFERROR(('Activity data'!S96*(1/Constants!$H$135))*ttokg*FSOMEF*NtoN2O*kgtoGg,"NO")</f>
        <v>6.2257171325729504E-3</v>
      </c>
      <c r="T132" s="22">
        <f>IFERROR(('Activity data'!T96*(1/Constants!$H$135))*ttokg*FSOMEF*NtoN2O*kgtoGg,"NO")</f>
        <v>6.2257171325729504E-3</v>
      </c>
      <c r="U132" s="22">
        <f>IFERROR(('Activity data'!U96*(1/Constants!$H$135))*ttokg*FSOMEF*NtoN2O*kgtoGg,"NO")</f>
        <v>6.2257171325729504E-3</v>
      </c>
      <c r="V132" s="22">
        <f>IFERROR(('Activity data'!V96*(1/Constants!$H$135))*ttokg*FSOMEF*NtoN2O*kgtoGg,"NO")</f>
        <v>6.2257171325729504E-3</v>
      </c>
      <c r="W132" s="22">
        <f>IFERROR(('Activity data'!W96*(1/Constants!$H$135))*ttokg*FSOMEF*NtoN2O*kgtoGg,"NO")</f>
        <v>6.2257171325729504E-3</v>
      </c>
      <c r="X132" s="22">
        <f>IFERROR(('Activity data'!X96*(1/Constants!$H$135))*ttokg*FSOMEF*NtoN2O*kgtoGg,"NO")</f>
        <v>6.2257171325729504E-3</v>
      </c>
      <c r="Y132" s="22">
        <f>IFERROR(('Activity data'!Y96*(1/Constants!$H$135))*ttokg*FSOMEF*NtoN2O*kgtoGg,"NO")</f>
        <v>6.2257171325729504E-3</v>
      </c>
      <c r="Z132" s="22">
        <f>IFERROR(('Activity data'!Z96*(1/Constants!$H$135))*ttokg*FSOMEF*NtoN2O*kgtoGg,"NO")</f>
        <v>6.2257171325729504E-3</v>
      </c>
      <c r="AA132" s="22">
        <f>IFERROR(('Activity data'!AA96*(1/Constants!$H$135))*ttokg*FSOMEF*NtoN2O*kgtoGg,"NO")</f>
        <v>6.2257171325729504E-3</v>
      </c>
      <c r="AB132" s="22">
        <f>IFERROR(('Activity data'!AB96*(1/Constants!$H$135))*ttokg*FSOMEF*NtoN2O*kgtoGg,"NO")</f>
        <v>6.2257171325729504E-3</v>
      </c>
      <c r="AC132" s="22">
        <f>IFERROR(('Activity data'!AC96*(1/Constants!$H$135))*ttokg*FSOMEF*NtoN2O*kgtoGg,"NO")</f>
        <v>6.2257171325729504E-3</v>
      </c>
      <c r="AD132" s="22">
        <f>IFERROR(('Activity data'!AD96*(1/Constants!$H$135))*ttokg*FSOMEF*NtoN2O*kgtoGg,"NO")</f>
        <v>6.110857899094551E-2</v>
      </c>
      <c r="AE132" s="22">
        <f>IFERROR(('Activity data'!AE96*(1/Constants!$H$135))*ttokg*FSOMEF*NtoN2O*kgtoGg,"NO")</f>
        <v>6.110857899094551E-2</v>
      </c>
      <c r="AF132" s="22">
        <f>IFERROR(('Activity data'!AF96*(1/Constants!$H$135))*ttokg*FSOMEF*NtoN2O*kgtoGg,"NO")</f>
        <v>6.110857899094551E-2</v>
      </c>
      <c r="AG132" s="22">
        <f>IFERROR(('Activity data'!AG96*(1/Constants!$H$135))*ttokg*FSOMEF*NtoN2O*kgtoGg,"NO")</f>
        <v>6.110857899094551E-2</v>
      </c>
      <c r="AH132" s="22">
        <f>IFERROR(('Activity data'!AH96*(1/Constants!$H$135))*ttokg*FSOMEF*NtoN2O*kgtoGg,"NO")</f>
        <v>6.110857899094551E-2</v>
      </c>
      <c r="AI132" s="22">
        <f>IFERROR(('Activity data'!AI96*(1/Constants!$H$135))*ttokg*FSOMEF*NtoN2O*kgtoGg,"NO")</f>
        <v>6.110857899094551E-2</v>
      </c>
      <c r="AJ132" s="22">
        <f>IFERROR(('Activity data'!AJ96*(1/Constants!$H$135))*ttokg*FSOMEF*NtoN2O*kgtoGg,"NO")</f>
        <v>6.110857899094551E-2</v>
      </c>
      <c r="AK132" s="22">
        <f>IFERROR(('Activity data'!AK96*(1/Constants!$H$135))*ttokg*FSOMEF*NtoN2O*kgtoGg,"NO")</f>
        <v>6.110857899094551E-2</v>
      </c>
      <c r="AL132" s="22">
        <f>IFERROR(('Activity data'!AL96*(1/Constants!$H$135))*ttokg*FSOMEF*NtoN2O*kgtoGg,"NO")</f>
        <v>6.110857899094551E-2</v>
      </c>
      <c r="AM132" s="22">
        <f>IFERROR(('Activity data'!AM96*(1/Constants!$H$135))*ttokg*FSOMEF*NtoN2O*kgtoGg,"NO")</f>
        <v>6.110857899094551E-2</v>
      </c>
      <c r="AN132" s="22">
        <f>IFERROR(('Activity data'!AN96*(1/Constants!$H$135))*ttokg*FSOMEF*NtoN2O*kgtoGg,"NO")</f>
        <v>6.110857899094551E-2</v>
      </c>
      <c r="AO132" s="22">
        <f>IFERROR(('Activity data'!AO96*(1/Constants!$H$135))*ttokg*FSOMEF*NtoN2O*kgtoGg,"NO")</f>
        <v>6.110857899094551E-2</v>
      </c>
      <c r="AP132" s="22">
        <f>IFERROR(('Activity data'!AP96*(1/Constants!$H$135))*ttokg*FSOMEF*NtoN2O*kgtoGg,"NO")</f>
        <v>6.110857899094551E-2</v>
      </c>
      <c r="AQ132" s="22">
        <f>IFERROR(('Activity data'!AQ96*(1/Constants!$H$135))*ttokg*FSOMEF*NtoN2O*kgtoGg,"NO")</f>
        <v>6.110857899094551E-2</v>
      </c>
      <c r="AR132" s="22">
        <f>IFERROR(('Activity data'!AR96*(1/Constants!$H$135))*ttokg*FSOMEF*NtoN2O*kgtoGg,"NO")</f>
        <v>6.110857899094551E-2</v>
      </c>
      <c r="AS132" s="22">
        <f>IFERROR(('Activity data'!AS96*(1/Constants!$H$135))*ttokg*FSOMEF*NtoN2O*kgtoGg,"NO")</f>
        <v>6.110857899094551E-2</v>
      </c>
      <c r="AT132" s="22">
        <f>IFERROR(('Activity data'!AT96*(1/Constants!$H$135))*ttokg*FSOMEF*NtoN2O*kgtoGg,"NO")</f>
        <v>6.110857899094551E-2</v>
      </c>
      <c r="AU132" s="22">
        <f>IFERROR(('Activity data'!AU96*(1/Constants!$H$135))*ttokg*FSOMEF*NtoN2O*kgtoGg,"NO")</f>
        <v>6.110857899094551E-2</v>
      </c>
      <c r="AV132" s="22">
        <f>IFERROR(('Activity data'!AV96*(1/Constants!$H$135))*ttokg*FSOMEF*NtoN2O*kgtoGg,"NO")</f>
        <v>6.110857899094551E-2</v>
      </c>
      <c r="AW132" s="22">
        <f>IFERROR(('Activity data'!AW96*(1/Constants!$H$135))*ttokg*FSOMEF*NtoN2O*kgtoGg,"NO")</f>
        <v>6.110857899094551E-2</v>
      </c>
      <c r="AX132" s="22">
        <f>IFERROR(('Activity data'!AX96*(1/Constants!$H$135))*ttokg*FSOMEF*NtoN2O*kgtoGg,"NO")</f>
        <v>6.110857899094551E-2</v>
      </c>
      <c r="AY132" s="22">
        <f>IFERROR(('Activity data'!AY96*(1/Constants!$H$135))*ttokg*FSOMEF*NtoN2O*kgtoGg,"NO")</f>
        <v>6.110857899094551E-2</v>
      </c>
      <c r="AZ132" s="22">
        <f>IFERROR(('Activity data'!AZ96*(1/Constants!$H$135))*ttokg*FSOMEF*NtoN2O*kgtoGg,"NO")</f>
        <v>6.110857899094551E-2</v>
      </c>
      <c r="BA132" s="22">
        <f>IFERROR(('Activity data'!BA96*(1/Constants!$H$135))*ttokg*FSOMEF*NtoN2O*kgtoGg,"NO")</f>
        <v>6.110857899094551E-2</v>
      </c>
      <c r="BB132" s="22">
        <f>IFERROR(('Activity data'!BB96*(1/Constants!$H$135))*ttokg*FSOMEF*NtoN2O*kgtoGg,"NO")</f>
        <v>6.110857899094551E-2</v>
      </c>
      <c r="BC132" s="22">
        <f>IFERROR(('Activity data'!BC96*(1/Constants!$H$135))*ttokg*FSOMEF*NtoN2O*kgtoGg,"NO")</f>
        <v>6.110857899094551E-2</v>
      </c>
      <c r="BD132" s="22">
        <f>IFERROR(('Activity data'!BD96*(1/Constants!$H$135))*ttokg*FSOMEF*NtoN2O*kgtoGg,"NO")</f>
        <v>6.110857899094551E-2</v>
      </c>
      <c r="BE132" s="22">
        <f>IFERROR(('Activity data'!BE96*(1/Constants!$H$135))*ttokg*FSOMEF*NtoN2O*kgtoGg,"NO")</f>
        <v>6.110857899094551E-2</v>
      </c>
      <c r="BF132" s="22">
        <f>IFERROR(('Activity data'!BF96*(1/Constants!$H$135))*ttokg*FSOMEF*NtoN2O*kgtoGg,"NO")</f>
        <v>6.110857899094551E-2</v>
      </c>
      <c r="BG132" s="22">
        <f>IFERROR(('Activity data'!BG96*(1/Constants!$H$135))*ttokg*FSOMEF*NtoN2O*kgtoGg,"NO")</f>
        <v>6.110857899094551E-2</v>
      </c>
      <c r="BH132" s="22">
        <f>IFERROR(('Activity data'!BH96*(1/Constants!$H$135))*ttokg*FSOMEF*NtoN2O*kgtoGg,"NO")</f>
        <v>6.110857899094551E-2</v>
      </c>
      <c r="BI132" s="22">
        <f>IFERROR(('Activity data'!BI96*(1/Constants!$H$135))*ttokg*FSOMEF*NtoN2O*kgtoGg,"NO")</f>
        <v>6.110857899094551E-2</v>
      </c>
      <c r="BJ132" s="22">
        <f>IFERROR(('Activity data'!BJ96*(1/Constants!$H$135))*ttokg*FSOMEF*NtoN2O*kgtoGg,"NO")</f>
        <v>6.110857899094551E-2</v>
      </c>
      <c r="BK132" s="22">
        <f>IFERROR(('Activity data'!BK96*(1/Constants!$H$135))*ttokg*FSOMEF*NtoN2O*kgtoGg,"NO")</f>
        <v>6.110857899094551E-2</v>
      </c>
      <c r="BL132" s="22">
        <f>IFERROR(('Activity data'!BL96*(1/Constants!$H$135))*ttokg*FSOMEF*NtoN2O*kgtoGg,"NO")</f>
        <v>6.110857899094551E-2</v>
      </c>
      <c r="BM132" s="22">
        <f>IFERROR(('Activity data'!BM96*(1/Constants!$H$135))*ttokg*FSOMEF*NtoN2O*kgtoGg,"NO")</f>
        <v>6.110857899094551E-2</v>
      </c>
      <c r="BN132" s="22">
        <f>IFERROR(('Activity data'!BN96*(1/Constants!$H$135))*ttokg*FSOMEF*NtoN2O*kgtoGg,"NO")</f>
        <v>6.110857899094551E-2</v>
      </c>
      <c r="BO132" s="22">
        <f>IFERROR(('Activity data'!BO96*(1/Constants!$H$135))*ttokg*FSOMEF*NtoN2O*kgtoGg,"NO")</f>
        <v>6.110857899094551E-2</v>
      </c>
      <c r="BP132" s="22">
        <f>IFERROR(('Activity data'!BP96*(1/Constants!$H$135))*ttokg*FSOMEF*NtoN2O*kgtoGg,"NO")</f>
        <v>6.110857899094551E-2</v>
      </c>
    </row>
    <row r="133" spans="1:68" x14ac:dyDescent="0.25">
      <c r="A133" t="str">
        <f t="shared" si="39"/>
        <v>3C Aggregated and non-CO2 emissions on land</v>
      </c>
      <c r="B133" t="str">
        <f t="shared" si="31"/>
        <v>3C4 Direct N2O from managed soils (N2O)</v>
      </c>
      <c r="C133" t="s">
        <v>60</v>
      </c>
      <c r="D133" t="str">
        <f>" - "&amp;'Activity data'!D97</f>
        <v xml:space="preserve"> - Other land remaining other land</v>
      </c>
      <c r="E133" t="str">
        <f t="shared" si="41"/>
        <v>FSOM - Other land remaining other land</v>
      </c>
      <c r="G133" t="str">
        <f t="shared" si="37"/>
        <v>Gg N2O</v>
      </c>
      <c r="H133" s="22" t="str">
        <f>IFERROR(('Activity data'!H97*(1/Constants!$H$135))*ttokg*FSOMEF*NtoN2O*kgtoGg,"NO")</f>
        <v>NO</v>
      </c>
      <c r="I133" s="22" t="str">
        <f>IFERROR(('Activity data'!I97*(1/Constants!$H$135))*ttokg*FSOMEF*NtoN2O*kgtoGg,"NO")</f>
        <v>NO</v>
      </c>
      <c r="J133" s="22" t="str">
        <f>IFERROR(('Activity data'!J97*(1/Constants!$H$135))*ttokg*FSOMEF*NtoN2O*kgtoGg,"NO")</f>
        <v>NO</v>
      </c>
      <c r="K133" s="22" t="str">
        <f>IFERROR(('Activity data'!K97*(1/Constants!$H$135))*ttokg*FSOMEF*NtoN2O*kgtoGg,"NO")</f>
        <v>NO</v>
      </c>
      <c r="L133" s="22" t="str">
        <f>IFERROR(('Activity data'!L97*(1/Constants!$H$135))*ttokg*FSOMEF*NtoN2O*kgtoGg,"NO")</f>
        <v>NO</v>
      </c>
      <c r="M133" s="22" t="str">
        <f>IFERROR(('Activity data'!M97*(1/Constants!$H$135))*ttokg*FSOMEF*NtoN2O*kgtoGg,"NO")</f>
        <v>NO</v>
      </c>
      <c r="N133" s="22" t="str">
        <f>IFERROR(('Activity data'!N97*(1/Constants!$H$135))*ttokg*FSOMEF*NtoN2O*kgtoGg,"NO")</f>
        <v>NO</v>
      </c>
      <c r="O133" s="22" t="str">
        <f>IFERROR(('Activity data'!O97*(1/Constants!$H$135))*ttokg*FSOMEF*NtoN2O*kgtoGg,"NO")</f>
        <v>NO</v>
      </c>
      <c r="P133" s="22" t="str">
        <f>IFERROR(('Activity data'!P97*(1/Constants!$H$135))*ttokg*FSOMEF*NtoN2O*kgtoGg,"NO")</f>
        <v>NO</v>
      </c>
      <c r="Q133" s="22" t="str">
        <f>IFERROR(('Activity data'!Q97*(1/Constants!$H$135))*ttokg*FSOMEF*NtoN2O*kgtoGg,"NO")</f>
        <v>NO</v>
      </c>
      <c r="R133" s="22" t="str">
        <f>IFERROR(('Activity data'!R97*(1/Constants!$H$135))*ttokg*FSOMEF*NtoN2O*kgtoGg,"NO")</f>
        <v>NO</v>
      </c>
      <c r="S133" s="22" t="str">
        <f>IFERROR(('Activity data'!S97*(1/Constants!$H$135))*ttokg*FSOMEF*NtoN2O*kgtoGg,"NO")</f>
        <v>NO</v>
      </c>
      <c r="T133" s="22" t="str">
        <f>IFERROR(('Activity data'!T97*(1/Constants!$H$135))*ttokg*FSOMEF*NtoN2O*kgtoGg,"NO")</f>
        <v>NO</v>
      </c>
      <c r="U133" s="22" t="str">
        <f>IFERROR(('Activity data'!U97*(1/Constants!$H$135))*ttokg*FSOMEF*NtoN2O*kgtoGg,"NO")</f>
        <v>NO</v>
      </c>
      <c r="V133" s="22" t="str">
        <f>IFERROR(('Activity data'!V97*(1/Constants!$H$135))*ttokg*FSOMEF*NtoN2O*kgtoGg,"NO")</f>
        <v>NO</v>
      </c>
      <c r="W133" s="22" t="str">
        <f>IFERROR(('Activity data'!W97*(1/Constants!$H$135))*ttokg*FSOMEF*NtoN2O*kgtoGg,"NO")</f>
        <v>NO</v>
      </c>
      <c r="X133" s="22" t="str">
        <f>IFERROR(('Activity data'!X97*(1/Constants!$H$135))*ttokg*FSOMEF*NtoN2O*kgtoGg,"NO")</f>
        <v>NO</v>
      </c>
      <c r="Y133" s="22" t="str">
        <f>IFERROR(('Activity data'!Y97*(1/Constants!$H$135))*ttokg*FSOMEF*NtoN2O*kgtoGg,"NO")</f>
        <v>NO</v>
      </c>
      <c r="Z133" s="22" t="str">
        <f>IFERROR(('Activity data'!Z97*(1/Constants!$H$135))*ttokg*FSOMEF*NtoN2O*kgtoGg,"NO")</f>
        <v>NO</v>
      </c>
      <c r="AA133" s="22" t="str">
        <f>IFERROR(('Activity data'!AA97*(1/Constants!$H$135))*ttokg*FSOMEF*NtoN2O*kgtoGg,"NO")</f>
        <v>NO</v>
      </c>
      <c r="AB133" s="22" t="str">
        <f>IFERROR(('Activity data'!AB97*(1/Constants!$H$135))*ttokg*FSOMEF*NtoN2O*kgtoGg,"NO")</f>
        <v>NO</v>
      </c>
      <c r="AC133" s="22" t="str">
        <f>IFERROR(('Activity data'!AC97*(1/Constants!$H$135))*ttokg*FSOMEF*NtoN2O*kgtoGg,"NO")</f>
        <v>NO</v>
      </c>
      <c r="AD133" s="22" t="str">
        <f>IFERROR(('Activity data'!AD97*(1/Constants!$H$135))*ttokg*FSOMEF*NtoN2O*kgtoGg,"NO")</f>
        <v>NO</v>
      </c>
      <c r="AE133" s="22" t="str">
        <f>IFERROR(('Activity data'!AE97*(1/Constants!$H$135))*ttokg*FSOMEF*NtoN2O*kgtoGg,"NO")</f>
        <v>NO</v>
      </c>
      <c r="AF133" s="22" t="str">
        <f>IFERROR(('Activity data'!AF97*(1/Constants!$H$135))*ttokg*FSOMEF*NtoN2O*kgtoGg,"NO")</f>
        <v>NO</v>
      </c>
      <c r="AG133" s="22" t="str">
        <f>IFERROR(('Activity data'!AG97*(1/Constants!$H$135))*ttokg*FSOMEF*NtoN2O*kgtoGg,"NO")</f>
        <v>NO</v>
      </c>
      <c r="AH133" s="22" t="str">
        <f>IFERROR(('Activity data'!AH97*(1/Constants!$H$135))*ttokg*FSOMEF*NtoN2O*kgtoGg,"NO")</f>
        <v>NO</v>
      </c>
      <c r="AI133" s="22" t="str">
        <f>IFERROR(('Activity data'!AI97*(1/Constants!$H$135))*ttokg*FSOMEF*NtoN2O*kgtoGg,"NO")</f>
        <v>NO</v>
      </c>
      <c r="AJ133" s="22" t="str">
        <f>IFERROR(('Activity data'!AJ97*(1/Constants!$H$135))*ttokg*FSOMEF*NtoN2O*kgtoGg,"NO")</f>
        <v>NO</v>
      </c>
      <c r="AK133" s="22" t="str">
        <f>IFERROR(('Activity data'!AK97*(1/Constants!$H$135))*ttokg*FSOMEF*NtoN2O*kgtoGg,"NO")</f>
        <v>NO</v>
      </c>
      <c r="AL133" s="22" t="str">
        <f>IFERROR(('Activity data'!AL97*(1/Constants!$H$135))*ttokg*FSOMEF*NtoN2O*kgtoGg,"NO")</f>
        <v>NO</v>
      </c>
      <c r="AM133" s="22" t="str">
        <f>IFERROR(('Activity data'!AM97*(1/Constants!$H$135))*ttokg*FSOMEF*NtoN2O*kgtoGg,"NO")</f>
        <v>NO</v>
      </c>
      <c r="AN133" s="22" t="str">
        <f>IFERROR(('Activity data'!AN97*(1/Constants!$H$135))*ttokg*FSOMEF*NtoN2O*kgtoGg,"NO")</f>
        <v>NO</v>
      </c>
      <c r="AO133" s="22" t="str">
        <f>IFERROR(('Activity data'!AO97*(1/Constants!$H$135))*ttokg*FSOMEF*NtoN2O*kgtoGg,"NO")</f>
        <v>NO</v>
      </c>
      <c r="AP133" s="22" t="str">
        <f>IFERROR(('Activity data'!AP97*(1/Constants!$H$135))*ttokg*FSOMEF*NtoN2O*kgtoGg,"NO")</f>
        <v>NO</v>
      </c>
      <c r="AQ133" s="22" t="str">
        <f>IFERROR(('Activity data'!AQ97*(1/Constants!$H$135))*ttokg*FSOMEF*NtoN2O*kgtoGg,"NO")</f>
        <v>NO</v>
      </c>
      <c r="AR133" s="22" t="str">
        <f>IFERROR(('Activity data'!AR97*(1/Constants!$H$135))*ttokg*FSOMEF*NtoN2O*kgtoGg,"NO")</f>
        <v>NO</v>
      </c>
      <c r="AS133" s="22" t="str">
        <f>IFERROR(('Activity data'!AS97*(1/Constants!$H$135))*ttokg*FSOMEF*NtoN2O*kgtoGg,"NO")</f>
        <v>NO</v>
      </c>
      <c r="AT133" s="22" t="str">
        <f>IFERROR(('Activity data'!AT97*(1/Constants!$H$135))*ttokg*FSOMEF*NtoN2O*kgtoGg,"NO")</f>
        <v>NO</v>
      </c>
      <c r="AU133" s="22" t="str">
        <f>IFERROR(('Activity data'!AU97*(1/Constants!$H$135))*ttokg*FSOMEF*NtoN2O*kgtoGg,"NO")</f>
        <v>NO</v>
      </c>
      <c r="AV133" s="22" t="str">
        <f>IFERROR(('Activity data'!AV97*(1/Constants!$H$135))*ttokg*FSOMEF*NtoN2O*kgtoGg,"NO")</f>
        <v>NO</v>
      </c>
      <c r="AW133" s="22" t="str">
        <f>IFERROR(('Activity data'!AW97*(1/Constants!$H$135))*ttokg*FSOMEF*NtoN2O*kgtoGg,"NO")</f>
        <v>NO</v>
      </c>
      <c r="AX133" s="22" t="str">
        <f>IFERROR(('Activity data'!AX97*(1/Constants!$H$135))*ttokg*FSOMEF*NtoN2O*kgtoGg,"NO")</f>
        <v>NO</v>
      </c>
      <c r="AY133" s="22" t="str">
        <f>IFERROR(('Activity data'!AY97*(1/Constants!$H$135))*ttokg*FSOMEF*NtoN2O*kgtoGg,"NO")</f>
        <v>NO</v>
      </c>
      <c r="AZ133" s="22" t="str">
        <f>IFERROR(('Activity data'!AZ97*(1/Constants!$H$135))*ttokg*FSOMEF*NtoN2O*kgtoGg,"NO")</f>
        <v>NO</v>
      </c>
      <c r="BA133" s="22" t="str">
        <f>IFERROR(('Activity data'!BA97*(1/Constants!$H$135))*ttokg*FSOMEF*NtoN2O*kgtoGg,"NO")</f>
        <v>NO</v>
      </c>
      <c r="BB133" s="22" t="str">
        <f>IFERROR(('Activity data'!BB97*(1/Constants!$H$135))*ttokg*FSOMEF*NtoN2O*kgtoGg,"NO")</f>
        <v>NO</v>
      </c>
      <c r="BC133" s="22" t="str">
        <f>IFERROR(('Activity data'!BC97*(1/Constants!$H$135))*ttokg*FSOMEF*NtoN2O*kgtoGg,"NO")</f>
        <v>NO</v>
      </c>
      <c r="BD133" s="22" t="str">
        <f>IFERROR(('Activity data'!BD97*(1/Constants!$H$135))*ttokg*FSOMEF*NtoN2O*kgtoGg,"NO")</f>
        <v>NO</v>
      </c>
      <c r="BE133" s="22" t="str">
        <f>IFERROR(('Activity data'!BE97*(1/Constants!$H$135))*ttokg*FSOMEF*NtoN2O*kgtoGg,"NO")</f>
        <v>NO</v>
      </c>
      <c r="BF133" s="22" t="str">
        <f>IFERROR(('Activity data'!BF97*(1/Constants!$H$135))*ttokg*FSOMEF*NtoN2O*kgtoGg,"NO")</f>
        <v>NO</v>
      </c>
      <c r="BG133" s="22" t="str">
        <f>IFERROR(('Activity data'!BG97*(1/Constants!$H$135))*ttokg*FSOMEF*NtoN2O*kgtoGg,"NO")</f>
        <v>NO</v>
      </c>
      <c r="BH133" s="22" t="str">
        <f>IFERROR(('Activity data'!BH97*(1/Constants!$H$135))*ttokg*FSOMEF*NtoN2O*kgtoGg,"NO")</f>
        <v>NO</v>
      </c>
      <c r="BI133" s="22" t="str">
        <f>IFERROR(('Activity data'!BI97*(1/Constants!$H$135))*ttokg*FSOMEF*NtoN2O*kgtoGg,"NO")</f>
        <v>NO</v>
      </c>
      <c r="BJ133" s="22" t="str">
        <f>IFERROR(('Activity data'!BJ97*(1/Constants!$H$135))*ttokg*FSOMEF*NtoN2O*kgtoGg,"NO")</f>
        <v>NO</v>
      </c>
      <c r="BK133" s="22" t="str">
        <f>IFERROR(('Activity data'!BK97*(1/Constants!$H$135))*ttokg*FSOMEF*NtoN2O*kgtoGg,"NO")</f>
        <v>NO</v>
      </c>
      <c r="BL133" s="22" t="str">
        <f>IFERROR(('Activity data'!BL97*(1/Constants!$H$135))*ttokg*FSOMEF*NtoN2O*kgtoGg,"NO")</f>
        <v>NO</v>
      </c>
      <c r="BM133" s="22" t="str">
        <f>IFERROR(('Activity data'!BM97*(1/Constants!$H$135))*ttokg*FSOMEF*NtoN2O*kgtoGg,"NO")</f>
        <v>NO</v>
      </c>
      <c r="BN133" s="22" t="str">
        <f>IFERROR(('Activity data'!BN97*(1/Constants!$H$135))*ttokg*FSOMEF*NtoN2O*kgtoGg,"NO")</f>
        <v>NO</v>
      </c>
      <c r="BO133" s="22" t="str">
        <f>IFERROR(('Activity data'!BO97*(1/Constants!$H$135))*ttokg*FSOMEF*NtoN2O*kgtoGg,"NO")</f>
        <v>NO</v>
      </c>
      <c r="BP133" s="22" t="str">
        <f>IFERROR(('Activity data'!BP97*(1/Constants!$H$135))*ttokg*FSOMEF*NtoN2O*kgtoGg,"NO")</f>
        <v>NO</v>
      </c>
    </row>
    <row r="134" spans="1:68" x14ac:dyDescent="0.25">
      <c r="A134" t="str">
        <f t="shared" si="39"/>
        <v>3C Aggregated and non-CO2 emissions on land</v>
      </c>
      <c r="B134" t="str">
        <f t="shared" si="31"/>
        <v>3C4 Direct N2O from managed soils (N2O)</v>
      </c>
      <c r="C134" t="s">
        <v>60</v>
      </c>
      <c r="D134" t="str">
        <f>" - "&amp;'Activity data'!D98</f>
        <v xml:space="preserve"> - Land converted to other lands</v>
      </c>
      <c r="E134" t="str">
        <f t="shared" si="41"/>
        <v>FSOM - Land converted to other lands</v>
      </c>
      <c r="G134" t="str">
        <f t="shared" si="37"/>
        <v>Gg N2O</v>
      </c>
      <c r="H134" s="22">
        <f>IFERROR(('Activity data'!H98*(1/Constants!$H$135))*ttokg*FSOMEF*NtoN2O*kgtoGg,"NO")</f>
        <v>0</v>
      </c>
      <c r="I134" s="22">
        <f>IFERROR(('Activity data'!I98*(1/Constants!$H$135))*ttokg*FSOMEF*NtoN2O*kgtoGg,"NO")</f>
        <v>0.28277997448453884</v>
      </c>
      <c r="J134" s="22">
        <f>IFERROR(('Activity data'!J98*(1/Constants!$H$135))*ttokg*FSOMEF*NtoN2O*kgtoGg,"NO")</f>
        <v>0.28277997448453884</v>
      </c>
      <c r="K134" s="22">
        <f>IFERROR(('Activity data'!K98*(1/Constants!$H$135))*ttokg*FSOMEF*NtoN2O*kgtoGg,"NO")</f>
        <v>0.28277997448453884</v>
      </c>
      <c r="L134" s="22">
        <f>IFERROR(('Activity data'!L98*(1/Constants!$H$135))*ttokg*FSOMEF*NtoN2O*kgtoGg,"NO")</f>
        <v>0.28277997448453884</v>
      </c>
      <c r="M134" s="22">
        <f>IFERROR(('Activity data'!M98*(1/Constants!$H$135))*ttokg*FSOMEF*NtoN2O*kgtoGg,"NO")</f>
        <v>0.28277997448453884</v>
      </c>
      <c r="N134" s="22">
        <f>IFERROR(('Activity data'!N98*(1/Constants!$H$135))*ttokg*FSOMEF*NtoN2O*kgtoGg,"NO")</f>
        <v>0.28277997448453884</v>
      </c>
      <c r="O134" s="22">
        <f>IFERROR(('Activity data'!O98*(1/Constants!$H$135))*ttokg*FSOMEF*NtoN2O*kgtoGg,"NO")</f>
        <v>0.28277997448453884</v>
      </c>
      <c r="P134" s="22">
        <f>IFERROR(('Activity data'!P98*(1/Constants!$H$135))*ttokg*FSOMEF*NtoN2O*kgtoGg,"NO")</f>
        <v>0.28277997448453884</v>
      </c>
      <c r="Q134" s="22">
        <f>IFERROR(('Activity data'!Q98*(1/Constants!$H$135))*ttokg*FSOMEF*NtoN2O*kgtoGg,"NO")</f>
        <v>0.28277997448453884</v>
      </c>
      <c r="R134" s="22">
        <f>IFERROR(('Activity data'!R98*(1/Constants!$H$135))*ttokg*FSOMEF*NtoN2O*kgtoGg,"NO")</f>
        <v>0.28277997448453884</v>
      </c>
      <c r="S134" s="22">
        <f>IFERROR(('Activity data'!S98*(1/Constants!$H$135))*ttokg*FSOMEF*NtoN2O*kgtoGg,"NO")</f>
        <v>0.28277997448453884</v>
      </c>
      <c r="T134" s="22">
        <f>IFERROR(('Activity data'!T98*(1/Constants!$H$135))*ttokg*FSOMEF*NtoN2O*kgtoGg,"NO")</f>
        <v>0.28277997448453884</v>
      </c>
      <c r="U134" s="22">
        <f>IFERROR(('Activity data'!U98*(1/Constants!$H$135))*ttokg*FSOMEF*NtoN2O*kgtoGg,"NO")</f>
        <v>0.28277997448453884</v>
      </c>
      <c r="V134" s="22">
        <f>IFERROR(('Activity data'!V98*(1/Constants!$H$135))*ttokg*FSOMEF*NtoN2O*kgtoGg,"NO")</f>
        <v>0.28277997448453884</v>
      </c>
      <c r="W134" s="22">
        <f>IFERROR(('Activity data'!W98*(1/Constants!$H$135))*ttokg*FSOMEF*NtoN2O*kgtoGg,"NO")</f>
        <v>0.28277997448453884</v>
      </c>
      <c r="X134" s="22">
        <f>IFERROR(('Activity data'!X98*(1/Constants!$H$135))*ttokg*FSOMEF*NtoN2O*kgtoGg,"NO")</f>
        <v>0.28277997448453884</v>
      </c>
      <c r="Y134" s="22">
        <f>IFERROR(('Activity data'!Y98*(1/Constants!$H$135))*ttokg*FSOMEF*NtoN2O*kgtoGg,"NO")</f>
        <v>0.28277997448453884</v>
      </c>
      <c r="Z134" s="22">
        <f>IFERROR(('Activity data'!Z98*(1/Constants!$H$135))*ttokg*FSOMEF*NtoN2O*kgtoGg,"NO")</f>
        <v>0.28277997448453884</v>
      </c>
      <c r="AA134" s="22">
        <f>IFERROR(('Activity data'!AA98*(1/Constants!$H$135))*ttokg*FSOMEF*NtoN2O*kgtoGg,"NO")</f>
        <v>0.28277997448453884</v>
      </c>
      <c r="AB134" s="22">
        <f>IFERROR(('Activity data'!AB98*(1/Constants!$H$135))*ttokg*FSOMEF*NtoN2O*kgtoGg,"NO")</f>
        <v>0.28277997448453884</v>
      </c>
      <c r="AC134" s="22">
        <f>IFERROR(('Activity data'!AC98*(1/Constants!$H$135))*ttokg*FSOMEF*NtoN2O*kgtoGg,"NO")</f>
        <v>0.28277997448453884</v>
      </c>
      <c r="AD134" s="22">
        <f>IFERROR(('Activity data'!AD98*(1/Constants!$H$135))*ttokg*FSOMEF*NtoN2O*kgtoGg,"NO")</f>
        <v>3.1961717215001131</v>
      </c>
      <c r="AE134" s="22">
        <f>IFERROR(('Activity data'!AE98*(1/Constants!$H$135))*ttokg*FSOMEF*NtoN2O*kgtoGg,"NO")</f>
        <v>3.1961717215001131</v>
      </c>
      <c r="AF134" s="22">
        <f>IFERROR(('Activity data'!AF98*(1/Constants!$H$135))*ttokg*FSOMEF*NtoN2O*kgtoGg,"NO")</f>
        <v>3.1961717215001131</v>
      </c>
      <c r="AG134" s="22">
        <f>IFERROR(('Activity data'!AG98*(1/Constants!$H$135))*ttokg*FSOMEF*NtoN2O*kgtoGg,"NO")</f>
        <v>3.1961717215001131</v>
      </c>
      <c r="AH134" s="22">
        <f>IFERROR(('Activity data'!AH98*(1/Constants!$H$135))*ttokg*FSOMEF*NtoN2O*kgtoGg,"NO")</f>
        <v>3.1961717215001131</v>
      </c>
      <c r="AI134" s="22">
        <f>IFERROR(('Activity data'!AI98*(1/Constants!$H$135))*ttokg*FSOMEF*NtoN2O*kgtoGg,"NO")</f>
        <v>3.1961717215001131</v>
      </c>
      <c r="AJ134" s="22">
        <f>IFERROR(('Activity data'!AJ98*(1/Constants!$H$135))*ttokg*FSOMEF*NtoN2O*kgtoGg,"NO")</f>
        <v>3.1961717215001131</v>
      </c>
      <c r="AK134" s="22">
        <f>IFERROR(('Activity data'!AK98*(1/Constants!$H$135))*ttokg*FSOMEF*NtoN2O*kgtoGg,"NO")</f>
        <v>3.1961717215001131</v>
      </c>
      <c r="AL134" s="22">
        <f>IFERROR(('Activity data'!AL98*(1/Constants!$H$135))*ttokg*FSOMEF*NtoN2O*kgtoGg,"NO")</f>
        <v>3.1961717215001131</v>
      </c>
      <c r="AM134" s="22">
        <f>IFERROR(('Activity data'!AM98*(1/Constants!$H$135))*ttokg*FSOMEF*NtoN2O*kgtoGg,"NO")</f>
        <v>3.1961717215001131</v>
      </c>
      <c r="AN134" s="22">
        <f>IFERROR(('Activity data'!AN98*(1/Constants!$H$135))*ttokg*FSOMEF*NtoN2O*kgtoGg,"NO")</f>
        <v>3.1961717215001131</v>
      </c>
      <c r="AO134" s="22">
        <f>IFERROR(('Activity data'!AO98*(1/Constants!$H$135))*ttokg*FSOMEF*NtoN2O*kgtoGg,"NO")</f>
        <v>3.1961717215001131</v>
      </c>
      <c r="AP134" s="22">
        <f>IFERROR(('Activity data'!AP98*(1/Constants!$H$135))*ttokg*FSOMEF*NtoN2O*kgtoGg,"NO")</f>
        <v>3.1961717215001131</v>
      </c>
      <c r="AQ134" s="22">
        <f>IFERROR(('Activity data'!AQ98*(1/Constants!$H$135))*ttokg*FSOMEF*NtoN2O*kgtoGg,"NO")</f>
        <v>3.1961717215001131</v>
      </c>
      <c r="AR134" s="22">
        <f>IFERROR(('Activity data'!AR98*(1/Constants!$H$135))*ttokg*FSOMEF*NtoN2O*kgtoGg,"NO")</f>
        <v>3.1961717215001131</v>
      </c>
      <c r="AS134" s="22">
        <f>IFERROR(('Activity data'!AS98*(1/Constants!$H$135))*ttokg*FSOMEF*NtoN2O*kgtoGg,"NO")</f>
        <v>3.1961717215001131</v>
      </c>
      <c r="AT134" s="22">
        <f>IFERROR(('Activity data'!AT98*(1/Constants!$H$135))*ttokg*FSOMEF*NtoN2O*kgtoGg,"NO")</f>
        <v>3.1961717215001131</v>
      </c>
      <c r="AU134" s="22">
        <f>IFERROR(('Activity data'!AU98*(1/Constants!$H$135))*ttokg*FSOMEF*NtoN2O*kgtoGg,"NO")</f>
        <v>3.1961717215001131</v>
      </c>
      <c r="AV134" s="22">
        <f>IFERROR(('Activity data'!AV98*(1/Constants!$H$135))*ttokg*FSOMEF*NtoN2O*kgtoGg,"NO")</f>
        <v>3.1961717215001131</v>
      </c>
      <c r="AW134" s="22">
        <f>IFERROR(('Activity data'!AW98*(1/Constants!$H$135))*ttokg*FSOMEF*NtoN2O*kgtoGg,"NO")</f>
        <v>3.1961717215001131</v>
      </c>
      <c r="AX134" s="22">
        <f>IFERROR(('Activity data'!AX98*(1/Constants!$H$135))*ttokg*FSOMEF*NtoN2O*kgtoGg,"NO")</f>
        <v>3.1961717215001131</v>
      </c>
      <c r="AY134" s="22">
        <f>IFERROR(('Activity data'!AY98*(1/Constants!$H$135))*ttokg*FSOMEF*NtoN2O*kgtoGg,"NO")</f>
        <v>3.1961717215001131</v>
      </c>
      <c r="AZ134" s="22">
        <f>IFERROR(('Activity data'!AZ98*(1/Constants!$H$135))*ttokg*FSOMEF*NtoN2O*kgtoGg,"NO")</f>
        <v>3.1961717215001131</v>
      </c>
      <c r="BA134" s="22">
        <f>IFERROR(('Activity data'!BA98*(1/Constants!$H$135))*ttokg*FSOMEF*NtoN2O*kgtoGg,"NO")</f>
        <v>3.1961717215001131</v>
      </c>
      <c r="BB134" s="22">
        <f>IFERROR(('Activity data'!BB98*(1/Constants!$H$135))*ttokg*FSOMEF*NtoN2O*kgtoGg,"NO")</f>
        <v>3.1961717215001131</v>
      </c>
      <c r="BC134" s="22">
        <f>IFERROR(('Activity data'!BC98*(1/Constants!$H$135))*ttokg*FSOMEF*NtoN2O*kgtoGg,"NO")</f>
        <v>3.1961717215001131</v>
      </c>
      <c r="BD134" s="22">
        <f>IFERROR(('Activity data'!BD98*(1/Constants!$H$135))*ttokg*FSOMEF*NtoN2O*kgtoGg,"NO")</f>
        <v>3.1961717215001131</v>
      </c>
      <c r="BE134" s="22">
        <f>IFERROR(('Activity data'!BE98*(1/Constants!$H$135))*ttokg*FSOMEF*NtoN2O*kgtoGg,"NO")</f>
        <v>3.1961717215001131</v>
      </c>
      <c r="BF134" s="22">
        <f>IFERROR(('Activity data'!BF98*(1/Constants!$H$135))*ttokg*FSOMEF*NtoN2O*kgtoGg,"NO")</f>
        <v>3.1961717215001131</v>
      </c>
      <c r="BG134" s="22">
        <f>IFERROR(('Activity data'!BG98*(1/Constants!$H$135))*ttokg*FSOMEF*NtoN2O*kgtoGg,"NO")</f>
        <v>3.1961717215001131</v>
      </c>
      <c r="BH134" s="22">
        <f>IFERROR(('Activity data'!BH98*(1/Constants!$H$135))*ttokg*FSOMEF*NtoN2O*kgtoGg,"NO")</f>
        <v>3.1961717215001131</v>
      </c>
      <c r="BI134" s="22">
        <f>IFERROR(('Activity data'!BI98*(1/Constants!$H$135))*ttokg*FSOMEF*NtoN2O*kgtoGg,"NO")</f>
        <v>3.1961717215001131</v>
      </c>
      <c r="BJ134" s="22">
        <f>IFERROR(('Activity data'!BJ98*(1/Constants!$H$135))*ttokg*FSOMEF*NtoN2O*kgtoGg,"NO")</f>
        <v>3.1961717215001131</v>
      </c>
      <c r="BK134" s="22">
        <f>IFERROR(('Activity data'!BK98*(1/Constants!$H$135))*ttokg*FSOMEF*NtoN2O*kgtoGg,"NO")</f>
        <v>3.1961717215001131</v>
      </c>
      <c r="BL134" s="22">
        <f>IFERROR(('Activity data'!BL98*(1/Constants!$H$135))*ttokg*FSOMEF*NtoN2O*kgtoGg,"NO")</f>
        <v>3.1961717215001131</v>
      </c>
      <c r="BM134" s="22">
        <f>IFERROR(('Activity data'!BM98*(1/Constants!$H$135))*ttokg*FSOMEF*NtoN2O*kgtoGg,"NO")</f>
        <v>3.1961717215001131</v>
      </c>
      <c r="BN134" s="22">
        <f>IFERROR(('Activity data'!BN98*(1/Constants!$H$135))*ttokg*FSOMEF*NtoN2O*kgtoGg,"NO")</f>
        <v>3.1961717215001131</v>
      </c>
      <c r="BO134" s="22">
        <f>IFERROR(('Activity data'!BO98*(1/Constants!$H$135))*ttokg*FSOMEF*NtoN2O*kgtoGg,"NO")</f>
        <v>3.1961717215001131</v>
      </c>
      <c r="BP134" s="22">
        <f>IFERROR(('Activity data'!BP98*(1/Constants!$H$135))*ttokg*FSOMEF*NtoN2O*kgtoGg,"NO")</f>
        <v>3.1961717215001131</v>
      </c>
    </row>
    <row r="135" spans="1:68" x14ac:dyDescent="0.25">
      <c r="A135" t="str">
        <f>A122</f>
        <v>3C Aggregated and non-CO2 emissions on land</v>
      </c>
      <c r="B135" t="str">
        <f>'IPCC Categories'!B78</f>
        <v>3C5 Indirect N2O from managed soils (N2O)</v>
      </c>
      <c r="C135" t="str">
        <f>'IPCC Categories'!C78</f>
        <v>Volatilisation</v>
      </c>
      <c r="D135" t="s">
        <v>435</v>
      </c>
      <c r="E135" t="str">
        <f t="shared" si="32"/>
        <v>Volatilisation - Synthetic fertlisers</v>
      </c>
      <c r="F135" t="str">
        <f>F122</f>
        <v>N2O</v>
      </c>
      <c r="G135" t="str">
        <f>G122</f>
        <v>Gg N2O</v>
      </c>
      <c r="H135" s="22">
        <f>'Activity data'!H47*ttokg*FracGASF*MSVolatEF*NtoN2O*kgtoGg</f>
        <v>0.5400827142857143</v>
      </c>
      <c r="I135" s="22">
        <f>'Activity data'!I47*ttokg*FracGASF*MSVolatEF*NtoN2O*kgtoGg</f>
        <v>0.57362642857142854</v>
      </c>
      <c r="J135" s="22">
        <f>'Activity data'!J47*ttokg*FracGASF*MSVolatEF*NtoN2O*kgtoGg</f>
        <v>0.54611071428571434</v>
      </c>
      <c r="K135" s="22">
        <f>'Activity data'!K47*ttokg*FracGASF*MSVolatEF*NtoN2O*kgtoGg</f>
        <v>0.64186414285714277</v>
      </c>
      <c r="L135" s="22">
        <f>'Activity data'!L47*ttokg*FracGASF*MSVolatEF*NtoN2O*kgtoGg</f>
        <v>0.58938942857142851</v>
      </c>
      <c r="M135" s="22">
        <f>'Activity data'!M47*ttokg*FracGASF*MSVolatEF*NtoN2O*kgtoGg</f>
        <v>0.58377157142857139</v>
      </c>
      <c r="N135" s="22">
        <f>'Activity data'!N47*ttokg*FracGASF*MSVolatEF*NtoN2O*kgtoGg</f>
        <v>0.65227485714285716</v>
      </c>
      <c r="O135" s="22">
        <f>'Activity data'!O47*ttokg*FracGASF*MSVolatEF*NtoN2O*kgtoGg</f>
        <v>0.63943628571428568</v>
      </c>
      <c r="P135" s="22">
        <f>'Activity data'!P47*ttokg*FracGASF*MSVolatEF*NtoN2O*kgtoGg</f>
        <v>0.65296157142857136</v>
      </c>
      <c r="Q135" s="22">
        <f>'Activity data'!Q47*ttokg*FracGASF*MSVolatEF*NtoN2O*kgtoGg</f>
        <v>0.64907071428571428</v>
      </c>
      <c r="R135" s="22">
        <f>'Activity data'!R47*ttokg*FracGASF*MSVolatEF*NtoN2O*kgtoGg</f>
        <v>0.653609</v>
      </c>
      <c r="S135" s="22">
        <f>'Activity data'!S47*ttokg*FracGASF*MSVolatEF*NtoN2O*kgtoGg</f>
        <v>0.6219918571428571</v>
      </c>
      <c r="T135" s="22">
        <f>'Activity data'!T47*ttokg*FracGASF*MSVolatEF*NtoN2O*kgtoGg</f>
        <v>0.74968457142857137</v>
      </c>
      <c r="U135" s="22">
        <f>'Activity data'!U47*ttokg*FracGASF*MSVolatEF*NtoN2O*kgtoGg</f>
        <v>0.66129957142857132</v>
      </c>
      <c r="V135" s="22">
        <f>'Activity data'!V47*ttokg*FracGASF*MSVolatEF*NtoN2O*kgtoGg</f>
        <v>0.67189728571428564</v>
      </c>
      <c r="W135" s="22">
        <f>'Activity data'!W47*ttokg*FracGASF*MSVolatEF*NtoN2O*kgtoGg</f>
        <v>0.54569428571428569</v>
      </c>
      <c r="X135" s="22">
        <f>'Activity data'!X47*ttokg*FracGASF*MSVolatEF*NtoN2O*kgtoGg</f>
        <v>0.67370128571428567</v>
      </c>
      <c r="Y135" s="22">
        <f>'Activity data'!Y47*ttokg*FracGASF*MSVolatEF*NtoN2O*kgtoGg</f>
        <v>0.69061142857142854</v>
      </c>
      <c r="Z135" s="22">
        <f>'Activity data'!Z47*ttokg*FracGASF*MSVolatEF*NtoN2O*kgtoGg</f>
        <v>0.66647899999999993</v>
      </c>
      <c r="AA135" s="22">
        <f>'Activity data'!AA47*ttokg*FracGASF*MSVolatEF*NtoN2O*kgtoGg</f>
        <v>0.71307814285714277</v>
      </c>
      <c r="AB135" s="22">
        <f>'Activity data'!AB47*ttokg*FracGASF*MSVolatEF*NtoN2O*kgtoGg</f>
        <v>0.62071428571428566</v>
      </c>
      <c r="AC135" s="22">
        <f>'Activity data'!AC47*ttokg*FracGASF*MSVolatEF*NtoN2O*kgtoGg</f>
        <v>0.65842857142857136</v>
      </c>
      <c r="AD135" s="22">
        <f>'Activity data'!AD47*ttokg*FracGASF*MSVolatEF*NtoN2O*kgtoGg</f>
        <v>0.66064812063358536</v>
      </c>
      <c r="AE135" s="22">
        <f>'Activity data'!AE47*ttokg*FracGASF*MSVolatEF*NtoN2O*kgtoGg</f>
        <v>0.66056451628178292</v>
      </c>
      <c r="AF135" s="22">
        <f>'Activity data'!AF47*ttokg*FracGASF*MSVolatEF*NtoN2O*kgtoGg</f>
        <v>0.66042078494055367</v>
      </c>
      <c r="AG135" s="22">
        <f>'Activity data'!AG47*ttokg*FracGASF*MSVolatEF*NtoN2O*kgtoGg</f>
        <v>0.66032182825543662</v>
      </c>
      <c r="AH135" s="22">
        <f>'Activity data'!AH47*ttokg*FracGASF*MSVolatEF*NtoN2O*kgtoGg</f>
        <v>0.66025879225333761</v>
      </c>
      <c r="AI135" s="22">
        <f>'Activity data'!AI47*ttokg*FracGASF*MSVolatEF*NtoN2O*kgtoGg</f>
        <v>0.66021902265346044</v>
      </c>
      <c r="AJ135" s="22">
        <f>'Activity data'!AJ47*ttokg*FracGASF*MSVolatEF*NtoN2O*kgtoGg</f>
        <v>0.66016347771827455</v>
      </c>
      <c r="AK135" s="22">
        <f>'Activity data'!AK47*ttokg*FracGASF*MSVolatEF*NtoN2O*kgtoGg</f>
        <v>0.66009863939677205</v>
      </c>
      <c r="AL135" s="22">
        <f>'Activity data'!AL47*ttokg*FracGASF*MSVolatEF*NtoN2O*kgtoGg</f>
        <v>0.66003667367218355</v>
      </c>
      <c r="AM135" s="22">
        <f>'Activity data'!AM47*ttokg*FracGASF*MSVolatEF*NtoN2O*kgtoGg</f>
        <v>0.66051333309105886</v>
      </c>
      <c r="AN135" s="22">
        <f>'Activity data'!AN47*ttokg*FracGASF*MSVolatEF*NtoN2O*kgtoGg</f>
        <v>0.66038967064746235</v>
      </c>
      <c r="AO135" s="22">
        <f>'Activity data'!AO47*ttokg*FracGASF*MSVolatEF*NtoN2O*kgtoGg</f>
        <v>0.66026654607614732</v>
      </c>
      <c r="AP135" s="22">
        <f>'Activity data'!AP47*ttokg*FracGASF*MSVolatEF*NtoN2O*kgtoGg</f>
        <v>0.66013281594658835</v>
      </c>
      <c r="AQ135" s="22">
        <f>'Activity data'!AQ47*ttokg*FracGASF*MSVolatEF*NtoN2O*kgtoGg</f>
        <v>0.65999289891083801</v>
      </c>
      <c r="AR135" s="22">
        <f>'Activity data'!AR47*ttokg*FracGASF*MSVolatEF*NtoN2O*kgtoGg</f>
        <v>0.65985677674875998</v>
      </c>
      <c r="AS135" s="22">
        <f>'Activity data'!AS47*ttokg*FracGASF*MSVolatEF*NtoN2O*kgtoGg</f>
        <v>0.65970392722442195</v>
      </c>
      <c r="AT135" s="22">
        <f>'Activity data'!AT47*ttokg*FracGASF*MSVolatEF*NtoN2O*kgtoGg</f>
        <v>0.65954856117406968</v>
      </c>
      <c r="AU135" s="22">
        <f>'Activity data'!AU47*ttokg*FracGASF*MSVolatEF*NtoN2O*kgtoGg</f>
        <v>0.65938816747323936</v>
      </c>
      <c r="AV135" s="22">
        <f>'Activity data'!AV47*ttokg*FracGASF*MSVolatEF*NtoN2O*kgtoGg</f>
        <v>0.65922591341281167</v>
      </c>
      <c r="AW135" s="22">
        <f>'Activity data'!AW47*ttokg*FracGASF*MSVolatEF*NtoN2O*kgtoGg</f>
        <v>0.65908986742821285</v>
      </c>
      <c r="AX135" s="22">
        <f>'Activity data'!AX47*ttokg*FracGASF*MSVolatEF*NtoN2O*kgtoGg</f>
        <v>0.65892354999806135</v>
      </c>
      <c r="AY135" s="22">
        <f>'Activity data'!AY47*ttokg*FracGASF*MSVolatEF*NtoN2O*kgtoGg</f>
        <v>0.65875714000959484</v>
      </c>
      <c r="AZ135" s="22">
        <f>'Activity data'!AZ47*ttokg*FracGASF*MSVolatEF*NtoN2O*kgtoGg</f>
        <v>0.65858971699263802</v>
      </c>
      <c r="BA135" s="22">
        <f>'Activity data'!BA47*ttokg*FracGASF*MSVolatEF*NtoN2O*kgtoGg</f>
        <v>0.65843187550205506</v>
      </c>
      <c r="BB135" s="22">
        <f>'Activity data'!BB47*ttokg*FracGASF*MSVolatEF*NtoN2O*kgtoGg</f>
        <v>0.65826870438731289</v>
      </c>
      <c r="BC135" s="22">
        <f>'Activity data'!BC47*ttokg*FracGASF*MSVolatEF*NtoN2O*kgtoGg</f>
        <v>0.65810034789887684</v>
      </c>
      <c r="BD135" s="22">
        <f>'Activity data'!BD47*ttokg*FracGASF*MSVolatEF*NtoN2O*kgtoGg</f>
        <v>0.65792983783130776</v>
      </c>
      <c r="BE135" s="22">
        <f>'Activity data'!BE47*ttokg*FracGASF*MSVolatEF*NtoN2O*kgtoGg</f>
        <v>0.65776443498401138</v>
      </c>
      <c r="BF135" s="22">
        <f>'Activity data'!BF47*ttokg*FracGASF*MSVolatEF*NtoN2O*kgtoGg</f>
        <v>0.65759691866672876</v>
      </c>
      <c r="BG135" s="22">
        <f>'Activity data'!BG47*ttokg*FracGASF*MSVolatEF*NtoN2O*kgtoGg</f>
        <v>0.6574233154861463</v>
      </c>
      <c r="BH135" s="22">
        <f>'Activity data'!BH47*ttokg*FracGASF*MSVolatEF*NtoN2O*kgtoGg</f>
        <v>0.65724592307181706</v>
      </c>
      <c r="BI135" s="22">
        <f>'Activity data'!BI47*ttokg*FracGASF*MSVolatEF*NtoN2O*kgtoGg</f>
        <v>0.65706561442684763</v>
      </c>
      <c r="BJ135" s="22">
        <f>'Activity data'!BJ47*ttokg*FracGASF*MSVolatEF*NtoN2O*kgtoGg</f>
        <v>0.65688237088611556</v>
      </c>
      <c r="BK135" s="22">
        <f>'Activity data'!BK47*ttokg*FracGASF*MSVolatEF*NtoN2O*kgtoGg</f>
        <v>0.65669640100011095</v>
      </c>
      <c r="BL135" s="22">
        <f>'Activity data'!BL47*ttokg*FracGASF*MSVolatEF*NtoN2O*kgtoGg</f>
        <v>0.65650645219687476</v>
      </c>
      <c r="BM135" s="22">
        <f>'Activity data'!BM47*ttokg*FracGASF*MSVolatEF*NtoN2O*kgtoGg</f>
        <v>0.65633085266645985</v>
      </c>
      <c r="BN135" s="22">
        <f>'Activity data'!BN47*ttokg*FracGASF*MSVolatEF*NtoN2O*kgtoGg</f>
        <v>0.65615189371221261</v>
      </c>
      <c r="BO135" s="22">
        <f>'Activity data'!BO47*ttokg*FracGASF*MSVolatEF*NtoN2O*kgtoGg</f>
        <v>0.65596853189618631</v>
      </c>
      <c r="BP135" s="22">
        <f>'Activity data'!BP47*ttokg*FracGASF*MSVolatEF*NtoN2O*kgtoGg</f>
        <v>0.65578043538772013</v>
      </c>
    </row>
    <row r="136" spans="1:68" x14ac:dyDescent="0.25">
      <c r="A136" t="str">
        <f t="shared" si="29"/>
        <v>3C Aggregated and non-CO2 emissions on land</v>
      </c>
      <c r="B136" t="str">
        <f>B135</f>
        <v>3C5 Indirect N2O from managed soils (N2O)</v>
      </c>
      <c r="C136" t="str">
        <f>C135</f>
        <v>Volatilisation</v>
      </c>
      <c r="D136" t="s">
        <v>436</v>
      </c>
      <c r="E136" t="str">
        <f t="shared" si="32"/>
        <v>Volatilisation - Organic fertilisers</v>
      </c>
      <c r="F136" t="str">
        <f t="shared" si="36"/>
        <v>N2O</v>
      </c>
      <c r="G136" t="str">
        <f t="shared" si="37"/>
        <v>Gg N2O</v>
      </c>
      <c r="H136" s="22">
        <f>'Activity data'!H48*ttokg*FracGASM*MSVolatEF*NtoN2O*kgtoGg</f>
        <v>7.1290918285714282E-3</v>
      </c>
      <c r="I136" s="22">
        <f>'Activity data'!I48*ttokg*FracGASM*MSVolatEF*NtoN2O*kgtoGg</f>
        <v>7.5718688571428574E-3</v>
      </c>
      <c r="J136" s="22">
        <f>'Activity data'!J48*ttokg*FracGASM*MSVolatEF*NtoN2O*kgtoGg</f>
        <v>7.2086614285714291E-3</v>
      </c>
      <c r="K136" s="22">
        <f>'Activity data'!K48*ttokg*FracGASM*MSVolatEF*NtoN2O*kgtoGg</f>
        <v>8.4726066857142863E-3</v>
      </c>
      <c r="L136" s="22">
        <f>'Activity data'!L48*ttokg*FracGASM*MSVolatEF*NtoN2O*kgtoGg</f>
        <v>7.7799404571428574E-3</v>
      </c>
      <c r="M136" s="22">
        <f>'Activity data'!M48*ttokg*FracGASM*MSVolatEF*NtoN2O*kgtoGg</f>
        <v>7.7057847428571432E-3</v>
      </c>
      <c r="N136" s="22">
        <f>'Activity data'!N48*ttokg*FracGASM*MSVolatEF*NtoN2O*kgtoGg</f>
        <v>8.610028114285715E-3</v>
      </c>
      <c r="O136" s="22">
        <f>'Activity data'!O48*ttokg*FracGASM*MSVolatEF*NtoN2O*kgtoGg</f>
        <v>8.440558971428572E-3</v>
      </c>
      <c r="P136" s="22">
        <f>'Activity data'!P48*ttokg*FracGASM*MSVolatEF*NtoN2O*kgtoGg</f>
        <v>8.6190927428571439E-3</v>
      </c>
      <c r="Q136" s="22">
        <f>'Activity data'!Q48*ttokg*FracGASM*MSVolatEF*NtoN2O*kgtoGg</f>
        <v>8.5677334285714293E-3</v>
      </c>
      <c r="R136" s="22">
        <f>'Activity data'!R48*ttokg*FracGASM*MSVolatEF*NtoN2O*kgtoGg</f>
        <v>8.627638800000002E-3</v>
      </c>
      <c r="S136" s="22">
        <f>'Activity data'!S48*ttokg*FracGASM*MSVolatEF*NtoN2O*kgtoGg</f>
        <v>8.210292514285714E-3</v>
      </c>
      <c r="T136" s="22">
        <f>'Activity data'!T48*ttokg*FracGASM*MSVolatEF*NtoN2O*kgtoGg</f>
        <v>9.8958363428571453E-3</v>
      </c>
      <c r="U136" s="22">
        <f>'Activity data'!U48*ttokg*FracGASM*MSVolatEF*NtoN2O*kgtoGg</f>
        <v>8.7291543428571466E-3</v>
      </c>
      <c r="V136" s="22">
        <f>'Activity data'!V48*ttokg*FracGASM*MSVolatEF*NtoN2O*kgtoGg</f>
        <v>8.8690441714285723E-3</v>
      </c>
      <c r="W136" s="22">
        <f>'Activity data'!W48*ttokg*FracGASM*MSVolatEF*NtoN2O*kgtoGg</f>
        <v>7.2031645714285709E-3</v>
      </c>
      <c r="X136" s="22">
        <f>'Activity data'!X48*ttokg*FracGASM*MSVolatEF*NtoN2O*kgtoGg</f>
        <v>8.8928569714285723E-3</v>
      </c>
      <c r="Y136" s="22">
        <f>'Activity data'!Y48*ttokg*FracGASM*MSVolatEF*NtoN2O*kgtoGg</f>
        <v>9.1160708571428571E-3</v>
      </c>
      <c r="Z136" s="22">
        <f>'Activity data'!Z48*ttokg*FracGASM*MSVolatEF*NtoN2O*kgtoGg</f>
        <v>8.7975228000000006E-3</v>
      </c>
      <c r="AA136" s="22">
        <f>'Activity data'!AA48*ttokg*FracGASM*MSVolatEF*NtoN2O*kgtoGg</f>
        <v>9.4126314857142859E-3</v>
      </c>
      <c r="AB136" s="22">
        <f>'Activity data'!AB48*ttokg*FracGASM*MSVolatEF*NtoN2O*kgtoGg</f>
        <v>8.1934285714285703E-3</v>
      </c>
      <c r="AC136" s="22">
        <f>'Activity data'!AC48*ttokg*FracGASM*MSVolatEF*NtoN2O*kgtoGg</f>
        <v>8.6912571428571419E-3</v>
      </c>
      <c r="AD136" s="22">
        <f>'Activity data'!AD48*ttokg*FracGASM*MSVolatEF*NtoN2O*kgtoGg</f>
        <v>8.720555192363328E-3</v>
      </c>
      <c r="AE136" s="22">
        <f>'Activity data'!AE48*ttokg*FracGASM*MSVolatEF*NtoN2O*kgtoGg</f>
        <v>8.7194516149195368E-3</v>
      </c>
      <c r="AF136" s="22">
        <f>'Activity data'!AF48*ttokg*FracGASM*MSVolatEF*NtoN2O*kgtoGg</f>
        <v>8.71755436121531E-3</v>
      </c>
      <c r="AG136" s="22">
        <f>'Activity data'!AG48*ttokg*FracGASM*MSVolatEF*NtoN2O*kgtoGg</f>
        <v>8.7162481329717666E-3</v>
      </c>
      <c r="AH136" s="22">
        <f>'Activity data'!AH48*ttokg*FracGASM*MSVolatEF*NtoN2O*kgtoGg</f>
        <v>8.7154160577440597E-3</v>
      </c>
      <c r="AI136" s="22">
        <f>'Activity data'!AI48*ttokg*FracGASM*MSVolatEF*NtoN2O*kgtoGg</f>
        <v>8.7148910990256807E-3</v>
      </c>
      <c r="AJ136" s="22">
        <f>'Activity data'!AJ48*ttokg*FracGASM*MSVolatEF*NtoN2O*kgtoGg</f>
        <v>8.7141579058812244E-3</v>
      </c>
      <c r="AK136" s="22">
        <f>'Activity data'!AK48*ttokg*FracGASM*MSVolatEF*NtoN2O*kgtoGg</f>
        <v>8.7133020400373892E-3</v>
      </c>
      <c r="AL136" s="22">
        <f>'Activity data'!AL48*ttokg*FracGASM*MSVolatEF*NtoN2O*kgtoGg</f>
        <v>8.7124840924728223E-3</v>
      </c>
      <c r="AM136" s="22">
        <f>'Activity data'!AM48*ttokg*FracGASM*MSVolatEF*NtoN2O*kgtoGg</f>
        <v>8.7187759968019758E-3</v>
      </c>
      <c r="AN136" s="22">
        <f>'Activity data'!AN48*ttokg*FracGASM*MSVolatEF*NtoN2O*kgtoGg</f>
        <v>8.7171436525465048E-3</v>
      </c>
      <c r="AO136" s="22">
        <f>'Activity data'!AO48*ttokg*FracGASM*MSVolatEF*NtoN2O*kgtoGg</f>
        <v>8.7155184082051453E-3</v>
      </c>
      <c r="AP136" s="22">
        <f>'Activity data'!AP48*ttokg*FracGASM*MSVolatEF*NtoN2O*kgtoGg</f>
        <v>8.7137531704949683E-3</v>
      </c>
      <c r="AQ136" s="22">
        <f>'Activity data'!AQ48*ttokg*FracGASM*MSVolatEF*NtoN2O*kgtoGg</f>
        <v>8.7119062656230636E-3</v>
      </c>
      <c r="AR136" s="22">
        <f>'Activity data'!AR48*ttokg*FracGASM*MSVolatEF*NtoN2O*kgtoGg</f>
        <v>8.710109453083632E-3</v>
      </c>
      <c r="AS136" s="22">
        <f>'Activity data'!AS48*ttokg*FracGASM*MSVolatEF*NtoN2O*kgtoGg</f>
        <v>8.7080918393623724E-3</v>
      </c>
      <c r="AT136" s="22">
        <f>'Activity data'!AT48*ttokg*FracGASM*MSVolatEF*NtoN2O*kgtoGg</f>
        <v>8.7060410074977241E-3</v>
      </c>
      <c r="AU136" s="22">
        <f>'Activity data'!AU48*ttokg*FracGASM*MSVolatEF*NtoN2O*kgtoGg</f>
        <v>8.7039238106467604E-3</v>
      </c>
      <c r="AV136" s="22">
        <f>'Activity data'!AV48*ttokg*FracGASM*MSVolatEF*NtoN2O*kgtoGg</f>
        <v>8.7017820570491154E-3</v>
      </c>
      <c r="AW136" s="22">
        <f>'Activity data'!AW48*ttokg*FracGASM*MSVolatEF*NtoN2O*kgtoGg</f>
        <v>8.6999862500524109E-3</v>
      </c>
      <c r="AX136" s="22">
        <f>'Activity data'!AX48*ttokg*FracGASM*MSVolatEF*NtoN2O*kgtoGg</f>
        <v>8.6977908599744115E-3</v>
      </c>
      <c r="AY136" s="22">
        <f>'Activity data'!AY48*ttokg*FracGASM*MSVolatEF*NtoN2O*kgtoGg</f>
        <v>8.6955942481266538E-3</v>
      </c>
      <c r="AZ136" s="22">
        <f>'Activity data'!AZ48*ttokg*FracGASM*MSVolatEF*NtoN2O*kgtoGg</f>
        <v>8.6933842643028229E-3</v>
      </c>
      <c r="BA136" s="22">
        <f>'Activity data'!BA48*ttokg*FracGASM*MSVolatEF*NtoN2O*kgtoGg</f>
        <v>8.6913007566271298E-3</v>
      </c>
      <c r="BB136" s="22">
        <f>'Activity data'!BB48*ttokg*FracGASM*MSVolatEF*NtoN2O*kgtoGg</f>
        <v>8.6891468979125308E-3</v>
      </c>
      <c r="BC136" s="22">
        <f>'Activity data'!BC48*ttokg*FracGASM*MSVolatEF*NtoN2O*kgtoGg</f>
        <v>8.6869245922651783E-3</v>
      </c>
      <c r="BD136" s="22">
        <f>'Activity data'!BD48*ttokg*FracGASM*MSVolatEF*NtoN2O*kgtoGg</f>
        <v>8.6846738593732639E-3</v>
      </c>
      <c r="BE136" s="22">
        <f>'Activity data'!BE48*ttokg*FracGASM*MSVolatEF*NtoN2O*kgtoGg</f>
        <v>8.6824905417889515E-3</v>
      </c>
      <c r="BF136" s="22">
        <f>'Activity data'!BF48*ttokg*FracGASM*MSVolatEF*NtoN2O*kgtoGg</f>
        <v>8.6802793264008186E-3</v>
      </c>
      <c r="BG136" s="22">
        <f>'Activity data'!BG48*ttokg*FracGASM*MSVolatEF*NtoN2O*kgtoGg</f>
        <v>8.6779877644171353E-3</v>
      </c>
      <c r="BH136" s="22">
        <f>'Activity data'!BH48*ttokg*FracGASM*MSVolatEF*NtoN2O*kgtoGg</f>
        <v>8.6756461845479884E-3</v>
      </c>
      <c r="BI136" s="22">
        <f>'Activity data'!BI48*ttokg*FracGASM*MSVolatEF*NtoN2O*kgtoGg</f>
        <v>8.673266110434388E-3</v>
      </c>
      <c r="BJ136" s="22">
        <f>'Activity data'!BJ48*ttokg*FracGASM*MSVolatEF*NtoN2O*kgtoGg</f>
        <v>8.6708472956967247E-3</v>
      </c>
      <c r="BK136" s="22">
        <f>'Activity data'!BK48*ttokg*FracGASM*MSVolatEF*NtoN2O*kgtoGg</f>
        <v>8.6683924932014662E-3</v>
      </c>
      <c r="BL136" s="22">
        <f>'Activity data'!BL48*ttokg*FracGASM*MSVolatEF*NtoN2O*kgtoGg</f>
        <v>8.6658851689987472E-3</v>
      </c>
      <c r="BM136" s="22">
        <f>'Activity data'!BM48*ttokg*FracGASM*MSVolatEF*NtoN2O*kgtoGg</f>
        <v>8.6635672551972701E-3</v>
      </c>
      <c r="BN136" s="22">
        <f>'Activity data'!BN48*ttokg*FracGASM*MSVolatEF*NtoN2O*kgtoGg</f>
        <v>8.6612049970012078E-3</v>
      </c>
      <c r="BO136" s="22">
        <f>'Activity data'!BO48*ttokg*FracGASM*MSVolatEF*NtoN2O*kgtoGg</f>
        <v>8.6587846210296627E-3</v>
      </c>
      <c r="BP136" s="22">
        <f>'Activity data'!BP48*ttokg*FracGASM*MSVolatEF*NtoN2O*kgtoGg</f>
        <v>8.6563017471179074E-3</v>
      </c>
    </row>
    <row r="137" spans="1:68" x14ac:dyDescent="0.25">
      <c r="A137" t="str">
        <f t="shared" si="29"/>
        <v>3C Aggregated and non-CO2 emissions on land</v>
      </c>
      <c r="B137" t="str">
        <f t="shared" ref="B137:B138" si="42">B136</f>
        <v>3C5 Indirect N2O from managed soils (N2O)</v>
      </c>
      <c r="C137" t="str">
        <f t="shared" ref="C137:C138" si="43">C136</f>
        <v>Volatilisation</v>
      </c>
      <c r="D137" t="s">
        <v>437</v>
      </c>
      <c r="E137" t="str">
        <f t="shared" si="32"/>
        <v>Volatilisation - Managed manure</v>
      </c>
      <c r="F137" t="str">
        <f t="shared" si="36"/>
        <v>N2O</v>
      </c>
      <c r="G137" t="str">
        <f t="shared" si="37"/>
        <v>Gg N2O</v>
      </c>
      <c r="H137" s="22">
        <f>SUM('Activity data'!H50:H65)*FracGASM*MSVolatEF*NtoN2O*kgtoGg</f>
        <v>0.99551555312027373</v>
      </c>
      <c r="I137" s="22">
        <f>SUM('Activity data'!I50:I65)*FracGASM*MSVolatEF*NtoN2O*kgtoGg</f>
        <v>1.0457263616851549</v>
      </c>
      <c r="J137" s="22">
        <f>SUM('Activity data'!J50:J65)*FracGASM*MSVolatEF*NtoN2O*kgtoGg</f>
        <v>1.0280485030279605</v>
      </c>
      <c r="K137" s="22">
        <f>SUM('Activity data'!K50:K65)*FracGASM*MSVolatEF*NtoN2O*kgtoGg</f>
        <v>1.03324963057342</v>
      </c>
      <c r="L137" s="22">
        <f>SUM('Activity data'!L50:L65)*FracGASM*MSVolatEF*NtoN2O*kgtoGg</f>
        <v>0.95236586726215788</v>
      </c>
      <c r="M137" s="22">
        <f>SUM('Activity data'!M50:M65)*FracGASM*MSVolatEF*NtoN2O*kgtoGg</f>
        <v>0.9653219403734149</v>
      </c>
      <c r="N137" s="22">
        <f>SUM('Activity data'!N50:N65)*FracGASM*MSVolatEF*NtoN2O*kgtoGg</f>
        <v>0.99815602807535353</v>
      </c>
      <c r="O137" s="22">
        <f>SUM('Activity data'!O50:O65)*FracGASM*MSVolatEF*NtoN2O*kgtoGg</f>
        <v>1.0144180969214591</v>
      </c>
      <c r="P137" s="22">
        <f>SUM('Activity data'!P50:P65)*FracGASM*MSVolatEF*NtoN2O*kgtoGg</f>
        <v>1.0520418095998723</v>
      </c>
      <c r="Q137" s="22">
        <f>SUM('Activity data'!Q50:Q65)*FracGASM*MSVolatEF*NtoN2O*kgtoGg</f>
        <v>1.0732775914439636</v>
      </c>
      <c r="R137" s="22">
        <f>SUM('Activity data'!R50:R65)*FracGASM*MSVolatEF*NtoN2O*kgtoGg</f>
        <v>1.1194350722704709</v>
      </c>
      <c r="S137" s="22">
        <f>SUM('Activity data'!S50:S65)*FracGASM*MSVolatEF*NtoN2O*kgtoGg</f>
        <v>1.1042100081051662</v>
      </c>
      <c r="T137" s="22">
        <f>SUM('Activity data'!T50:T65)*FracGASM*MSVolatEF*NtoN2O*kgtoGg</f>
        <v>1.1383465549548826</v>
      </c>
      <c r="U137" s="22">
        <f>SUM('Activity data'!U50:U65)*FracGASM*MSVolatEF*NtoN2O*kgtoGg</f>
        <v>1.1234193003595725</v>
      </c>
      <c r="V137" s="22">
        <f>SUM('Activity data'!V50:V65)*FracGASM*MSVolatEF*NtoN2O*kgtoGg</f>
        <v>1.1105797277549578</v>
      </c>
      <c r="W137" s="22">
        <f>SUM('Activity data'!W50:W65)*FracGASM*MSVolatEF*NtoN2O*kgtoGg</f>
        <v>1.1231687261749999</v>
      </c>
      <c r="X137" s="22">
        <f>SUM('Activity data'!X50:X65)*FracGASM*MSVolatEF*NtoN2O*kgtoGg</f>
        <v>1.1446915398900395</v>
      </c>
      <c r="Y137" s="22">
        <f>SUM('Activity data'!Y50:Y65)*FracGASM*MSVolatEF*NtoN2O*kgtoGg</f>
        <v>1.1770744841159908</v>
      </c>
      <c r="Z137" s="22">
        <f>SUM('Activity data'!Z50:Z65)*FracGASM*MSVolatEF*NtoN2O*kgtoGg</f>
        <v>1.218985945315326</v>
      </c>
      <c r="AA137" s="22">
        <f>SUM('Activity data'!AA50:AA65)*FracGASM*MSVolatEF*NtoN2O*kgtoGg</f>
        <v>1.2092710440167578</v>
      </c>
      <c r="AB137" s="22">
        <f>SUM('Activity data'!AB50:AB65)*FracGASM*MSVolatEF*NtoN2O*kgtoGg</f>
        <v>1.2045606040064729</v>
      </c>
      <c r="AC137" s="22">
        <f>SUM('Activity data'!AC50:AC65)*FracGASM*MSVolatEF*NtoN2O*kgtoGg</f>
        <v>1.2120476688441433</v>
      </c>
      <c r="AD137" s="22">
        <f>SUM('Activity data'!AD50:AD65)*FracGASM*MSVolatEF*NtoN2O*kgtoGg</f>
        <v>1.2061197267538977</v>
      </c>
      <c r="AE137" s="22">
        <f>SUM('Activity data'!AE50:AE65)*FracGASM*MSVolatEF*NtoN2O*kgtoGg</f>
        <v>1.2126162770862434</v>
      </c>
      <c r="AF137" s="22">
        <f>SUM('Activity data'!AF50:AF65)*FracGASM*MSVolatEF*NtoN2O*kgtoGg</f>
        <v>1.2092248752371249</v>
      </c>
      <c r="AG137" s="22">
        <f>SUM('Activity data'!AG50:AG65)*FracGASM*MSVolatEF*NtoN2O*kgtoGg</f>
        <v>1.1981968322237264</v>
      </c>
      <c r="AH137" s="22">
        <f>SUM('Activity data'!AH50:AH65)*FracGASM*MSVolatEF*NtoN2O*kgtoGg</f>
        <v>1.1826216687378113</v>
      </c>
      <c r="AI137" s="22">
        <f>SUM('Activity data'!AI50:AI65)*FracGASM*MSVolatEF*NtoN2O*kgtoGg</f>
        <v>1.1712296642896711</v>
      </c>
      <c r="AJ137" s="22">
        <f>SUM('Activity data'!AJ50:AJ65)*FracGASM*MSVolatEF*NtoN2O*kgtoGg</f>
        <v>1.1624084874583178</v>
      </c>
      <c r="AK137" s="22">
        <f>SUM('Activity data'!AK50:AK65)*FracGASM*MSVolatEF*NtoN2O*kgtoGg</f>
        <v>1.1534193245587723</v>
      </c>
      <c r="AL137" s="22">
        <f>SUM('Activity data'!AL50:AL65)*FracGASM*MSVolatEF*NtoN2O*kgtoGg</f>
        <v>1.034992539583713</v>
      </c>
      <c r="AM137" s="22">
        <f>SUM('Activity data'!AM50:AM65)*FracGASM*MSVolatEF*NtoN2O*kgtoGg</f>
        <v>1.045508338064608</v>
      </c>
      <c r="AN137" s="22">
        <f>SUM('Activity data'!AN50:AN65)*FracGASM*MSVolatEF*NtoN2O*kgtoGg</f>
        <v>1.0561703929348016</v>
      </c>
      <c r="AO137" s="22">
        <f>SUM('Activity data'!AO50:AO65)*FracGASM*MSVolatEF*NtoN2O*kgtoGg</f>
        <v>1.0691720768359489</v>
      </c>
      <c r="AP137" s="22">
        <f>SUM('Activity data'!AP50:AP65)*FracGASM*MSVolatEF*NtoN2O*kgtoGg</f>
        <v>1.0836275029016003</v>
      </c>
      <c r="AQ137" s="22">
        <f>SUM('Activity data'!AQ50:AQ65)*FracGASM*MSVolatEF*NtoN2O*kgtoGg</f>
        <v>1.0975492089117194</v>
      </c>
      <c r="AR137" s="22">
        <f>SUM('Activity data'!AR50:AR65)*FracGASM*MSVolatEF*NtoN2O*kgtoGg</f>
        <v>1.1150484511441787</v>
      </c>
      <c r="AS137" s="22">
        <f>SUM('Activity data'!AS50:AS65)*FracGASM*MSVolatEF*NtoN2O*kgtoGg</f>
        <v>1.1333055547178315</v>
      </c>
      <c r="AT137" s="22">
        <f>SUM('Activity data'!AT50:AT65)*FracGASM*MSVolatEF*NtoN2O*kgtoGg</f>
        <v>1.1528438699878882</v>
      </c>
      <c r="AU137" s="22">
        <f>SUM('Activity data'!AU50:AU65)*FracGASM*MSVolatEF*NtoN2O*kgtoGg</f>
        <v>1.1730333818025338</v>
      </c>
      <c r="AV137" s="22">
        <f>SUM('Activity data'!AV50:AV65)*FracGASM*MSVolatEF*NtoN2O*kgtoGg</f>
        <v>1.1880528505645396</v>
      </c>
      <c r="AW137" s="22">
        <f>SUM('Activity data'!AW50:AW65)*FracGASM*MSVolatEF*NtoN2O*kgtoGg</f>
        <v>1.2054309767043565</v>
      </c>
      <c r="AX137" s="22">
        <f>SUM('Activity data'!AX50:AX65)*FracGASM*MSVolatEF*NtoN2O*kgtoGg</f>
        <v>1.2229420164231499</v>
      </c>
      <c r="AY137" s="22">
        <f>SUM('Activity data'!AY50:AY65)*FracGASM*MSVolatEF*NtoN2O*kgtoGg</f>
        <v>1.2407792645759796</v>
      </c>
      <c r="AZ137" s="22">
        <f>SUM('Activity data'!AZ50:AZ65)*FracGASM*MSVolatEF*NtoN2O*kgtoGg</f>
        <v>1.2566964009699604</v>
      </c>
      <c r="BA137" s="22">
        <f>SUM('Activity data'!BA50:BA65)*FracGASM*MSVolatEF*NtoN2O*kgtoGg</f>
        <v>1.2738395744162911</v>
      </c>
      <c r="BB137" s="22">
        <f>SUM('Activity data'!BB50:BB65)*FracGASM*MSVolatEF*NtoN2O*kgtoGg</f>
        <v>1.292196371023419</v>
      </c>
      <c r="BC137" s="22">
        <f>SUM('Activity data'!BC50:BC65)*FracGASM*MSVolatEF*NtoN2O*kgtoGg</f>
        <v>1.3111324715930621</v>
      </c>
      <c r="BD137" s="22">
        <f>SUM('Activity data'!BD50:BD65)*FracGASM*MSVolatEF*NtoN2O*kgtoGg</f>
        <v>1.3290764045672827</v>
      </c>
      <c r="BE137" s="22">
        <f>SUM('Activity data'!BE50:BE65)*FracGASM*MSVolatEF*NtoN2O*kgtoGg</f>
        <v>1.3475874507666907</v>
      </c>
      <c r="BF137" s="22">
        <f>SUM('Activity data'!BF50:BF65)*FracGASM*MSVolatEF*NtoN2O*kgtoGg</f>
        <v>1.3675519419034023</v>
      </c>
      <c r="BG137" s="22">
        <f>SUM('Activity data'!BG50:BG65)*FracGASM*MSVolatEF*NtoN2O*kgtoGg</f>
        <v>1.3910582425573912</v>
      </c>
      <c r="BH137" s="22">
        <f>SUM('Activity data'!BH50:BH65)*FracGASM*MSVolatEF*NtoN2O*kgtoGg</f>
        <v>1.4154805253985769</v>
      </c>
      <c r="BI137" s="22">
        <f>SUM('Activity data'!BI50:BI65)*FracGASM*MSVolatEF*NtoN2O*kgtoGg</f>
        <v>1.440848280977495</v>
      </c>
      <c r="BJ137" s="22">
        <f>SUM('Activity data'!BJ50:BJ65)*FracGASM*MSVolatEF*NtoN2O*kgtoGg</f>
        <v>1.467140450855327</v>
      </c>
      <c r="BK137" s="22">
        <f>SUM('Activity data'!BK50:BK65)*FracGASM*MSVolatEF*NtoN2O*kgtoGg</f>
        <v>1.4946767576888467</v>
      </c>
      <c r="BL137" s="22">
        <f>SUM('Activity data'!BL50:BL65)*FracGASM*MSVolatEF*NtoN2O*kgtoGg</f>
        <v>1.519164009747392</v>
      </c>
      <c r="BM137" s="22">
        <f>SUM('Activity data'!BM50:BM65)*FracGASM*MSVolatEF*NtoN2O*kgtoGg</f>
        <v>1.5447226070659346</v>
      </c>
      <c r="BN137" s="22">
        <f>SUM('Activity data'!BN50:BN65)*FracGASM*MSVolatEF*NtoN2O*kgtoGg</f>
        <v>1.5716353831933385</v>
      </c>
      <c r="BO137" s="22">
        <f>SUM('Activity data'!BO50:BO65)*FracGASM*MSVolatEF*NtoN2O*kgtoGg</f>
        <v>1.6000257453482636</v>
      </c>
      <c r="BP137" s="22">
        <f>SUM('Activity data'!BP50:BP65)*FracGASM*MSVolatEF*NtoN2O*kgtoGg</f>
        <v>1.630819766808256</v>
      </c>
    </row>
    <row r="138" spans="1:68" x14ac:dyDescent="0.25">
      <c r="A138" t="str">
        <f t="shared" si="29"/>
        <v>3C Aggregated and non-CO2 emissions on land</v>
      </c>
      <c r="B138" t="str">
        <f t="shared" si="42"/>
        <v>3C5 Indirect N2O from managed soils (N2O)</v>
      </c>
      <c r="C138" t="str">
        <f t="shared" si="43"/>
        <v>Volatilisation</v>
      </c>
      <c r="D138" t="s">
        <v>438</v>
      </c>
      <c r="E138" t="str">
        <f t="shared" si="32"/>
        <v>Volatilisation - Urine &amp; dung</v>
      </c>
      <c r="F138" t="str">
        <f t="shared" si="36"/>
        <v>N2O</v>
      </c>
      <c r="G138" t="str">
        <f t="shared" si="37"/>
        <v>Gg N2O</v>
      </c>
      <c r="H138" s="22">
        <f>SUM('Activity data'!H66:H81)*FracGASM*MSVolatEF*NtoN2O*kgtoGg</f>
        <v>5.3293144096787222</v>
      </c>
      <c r="I138" s="22">
        <f>SUM('Activity data'!I66:I81)*FracGASM*MSVolatEF*NtoN2O*kgtoGg</f>
        <v>5.1770975753759236</v>
      </c>
      <c r="J138" s="22">
        <f>SUM('Activity data'!J66:J81)*FracGASM*MSVolatEF*NtoN2O*kgtoGg</f>
        <v>5.0830298342539484</v>
      </c>
      <c r="K138" s="22">
        <f>SUM('Activity data'!K66:K81)*FracGASM*MSVolatEF*NtoN2O*kgtoGg</f>
        <v>4.829642515128679</v>
      </c>
      <c r="L138" s="22">
        <f>SUM('Activity data'!L66:L81)*FracGASM*MSVolatEF*NtoN2O*kgtoGg</f>
        <v>4.7894399365203268</v>
      </c>
      <c r="M138" s="22">
        <f>SUM('Activity data'!M66:M81)*FracGASM*MSVolatEF*NtoN2O*kgtoGg</f>
        <v>4.7921511406548962</v>
      </c>
      <c r="N138" s="22">
        <f>SUM('Activity data'!N66:N81)*FracGASM*MSVolatEF*NtoN2O*kgtoGg</f>
        <v>4.8976053876932584</v>
      </c>
      <c r="O138" s="22">
        <f>SUM('Activity data'!O66:O81)*FracGASM*MSVolatEF*NtoN2O*kgtoGg</f>
        <v>4.9547281574748672</v>
      </c>
      <c r="P138" s="22">
        <f>SUM('Activity data'!P66:P81)*FracGASM*MSVolatEF*NtoN2O*kgtoGg</f>
        <v>5.0157449787285939</v>
      </c>
      <c r="Q138" s="22">
        <f>SUM('Activity data'!Q66:Q81)*FracGASM*MSVolatEF*NtoN2O*kgtoGg</f>
        <v>4.9767771047110116</v>
      </c>
      <c r="R138" s="22">
        <f>SUM('Activity data'!R66:R81)*FracGASM*MSVolatEF*NtoN2O*kgtoGg</f>
        <v>4.8211266878067001</v>
      </c>
      <c r="S138" s="22">
        <f>SUM('Activity data'!S66:S81)*FracGASM*MSVolatEF*NtoN2O*kgtoGg</f>
        <v>4.7800473511978687</v>
      </c>
      <c r="T138" s="22">
        <f>SUM('Activity data'!T66:T81)*FracGASM*MSVolatEF*NtoN2O*kgtoGg</f>
        <v>4.6975024951288153</v>
      </c>
      <c r="U138" s="22">
        <f>SUM('Activity data'!U66:U81)*FracGASM*MSVolatEF*NtoN2O*kgtoGg</f>
        <v>4.7360084777803504</v>
      </c>
      <c r="V138" s="22">
        <f>SUM('Activity data'!V66:V81)*FracGASM*MSVolatEF*NtoN2O*kgtoGg</f>
        <v>4.7003354016017305</v>
      </c>
      <c r="W138" s="22">
        <f>SUM('Activity data'!W66:W81)*FracGASM*MSVolatEF*NtoN2O*kgtoGg</f>
        <v>4.687578912663029</v>
      </c>
      <c r="X138" s="22">
        <f>SUM('Activity data'!X66:X81)*FracGASM*MSVolatEF*NtoN2O*kgtoGg</f>
        <v>4.6689428593096167</v>
      </c>
      <c r="Y138" s="22">
        <f>SUM('Activity data'!Y66:Y81)*FracGASM*MSVolatEF*NtoN2O*kgtoGg</f>
        <v>4.7434640177817213</v>
      </c>
      <c r="Z138" s="22">
        <f>SUM('Activity data'!Z66:Z81)*FracGASM*MSVolatEF*NtoN2O*kgtoGg</f>
        <v>4.7183947350866733</v>
      </c>
      <c r="AA138" s="22">
        <f>SUM('Activity data'!AA66:AA81)*FracGASM*MSVolatEF*NtoN2O*kgtoGg</f>
        <v>4.674811692850918</v>
      </c>
      <c r="AB138" s="22">
        <f>SUM('Activity data'!AB66:AB81)*FracGASM*MSVolatEF*NtoN2O*kgtoGg</f>
        <v>4.622134481418013</v>
      </c>
      <c r="AC138" s="22">
        <f>SUM('Activity data'!AC66:AC81)*FracGASM*MSVolatEF*NtoN2O*kgtoGg</f>
        <v>4.6008288415645895</v>
      </c>
      <c r="AD138" s="22">
        <f>SUM('Activity data'!AD66:AD81)*FracGASM*MSVolatEF*NtoN2O*kgtoGg</f>
        <v>4.4114898215997709</v>
      </c>
      <c r="AE138" s="22">
        <f>SUM('Activity data'!AE66:AE81)*FracGASM*MSVolatEF*NtoN2O*kgtoGg</f>
        <v>4.4059150539122625</v>
      </c>
      <c r="AF138" s="22">
        <f>SUM('Activity data'!AF66:AF81)*FracGASM*MSVolatEF*NtoN2O*kgtoGg</f>
        <v>4.3769707040809562</v>
      </c>
      <c r="AG138" s="22">
        <f>SUM('Activity data'!AG66:AG81)*FracGASM*MSVolatEF*NtoN2O*kgtoGg</f>
        <v>4.3306912498255148</v>
      </c>
      <c r="AH138" s="22">
        <f>SUM('Activity data'!AH66:AH81)*FracGASM*MSVolatEF*NtoN2O*kgtoGg</f>
        <v>4.2749165124369437</v>
      </c>
      <c r="AI138" s="22">
        <f>SUM('Activity data'!AI66:AI81)*FracGASM*MSVolatEF*NtoN2O*kgtoGg</f>
        <v>4.2304903038146389</v>
      </c>
      <c r="AJ138" s="22">
        <f>SUM('Activity data'!AJ66:AJ81)*FracGASM*MSVolatEF*NtoN2O*kgtoGg</f>
        <v>4.1928396474130318</v>
      </c>
      <c r="AK138" s="22">
        <f>SUM('Activity data'!AK66:AK81)*FracGASM*MSVolatEF*NtoN2O*kgtoGg</f>
        <v>4.1554755541572037</v>
      </c>
      <c r="AL138" s="22">
        <f>SUM('Activity data'!AL66:AL81)*FracGASM*MSVolatEF*NtoN2O*kgtoGg</f>
        <v>3.8692953286342688</v>
      </c>
      <c r="AM138" s="22">
        <f>SUM('Activity data'!AM66:AM81)*FracGASM*MSVolatEF*NtoN2O*kgtoGg</f>
        <v>3.8871778887792323</v>
      </c>
      <c r="AN138" s="22">
        <f>SUM('Activity data'!AN66:AN81)*FracGASM*MSVolatEF*NtoN2O*kgtoGg</f>
        <v>3.9043552604978959</v>
      </c>
      <c r="AO138" s="22">
        <f>SUM('Activity data'!AO66:AO81)*FracGASM*MSVolatEF*NtoN2O*kgtoGg</f>
        <v>3.9256889116147606</v>
      </c>
      <c r="AP138" s="22">
        <f>SUM('Activity data'!AP66:AP81)*FracGASM*MSVolatEF*NtoN2O*kgtoGg</f>
        <v>3.949839389264858</v>
      </c>
      <c r="AQ138" s="22">
        <f>SUM('Activity data'!AQ66:AQ81)*FracGASM*MSVolatEF*NtoN2O*kgtoGg</f>
        <v>3.9723240357586573</v>
      </c>
      <c r="AR138" s="22">
        <f>SUM('Activity data'!AR66:AR81)*FracGASM*MSVolatEF*NtoN2O*kgtoGg</f>
        <v>4.0021804522662814</v>
      </c>
      <c r="AS138" s="22">
        <f>SUM('Activity data'!AS66:AS81)*FracGASM*MSVolatEF*NtoN2O*kgtoGg</f>
        <v>4.033079019360704</v>
      </c>
      <c r="AT138" s="22">
        <f>SUM('Activity data'!AT66:AT81)*FracGASM*MSVolatEF*NtoN2O*kgtoGg</f>
        <v>4.0661048274074645</v>
      </c>
      <c r="AU138" s="22">
        <f>SUM('Activity data'!AU66:AU81)*FracGASM*MSVolatEF*NtoN2O*kgtoGg</f>
        <v>4.0999188683555525</v>
      </c>
      <c r="AV138" s="22">
        <f>SUM('Activity data'!AV66:AV81)*FracGASM*MSVolatEF*NtoN2O*kgtoGg</f>
        <v>4.1219853333374754</v>
      </c>
      <c r="AW138" s="22">
        <f>SUM('Activity data'!AW66:AW81)*FracGASM*MSVolatEF*NtoN2O*kgtoGg</f>
        <v>4.139294012712802</v>
      </c>
      <c r="AX138" s="22">
        <f>SUM('Activity data'!AX66:AX81)*FracGASM*MSVolatEF*NtoN2O*kgtoGg</f>
        <v>4.1557350111892104</v>
      </c>
      <c r="AY138" s="22">
        <f>SUM('Activity data'!AY66:AY81)*FracGASM*MSVolatEF*NtoN2O*kgtoGg</f>
        <v>4.1716711143375766</v>
      </c>
      <c r="AZ138" s="22">
        <f>SUM('Activity data'!AZ66:AZ81)*FracGASM*MSVolatEF*NtoN2O*kgtoGg</f>
        <v>4.1824576167326946</v>
      </c>
      <c r="BA138" s="22">
        <f>SUM('Activity data'!BA66:BA81)*FracGASM*MSVolatEF*NtoN2O*kgtoGg</f>
        <v>4.1945942329098642</v>
      </c>
      <c r="BB138" s="22">
        <f>SUM('Activity data'!BB66:BB81)*FracGASM*MSVolatEF*NtoN2O*kgtoGg</f>
        <v>4.2079425820805803</v>
      </c>
      <c r="BC138" s="22">
        <f>SUM('Activity data'!BC66:BC81)*FracGASM*MSVolatEF*NtoN2O*kgtoGg</f>
        <v>4.2211284112246554</v>
      </c>
      <c r="BD138" s="22">
        <f>SUM('Activity data'!BD66:BD81)*FracGASM*MSVolatEF*NtoN2O*kgtoGg</f>
        <v>4.2309966967877681</v>
      </c>
      <c r="BE138" s="22">
        <f>SUM('Activity data'!BE66:BE81)*FracGASM*MSVolatEF*NtoN2O*kgtoGg</f>
        <v>4.2406395442526748</v>
      </c>
      <c r="BF138" s="22">
        <f>SUM('Activity data'!BF66:BF81)*FracGASM*MSVolatEF*NtoN2O*kgtoGg</f>
        <v>4.2516833737427033</v>
      </c>
      <c r="BG138" s="22">
        <f>SUM('Activity data'!BG66:BG81)*FracGASM*MSVolatEF*NtoN2O*kgtoGg</f>
        <v>4.2743452795285988</v>
      </c>
      <c r="BH138" s="22">
        <f>SUM('Activity data'!BH66:BH81)*FracGASM*MSVolatEF*NtoN2O*kgtoGg</f>
        <v>4.2974643699994051</v>
      </c>
      <c r="BI138" s="22">
        <f>SUM('Activity data'!BI66:BI81)*FracGASM*MSVolatEF*NtoN2O*kgtoGg</f>
        <v>4.3210216972154649</v>
      </c>
      <c r="BJ138" s="22">
        <f>SUM('Activity data'!BJ66:BJ81)*FracGASM*MSVolatEF*NtoN2O*kgtoGg</f>
        <v>4.3449036588477634</v>
      </c>
      <c r="BK138" s="22">
        <f>SUM('Activity data'!BK66:BK81)*FracGASM*MSVolatEF*NtoN2O*kgtoGg</f>
        <v>4.3696152698293549</v>
      </c>
      <c r="BL138" s="22">
        <f>SUM('Activity data'!BL66:BL81)*FracGASM*MSVolatEF*NtoN2O*kgtoGg</f>
        <v>4.3873523868923048</v>
      </c>
      <c r="BM138" s="22">
        <f>SUM('Activity data'!BM66:BM81)*FracGASM*MSVolatEF*NtoN2O*kgtoGg</f>
        <v>4.4055946019846255</v>
      </c>
      <c r="BN138" s="22">
        <f>SUM('Activity data'!BN66:BN81)*FracGASM*MSVolatEF*NtoN2O*kgtoGg</f>
        <v>4.4247530920521951</v>
      </c>
      <c r="BO138" s="22">
        <f>SUM('Activity data'!BO66:BO81)*FracGASM*MSVolatEF*NtoN2O*kgtoGg</f>
        <v>4.4449346304586959</v>
      </c>
      <c r="BP138" s="22">
        <f>SUM('Activity data'!BP66:BP81)*FracGASM*MSVolatEF*NtoN2O*kgtoGg</f>
        <v>4.4676134260460012</v>
      </c>
    </row>
    <row r="139" spans="1:68" x14ac:dyDescent="0.25">
      <c r="A139" t="str">
        <f t="shared" ref="A139" si="44">A138</f>
        <v>3C Aggregated and non-CO2 emissions on land</v>
      </c>
      <c r="B139" t="str">
        <f t="shared" ref="B139" si="45">B138</f>
        <v>3C5 Indirect N2O from managed soils (N2O)</v>
      </c>
      <c r="C139" t="str">
        <f>'IPCC Categories'!C79</f>
        <v>Leaching/runoff</v>
      </c>
      <c r="D139" t="str">
        <f>D135</f>
        <v xml:space="preserve"> - Synthetic fertlisers</v>
      </c>
      <c r="E139" t="str">
        <f t="shared" ref="E139:E143" si="46">C139&amp;D139</f>
        <v>Leaching/runoff - Synthetic fertlisers</v>
      </c>
      <c r="F139" t="str">
        <f t="shared" ref="F139:F187" si="47">F138</f>
        <v>N2O</v>
      </c>
      <c r="G139" t="str">
        <f t="shared" ref="G139:G187" si="48">G138</f>
        <v>Gg N2O</v>
      </c>
      <c r="H139" s="22">
        <f>'Activity data'!H47*FracLEACH*MSLeachEF*NtoN2O*kgtoGg</f>
        <v>1.8632853642857139E-4</v>
      </c>
      <c r="I139" s="22">
        <f>'Activity data'!I47*FracLEACH*MSLeachEF*NtoN2O*kgtoGg</f>
        <v>1.9790111785714283E-4</v>
      </c>
      <c r="J139" s="22">
        <f>'Activity data'!J47*FracLEACH*MSLeachEF*NtoN2O*kgtoGg</f>
        <v>1.884081964285714E-4</v>
      </c>
      <c r="K139" s="22">
        <f>'Activity data'!K47*FracLEACH*MSLeachEF*NtoN2O*kgtoGg</f>
        <v>2.2144312928571426E-4</v>
      </c>
      <c r="L139" s="22">
        <f>'Activity data'!L47*FracLEACH*MSLeachEF*NtoN2O*kgtoGg</f>
        <v>2.0333935285714286E-4</v>
      </c>
      <c r="M139" s="22">
        <f>'Activity data'!M47*FracLEACH*MSLeachEF*NtoN2O*kgtoGg</f>
        <v>2.0140119214285713E-4</v>
      </c>
      <c r="N139" s="22">
        <f>'Activity data'!N47*FracLEACH*MSLeachEF*NtoN2O*kgtoGg</f>
        <v>2.250348257142857E-4</v>
      </c>
      <c r="O139" s="22">
        <f>'Activity data'!O47*FracLEACH*MSLeachEF*NtoN2O*kgtoGg</f>
        <v>2.2060551857142855E-4</v>
      </c>
      <c r="P139" s="22">
        <f>'Activity data'!P47*FracLEACH*MSLeachEF*NtoN2O*kgtoGg</f>
        <v>2.2527174214285716E-4</v>
      </c>
      <c r="Q139" s="22">
        <f>'Activity data'!Q47*FracLEACH*MSLeachEF*NtoN2O*kgtoGg</f>
        <v>2.2392939642857141E-4</v>
      </c>
      <c r="R139" s="22">
        <f>'Activity data'!R47*FracLEACH*MSLeachEF*NtoN2O*kgtoGg</f>
        <v>2.25495105E-4</v>
      </c>
      <c r="S139" s="22">
        <f>'Activity data'!S47*FracLEACH*MSLeachEF*NtoN2O*kgtoGg</f>
        <v>2.1458719071428572E-4</v>
      </c>
      <c r="T139" s="22">
        <f>'Activity data'!T47*FracLEACH*MSLeachEF*NtoN2O*kgtoGg</f>
        <v>2.5864117714285707E-4</v>
      </c>
      <c r="U139" s="22">
        <f>'Activity data'!U47*FracLEACH*MSLeachEF*NtoN2O*kgtoGg</f>
        <v>2.2814835214285712E-4</v>
      </c>
      <c r="V139" s="22">
        <f>'Activity data'!V47*FracLEACH*MSLeachEF*NtoN2O*kgtoGg</f>
        <v>2.3180456357142852E-4</v>
      </c>
      <c r="W139" s="22">
        <f>'Activity data'!W47*FracLEACH*MSLeachEF*NtoN2O*kgtoGg</f>
        <v>1.8826452857142854E-4</v>
      </c>
      <c r="X139" s="22">
        <f>'Activity data'!X47*FracLEACH*MSLeachEF*NtoN2O*kgtoGg</f>
        <v>2.3242694357142855E-4</v>
      </c>
      <c r="Y139" s="22">
        <f>'Activity data'!Y47*FracLEACH*MSLeachEF*NtoN2O*kgtoGg</f>
        <v>2.382609428571428E-4</v>
      </c>
      <c r="Z139" s="22">
        <f>'Activity data'!Z47*FracLEACH*MSLeachEF*NtoN2O*kgtoGg</f>
        <v>2.2993525499999997E-4</v>
      </c>
      <c r="AA139" s="22">
        <f>'Activity data'!AA47*FracLEACH*MSLeachEF*NtoN2O*kgtoGg</f>
        <v>2.4601195928571426E-4</v>
      </c>
      <c r="AB139" s="22">
        <f>'Activity data'!AB47*FracLEACH*MSLeachEF*NtoN2O*kgtoGg</f>
        <v>2.1414642857142856E-4</v>
      </c>
      <c r="AC139" s="22">
        <f>'Activity data'!AC47*FracLEACH*MSLeachEF*NtoN2O*kgtoGg</f>
        <v>2.2715785714285715E-4</v>
      </c>
      <c r="AD139" s="22">
        <f>'Activity data'!AD47*FracLEACH*MSLeachEF*NtoN2O*kgtoGg</f>
        <v>2.2792360161858692E-4</v>
      </c>
      <c r="AE139" s="22">
        <f>'Activity data'!AE47*FracLEACH*MSLeachEF*NtoN2O*kgtoGg</f>
        <v>2.2789475811721508E-4</v>
      </c>
      <c r="AF139" s="22">
        <f>'Activity data'!AF47*FracLEACH*MSLeachEF*NtoN2O*kgtoGg</f>
        <v>2.2784517080449098E-4</v>
      </c>
      <c r="AG139" s="22">
        <f>'Activity data'!AG47*FracLEACH*MSLeachEF*NtoN2O*kgtoGg</f>
        <v>2.2781103074812553E-4</v>
      </c>
      <c r="AH139" s="22">
        <f>'Activity data'!AH47*FracLEACH*MSLeachEF*NtoN2O*kgtoGg</f>
        <v>2.2778928332740144E-4</v>
      </c>
      <c r="AI139" s="22">
        <f>'Activity data'!AI47*FracLEACH*MSLeachEF*NtoN2O*kgtoGg</f>
        <v>2.2777556281544385E-4</v>
      </c>
      <c r="AJ139" s="22">
        <f>'Activity data'!AJ47*FracLEACH*MSLeachEF*NtoN2O*kgtoGg</f>
        <v>2.2775639981280465E-4</v>
      </c>
      <c r="AK139" s="22">
        <f>'Activity data'!AK47*FracLEACH*MSLeachEF*NtoN2O*kgtoGg</f>
        <v>2.2773403059188631E-4</v>
      </c>
      <c r="AL139" s="22">
        <f>'Activity data'!AL47*FracLEACH*MSLeachEF*NtoN2O*kgtoGg</f>
        <v>2.277126524169033E-4</v>
      </c>
      <c r="AM139" s="22">
        <f>'Activity data'!AM47*FracLEACH*MSLeachEF*NtoN2O*kgtoGg</f>
        <v>2.2787709991641523E-4</v>
      </c>
      <c r="AN139" s="22">
        <f>'Activity data'!AN47*FracLEACH*MSLeachEF*NtoN2O*kgtoGg</f>
        <v>2.2783443637337447E-4</v>
      </c>
      <c r="AO139" s="22">
        <f>'Activity data'!AO47*FracLEACH*MSLeachEF*NtoN2O*kgtoGg</f>
        <v>2.2779195839627077E-4</v>
      </c>
      <c r="AP139" s="22">
        <f>'Activity data'!AP47*FracLEACH*MSLeachEF*NtoN2O*kgtoGg</f>
        <v>2.2774582150157297E-4</v>
      </c>
      <c r="AQ139" s="22">
        <f>'Activity data'!AQ47*FracLEACH*MSLeachEF*NtoN2O*kgtoGg</f>
        <v>2.2769755012423909E-4</v>
      </c>
      <c r="AR139" s="22">
        <f>'Activity data'!AR47*FracLEACH*MSLeachEF*NtoN2O*kgtoGg</f>
        <v>2.276505879783222E-4</v>
      </c>
      <c r="AS139" s="22">
        <f>'Activity data'!AS47*FracLEACH*MSLeachEF*NtoN2O*kgtoGg</f>
        <v>2.2759785489242555E-4</v>
      </c>
      <c r="AT139" s="22">
        <f>'Activity data'!AT47*FracLEACH*MSLeachEF*NtoN2O*kgtoGg</f>
        <v>2.275442536050541E-4</v>
      </c>
      <c r="AU139" s="22">
        <f>'Activity data'!AU47*FracLEACH*MSLeachEF*NtoN2O*kgtoGg</f>
        <v>2.2748891777826753E-4</v>
      </c>
      <c r="AV139" s="22">
        <f>'Activity data'!AV47*FracLEACH*MSLeachEF*NtoN2O*kgtoGg</f>
        <v>2.2743294012741996E-4</v>
      </c>
      <c r="AW139" s="22">
        <f>'Activity data'!AW47*FracLEACH*MSLeachEF*NtoN2O*kgtoGg</f>
        <v>2.2738600426273339E-4</v>
      </c>
      <c r="AX139" s="22">
        <f>'Activity data'!AX47*FracLEACH*MSLeachEF*NtoN2O*kgtoGg</f>
        <v>2.2732862474933113E-4</v>
      </c>
      <c r="AY139" s="22">
        <f>'Activity data'!AY47*FracLEACH*MSLeachEF*NtoN2O*kgtoGg</f>
        <v>2.2727121330331018E-4</v>
      </c>
      <c r="AZ139" s="22">
        <f>'Activity data'!AZ47*FracLEACH*MSLeachEF*NtoN2O*kgtoGg</f>
        <v>2.2721345236246011E-4</v>
      </c>
      <c r="BA139" s="22">
        <f>'Activity data'!BA47*FracLEACH*MSLeachEF*NtoN2O*kgtoGg</f>
        <v>2.2715899704820898E-4</v>
      </c>
      <c r="BB139" s="22">
        <f>'Activity data'!BB47*FracLEACH*MSLeachEF*NtoN2O*kgtoGg</f>
        <v>2.2710270301362292E-4</v>
      </c>
      <c r="BC139" s="22">
        <f>'Activity data'!BC47*FracLEACH*MSLeachEF*NtoN2O*kgtoGg</f>
        <v>2.2704462002511247E-4</v>
      </c>
      <c r="BD139" s="22">
        <f>'Activity data'!BD47*FracLEACH*MSLeachEF*NtoN2O*kgtoGg</f>
        <v>2.2698579405180117E-4</v>
      </c>
      <c r="BE139" s="22">
        <f>'Activity data'!BE47*FracLEACH*MSLeachEF*NtoN2O*kgtoGg</f>
        <v>2.2692873006948395E-4</v>
      </c>
      <c r="BF139" s="22">
        <f>'Activity data'!BF47*FracLEACH*MSLeachEF*NtoN2O*kgtoGg</f>
        <v>2.2687093694002136E-4</v>
      </c>
      <c r="BG139" s="22">
        <f>'Activity data'!BG47*FracLEACH*MSLeachEF*NtoN2O*kgtoGg</f>
        <v>2.2681104384272044E-4</v>
      </c>
      <c r="BH139" s="22">
        <f>'Activity data'!BH47*FracLEACH*MSLeachEF*NtoN2O*kgtoGg</f>
        <v>2.267498434597769E-4</v>
      </c>
      <c r="BI139" s="22">
        <f>'Activity data'!BI47*FracLEACH*MSLeachEF*NtoN2O*kgtoGg</f>
        <v>2.2668763697726241E-4</v>
      </c>
      <c r="BJ139" s="22">
        <f>'Activity data'!BJ47*FracLEACH*MSLeachEF*NtoN2O*kgtoGg</f>
        <v>2.2662441795570984E-4</v>
      </c>
      <c r="BK139" s="22">
        <f>'Activity data'!BK47*FracLEACH*MSLeachEF*NtoN2O*kgtoGg</f>
        <v>2.2656025834503826E-4</v>
      </c>
      <c r="BL139" s="22">
        <f>'Activity data'!BL47*FracLEACH*MSLeachEF*NtoN2O*kgtoGg</f>
        <v>2.2649472600792179E-4</v>
      </c>
      <c r="BM139" s="22">
        <f>'Activity data'!BM47*FracLEACH*MSLeachEF*NtoN2O*kgtoGg</f>
        <v>2.2643414416992859E-4</v>
      </c>
      <c r="BN139" s="22">
        <f>'Activity data'!BN47*FracLEACH*MSLeachEF*NtoN2O*kgtoGg</f>
        <v>2.263724033307133E-4</v>
      </c>
      <c r="BO139" s="22">
        <f>'Activity data'!BO47*FracLEACH*MSLeachEF*NtoN2O*kgtoGg</f>
        <v>2.2630914350418423E-4</v>
      </c>
      <c r="BP139" s="22">
        <f>'Activity data'!BP47*FracLEACH*MSLeachEF*NtoN2O*kgtoGg</f>
        <v>2.2624425020876344E-4</v>
      </c>
    </row>
    <row r="140" spans="1:68" x14ac:dyDescent="0.25">
      <c r="A140" t="str">
        <f t="shared" ref="A140" si="49">A139</f>
        <v>3C Aggregated and non-CO2 emissions on land</v>
      </c>
      <c r="B140" t="str">
        <f t="shared" ref="B140:C140" si="50">B139</f>
        <v>3C5 Indirect N2O from managed soils (N2O)</v>
      </c>
      <c r="C140" t="str">
        <f t="shared" si="50"/>
        <v>Leaching/runoff</v>
      </c>
      <c r="D140" t="str">
        <f t="shared" ref="D140:D142" si="51">D136</f>
        <v xml:space="preserve"> - Organic fertilisers</v>
      </c>
      <c r="E140" t="str">
        <f t="shared" si="46"/>
        <v>Leaching/runoff - Organic fertilisers</v>
      </c>
      <c r="F140" t="str">
        <f t="shared" si="47"/>
        <v>N2O</v>
      </c>
      <c r="G140" t="str">
        <f t="shared" si="48"/>
        <v>Gg N2O</v>
      </c>
      <c r="H140" s="22">
        <f>'Activity data'!H48*FracLEACH*MSLeachEF*NtoN2O*kgtoGg</f>
        <v>1.2297683404285713E-6</v>
      </c>
      <c r="I140" s="22">
        <f>'Activity data'!I48*FracLEACH*MSLeachEF*NtoN2O*kgtoGg</f>
        <v>1.3061473778571428E-6</v>
      </c>
      <c r="J140" s="22">
        <f>'Activity data'!J48*FracLEACH*MSLeachEF*NtoN2O*kgtoGg</f>
        <v>1.2434940964285714E-6</v>
      </c>
      <c r="K140" s="22">
        <f>'Activity data'!K48*FracLEACH*MSLeachEF*NtoN2O*kgtoGg</f>
        <v>1.4615246532857147E-6</v>
      </c>
      <c r="L140" s="22">
        <f>'Activity data'!L48*FracLEACH*MSLeachEF*NtoN2O*kgtoGg</f>
        <v>1.3420397288571429E-6</v>
      </c>
      <c r="M140" s="22">
        <f>'Activity data'!M48*FracLEACH*MSLeachEF*NtoN2O*kgtoGg</f>
        <v>1.3292478681428569E-6</v>
      </c>
      <c r="N140" s="22">
        <f>'Activity data'!N48*FracLEACH*MSLeachEF*NtoN2O*kgtoGg</f>
        <v>1.4852298497142859E-6</v>
      </c>
      <c r="O140" s="22">
        <f>'Activity data'!O48*FracLEACH*MSLeachEF*NtoN2O*kgtoGg</f>
        <v>1.4559964225714286E-6</v>
      </c>
      <c r="P140" s="22">
        <f>'Activity data'!P48*FracLEACH*MSLeachEF*NtoN2O*kgtoGg</f>
        <v>1.4867934981428574E-6</v>
      </c>
      <c r="Q140" s="22">
        <f>'Activity data'!Q48*FracLEACH*MSLeachEF*NtoN2O*kgtoGg</f>
        <v>1.4779340164285714E-6</v>
      </c>
      <c r="R140" s="22">
        <f>'Activity data'!R48*FracLEACH*MSLeachEF*NtoN2O*kgtoGg</f>
        <v>1.4882676930000004E-6</v>
      </c>
      <c r="S140" s="22">
        <f>'Activity data'!S48*FracLEACH*MSLeachEF*NtoN2O*kgtoGg</f>
        <v>1.4162754587142857E-6</v>
      </c>
      <c r="T140" s="22">
        <f>'Activity data'!T48*FracLEACH*MSLeachEF*NtoN2O*kgtoGg</f>
        <v>1.7070317691428573E-6</v>
      </c>
      <c r="U140" s="22">
        <f>'Activity data'!U48*FracLEACH*MSLeachEF*NtoN2O*kgtoGg</f>
        <v>1.5057791241428575E-6</v>
      </c>
      <c r="V140" s="22">
        <f>'Activity data'!V48*FracLEACH*MSLeachEF*NtoN2O*kgtoGg</f>
        <v>1.5299101195714285E-6</v>
      </c>
      <c r="W140" s="22">
        <f>'Activity data'!W48*FracLEACH*MSLeachEF*NtoN2O*kgtoGg</f>
        <v>1.2425458885714285E-6</v>
      </c>
      <c r="X140" s="22">
        <f>'Activity data'!X48*FracLEACH*MSLeachEF*NtoN2O*kgtoGg</f>
        <v>1.5340178275714286E-6</v>
      </c>
      <c r="Y140" s="22">
        <f>'Activity data'!Y48*FracLEACH*MSLeachEF*NtoN2O*kgtoGg</f>
        <v>1.5725222228571428E-6</v>
      </c>
      <c r="Z140" s="22">
        <f>'Activity data'!Z48*FracLEACH*MSLeachEF*NtoN2O*kgtoGg</f>
        <v>1.5175726830000002E-6</v>
      </c>
      <c r="AA140" s="22">
        <f>'Activity data'!AA48*FracLEACH*MSLeachEF*NtoN2O*kgtoGg</f>
        <v>1.6236789312857143E-6</v>
      </c>
      <c r="AB140" s="22">
        <f>'Activity data'!AB48*FracLEACH*MSLeachEF*NtoN2O*kgtoGg</f>
        <v>1.4133664285714284E-6</v>
      </c>
      <c r="AC140" s="22">
        <f>'Activity data'!AC48*FracLEACH*MSLeachEF*NtoN2O*kgtoGg</f>
        <v>1.4992418571428571E-6</v>
      </c>
      <c r="AD140" s="22">
        <f>'Activity data'!AD48*FracLEACH*MSLeachEF*NtoN2O*kgtoGg</f>
        <v>1.5042957706826741E-6</v>
      </c>
      <c r="AE140" s="22">
        <f>'Activity data'!AE48*FracLEACH*MSLeachEF*NtoN2O*kgtoGg</f>
        <v>1.5041054035736198E-6</v>
      </c>
      <c r="AF140" s="22">
        <f>'Activity data'!AF48*FracLEACH*MSLeachEF*NtoN2O*kgtoGg</f>
        <v>1.5037781273096408E-6</v>
      </c>
      <c r="AG140" s="22">
        <f>'Activity data'!AG48*FracLEACH*MSLeachEF*NtoN2O*kgtoGg</f>
        <v>1.5035528029376292E-6</v>
      </c>
      <c r="AH140" s="22">
        <f>'Activity data'!AH48*FracLEACH*MSLeachEF*NtoN2O*kgtoGg</f>
        <v>1.5034092699608498E-6</v>
      </c>
      <c r="AI140" s="22">
        <f>'Activity data'!AI48*FracLEACH*MSLeachEF*NtoN2O*kgtoGg</f>
        <v>1.5033187145819298E-6</v>
      </c>
      <c r="AJ140" s="22">
        <f>'Activity data'!AJ48*FracLEACH*MSLeachEF*NtoN2O*kgtoGg</f>
        <v>1.503192238764511E-6</v>
      </c>
      <c r="AK140" s="22">
        <f>'Activity data'!AK48*FracLEACH*MSLeachEF*NtoN2O*kgtoGg</f>
        <v>1.5030446019064497E-6</v>
      </c>
      <c r="AL140" s="22">
        <f>'Activity data'!AL48*FracLEACH*MSLeachEF*NtoN2O*kgtoGg</f>
        <v>1.5029035059515621E-6</v>
      </c>
      <c r="AM140" s="22">
        <f>'Activity data'!AM48*FracLEACH*MSLeachEF*NtoN2O*kgtoGg</f>
        <v>1.5039888594483409E-6</v>
      </c>
      <c r="AN140" s="22">
        <f>'Activity data'!AN48*FracLEACH*MSLeachEF*NtoN2O*kgtoGg</f>
        <v>1.5037072800642718E-6</v>
      </c>
      <c r="AO140" s="22">
        <f>'Activity data'!AO48*FracLEACH*MSLeachEF*NtoN2O*kgtoGg</f>
        <v>1.5034269254153877E-6</v>
      </c>
      <c r="AP140" s="22">
        <f>'Activity data'!AP48*FracLEACH*MSLeachEF*NtoN2O*kgtoGg</f>
        <v>1.5031224219103819E-6</v>
      </c>
      <c r="AQ140" s="22">
        <f>'Activity data'!AQ48*FracLEACH*MSLeachEF*NtoN2O*kgtoGg</f>
        <v>1.5028038308199782E-6</v>
      </c>
      <c r="AR140" s="22">
        <f>'Activity data'!AR48*FracLEACH*MSLeachEF*NtoN2O*kgtoGg</f>
        <v>1.5024938806569264E-6</v>
      </c>
      <c r="AS140" s="22">
        <f>'Activity data'!AS48*FracLEACH*MSLeachEF*NtoN2O*kgtoGg</f>
        <v>1.5021458422900091E-6</v>
      </c>
      <c r="AT140" s="22">
        <f>'Activity data'!AT48*FracLEACH*MSLeachEF*NtoN2O*kgtoGg</f>
        <v>1.5017920737933574E-6</v>
      </c>
      <c r="AU140" s="22">
        <f>'Activity data'!AU48*FracLEACH*MSLeachEF*NtoN2O*kgtoGg</f>
        <v>1.5014268573365656E-6</v>
      </c>
      <c r="AV140" s="22">
        <f>'Activity data'!AV48*FracLEACH*MSLeachEF*NtoN2O*kgtoGg</f>
        <v>1.501057404840972E-6</v>
      </c>
      <c r="AW140" s="22">
        <f>'Activity data'!AW48*FracLEACH*MSLeachEF*NtoN2O*kgtoGg</f>
        <v>1.5007476281340405E-6</v>
      </c>
      <c r="AX140" s="22">
        <f>'Activity data'!AX48*FracLEACH*MSLeachEF*NtoN2O*kgtoGg</f>
        <v>1.5003689233455857E-6</v>
      </c>
      <c r="AY140" s="22">
        <f>'Activity data'!AY48*FracLEACH*MSLeachEF*NtoN2O*kgtoGg</f>
        <v>1.4999900078018474E-6</v>
      </c>
      <c r="AZ140" s="22">
        <f>'Activity data'!AZ48*FracLEACH*MSLeachEF*NtoN2O*kgtoGg</f>
        <v>1.4996087855922372E-6</v>
      </c>
      <c r="BA140" s="22">
        <f>'Activity data'!BA48*FracLEACH*MSLeachEF*NtoN2O*kgtoGg</f>
        <v>1.4992493805181793E-6</v>
      </c>
      <c r="BB140" s="22">
        <f>'Activity data'!BB48*FracLEACH*MSLeachEF*NtoN2O*kgtoGg</f>
        <v>1.4988778398899114E-6</v>
      </c>
      <c r="BC140" s="22">
        <f>'Activity data'!BC48*FracLEACH*MSLeachEF*NtoN2O*kgtoGg</f>
        <v>1.4984944921657428E-6</v>
      </c>
      <c r="BD140" s="22">
        <f>'Activity data'!BD48*FracLEACH*MSLeachEF*NtoN2O*kgtoGg</f>
        <v>1.4981062407418879E-6</v>
      </c>
      <c r="BE140" s="22">
        <f>'Activity data'!BE48*FracLEACH*MSLeachEF*NtoN2O*kgtoGg</f>
        <v>1.4977296184585942E-6</v>
      </c>
      <c r="BF140" s="22">
        <f>'Activity data'!BF48*FracLEACH*MSLeachEF*NtoN2O*kgtoGg</f>
        <v>1.4973481838041411E-6</v>
      </c>
      <c r="BG140" s="22">
        <f>'Activity data'!BG48*FracLEACH*MSLeachEF*NtoN2O*kgtoGg</f>
        <v>1.4969528893619553E-6</v>
      </c>
      <c r="BH140" s="22">
        <f>'Activity data'!BH48*FracLEACH*MSLeachEF*NtoN2O*kgtoGg</f>
        <v>1.4965489668345275E-6</v>
      </c>
      <c r="BI140" s="22">
        <f>'Activity data'!BI48*FracLEACH*MSLeachEF*NtoN2O*kgtoGg</f>
        <v>1.4961384040499321E-6</v>
      </c>
      <c r="BJ140" s="22">
        <f>'Activity data'!BJ48*FracLEACH*MSLeachEF*NtoN2O*kgtoGg</f>
        <v>1.4957211585076849E-6</v>
      </c>
      <c r="BK140" s="22">
        <f>'Activity data'!BK48*FracLEACH*MSLeachEF*NtoN2O*kgtoGg</f>
        <v>1.4952977050772532E-6</v>
      </c>
      <c r="BL140" s="22">
        <f>'Activity data'!BL48*FracLEACH*MSLeachEF*NtoN2O*kgtoGg</f>
        <v>1.4948651916522839E-6</v>
      </c>
      <c r="BM140" s="22">
        <f>'Activity data'!BM48*FracLEACH*MSLeachEF*NtoN2O*kgtoGg</f>
        <v>1.4944653515215288E-6</v>
      </c>
      <c r="BN140" s="22">
        <f>'Activity data'!BN48*FracLEACH*MSLeachEF*NtoN2O*kgtoGg</f>
        <v>1.4940578619827083E-6</v>
      </c>
      <c r="BO140" s="22">
        <f>'Activity data'!BO48*FracLEACH*MSLeachEF*NtoN2O*kgtoGg</f>
        <v>1.4936403471276162E-6</v>
      </c>
      <c r="BP140" s="22">
        <f>'Activity data'!BP48*FracLEACH*MSLeachEF*NtoN2O*kgtoGg</f>
        <v>1.4932120513778385E-6</v>
      </c>
    </row>
    <row r="141" spans="1:68" x14ac:dyDescent="0.25">
      <c r="A141" t="str">
        <f t="shared" ref="A141:A144" si="52">A140</f>
        <v>3C Aggregated and non-CO2 emissions on land</v>
      </c>
      <c r="B141" t="str">
        <f t="shared" ref="B141:B143" si="53">B140</f>
        <v>3C5 Indirect N2O from managed soils (N2O)</v>
      </c>
      <c r="C141" t="str">
        <f t="shared" ref="C141:C155" si="54">C140</f>
        <v>Leaching/runoff</v>
      </c>
      <c r="D141" t="str">
        <f t="shared" si="51"/>
        <v xml:space="preserve"> - Managed manure</v>
      </c>
      <c r="E141" t="str">
        <f t="shared" si="46"/>
        <v>Leaching/runoff - Managed manure</v>
      </c>
      <c r="F141" t="str">
        <f t="shared" si="47"/>
        <v>N2O</v>
      </c>
      <c r="G141" t="str">
        <f t="shared" si="48"/>
        <v>Gg N2O</v>
      </c>
      <c r="H141" s="22">
        <f>SUM('Activity data'!H50:H65)*FracLEACH*MSLeachEF*NtoN2O*kgtoGg</f>
        <v>0.17172643291324718</v>
      </c>
      <c r="I141" s="22">
        <f>SUM('Activity data'!I50:I65)*FracLEACH*MSLeachEF*NtoN2O*kgtoGg</f>
        <v>0.18038779739068919</v>
      </c>
      <c r="J141" s="22">
        <f>SUM('Activity data'!J50:J65)*FracLEACH*MSLeachEF*NtoN2O*kgtoGg</f>
        <v>0.17733836677232317</v>
      </c>
      <c r="K141" s="22">
        <f>SUM('Activity data'!K50:K65)*FracLEACH*MSLeachEF*NtoN2O*kgtoGg</f>
        <v>0.17823556127391493</v>
      </c>
      <c r="L141" s="22">
        <f>SUM('Activity data'!L50:L65)*FracLEACH*MSLeachEF*NtoN2O*kgtoGg</f>
        <v>0.16428311210272223</v>
      </c>
      <c r="M141" s="22">
        <f>SUM('Activity data'!M50:M65)*FracLEACH*MSLeachEF*NtoN2O*kgtoGg</f>
        <v>0.16651803471441404</v>
      </c>
      <c r="N141" s="22">
        <f>SUM('Activity data'!N50:N65)*FracLEACH*MSLeachEF*NtoN2O*kgtoGg</f>
        <v>0.17218191484299847</v>
      </c>
      <c r="O141" s="22">
        <f>SUM('Activity data'!O50:O65)*FracLEACH*MSLeachEF*NtoN2O*kgtoGg</f>
        <v>0.1749871217189517</v>
      </c>
      <c r="P141" s="22">
        <f>SUM('Activity data'!P50:P65)*FracLEACH*MSLeachEF*NtoN2O*kgtoGg</f>
        <v>0.18147721215597795</v>
      </c>
      <c r="Q141" s="22">
        <f>SUM('Activity data'!Q50:Q65)*FracLEACH*MSLeachEF*NtoN2O*kgtoGg</f>
        <v>0.18514038452408368</v>
      </c>
      <c r="R141" s="22">
        <f>SUM('Activity data'!R50:R65)*FracLEACH*MSLeachEF*NtoN2O*kgtoGg</f>
        <v>0.19310254996665621</v>
      </c>
      <c r="S141" s="22">
        <f>SUM('Activity data'!S50:S65)*FracLEACH*MSLeachEF*NtoN2O*kgtoGg</f>
        <v>0.1904762263981411</v>
      </c>
      <c r="T141" s="22">
        <f>SUM('Activity data'!T50:T65)*FracLEACH*MSLeachEF*NtoN2O*kgtoGg</f>
        <v>0.19636478072971722</v>
      </c>
      <c r="U141" s="22">
        <f>SUM('Activity data'!U50:U65)*FracLEACH*MSLeachEF*NtoN2O*kgtoGg</f>
        <v>0.19378982931202623</v>
      </c>
      <c r="V141" s="22">
        <f>SUM('Activity data'!V50:V65)*FracLEACH*MSLeachEF*NtoN2O*kgtoGg</f>
        <v>0.1915750030377302</v>
      </c>
      <c r="W141" s="22">
        <f>SUM('Activity data'!W50:W65)*FracLEACH*MSLeachEF*NtoN2O*kgtoGg</f>
        <v>0.19374660526518744</v>
      </c>
      <c r="X141" s="22">
        <f>SUM('Activity data'!X50:X65)*FracLEACH*MSLeachEF*NtoN2O*kgtoGg</f>
        <v>0.19745929063103176</v>
      </c>
      <c r="Y141" s="22">
        <f>SUM('Activity data'!Y50:Y65)*FracLEACH*MSLeachEF*NtoN2O*kgtoGg</f>
        <v>0.20304534851000838</v>
      </c>
      <c r="Z141" s="22">
        <f>SUM('Activity data'!Z50:Z65)*FracLEACH*MSLeachEF*NtoN2O*kgtoGg</f>
        <v>0.2102750755668937</v>
      </c>
      <c r="AA141" s="22">
        <f>SUM('Activity data'!AA50:AA65)*FracLEACH*MSLeachEF*NtoN2O*kgtoGg</f>
        <v>0.20859925509289065</v>
      </c>
      <c r="AB141" s="22">
        <f>SUM('Activity data'!AB50:AB65)*FracLEACH*MSLeachEF*NtoN2O*kgtoGg</f>
        <v>0.20778670419111658</v>
      </c>
      <c r="AC141" s="22">
        <f>SUM('Activity data'!AC50:AC65)*FracLEACH*MSLeachEF*NtoN2O*kgtoGg</f>
        <v>0.2090782228756147</v>
      </c>
      <c r="AD141" s="22">
        <f>SUM('Activity data'!AD50:AD65)*FracLEACH*MSLeachEF*NtoN2O*kgtoGg</f>
        <v>0.20805565286504729</v>
      </c>
      <c r="AE141" s="22">
        <f>SUM('Activity data'!AE50:AE65)*FracLEACH*MSLeachEF*NtoN2O*kgtoGg</f>
        <v>0.20917630779737698</v>
      </c>
      <c r="AF141" s="22">
        <f>SUM('Activity data'!AF50:AF65)*FracLEACH*MSLeachEF*NtoN2O*kgtoGg</f>
        <v>0.20859129097840404</v>
      </c>
      <c r="AG141" s="22">
        <f>SUM('Activity data'!AG50:AG65)*FracLEACH*MSLeachEF*NtoN2O*kgtoGg</f>
        <v>0.20668895355859282</v>
      </c>
      <c r="AH141" s="22">
        <f>SUM('Activity data'!AH50:AH65)*FracLEACH*MSLeachEF*NtoN2O*kgtoGg</f>
        <v>0.20400223785727239</v>
      </c>
      <c r="AI141" s="22">
        <f>SUM('Activity data'!AI50:AI65)*FracLEACH*MSLeachEF*NtoN2O*kgtoGg</f>
        <v>0.20203711708996827</v>
      </c>
      <c r="AJ141" s="22">
        <f>SUM('Activity data'!AJ50:AJ65)*FracLEACH*MSLeachEF*NtoN2O*kgtoGg</f>
        <v>0.20051546408655985</v>
      </c>
      <c r="AK141" s="22">
        <f>SUM('Activity data'!AK50:AK65)*FracLEACH*MSLeachEF*NtoN2O*kgtoGg</f>
        <v>0.19896483348638816</v>
      </c>
      <c r="AL141" s="22">
        <f>SUM('Activity data'!AL50:AL65)*FracLEACH*MSLeachEF*NtoN2O*kgtoGg</f>
        <v>0.17853621307819045</v>
      </c>
      <c r="AM141" s="22">
        <f>SUM('Activity data'!AM50:AM65)*FracLEACH*MSLeachEF*NtoN2O*kgtoGg</f>
        <v>0.18035018831614485</v>
      </c>
      <c r="AN141" s="22">
        <f>SUM('Activity data'!AN50:AN65)*FracLEACH*MSLeachEF*NtoN2O*kgtoGg</f>
        <v>0.18218939278125329</v>
      </c>
      <c r="AO141" s="22">
        <f>SUM('Activity data'!AO50:AO65)*FracLEACH*MSLeachEF*NtoN2O*kgtoGg</f>
        <v>0.18443218325420119</v>
      </c>
      <c r="AP141" s="22">
        <f>SUM('Activity data'!AP50:AP65)*FracLEACH*MSLeachEF*NtoN2O*kgtoGg</f>
        <v>0.18692574425052597</v>
      </c>
      <c r="AQ141" s="22">
        <f>SUM('Activity data'!AQ50:AQ65)*FracLEACH*MSLeachEF*NtoN2O*kgtoGg</f>
        <v>0.1893272385372716</v>
      </c>
      <c r="AR141" s="22">
        <f>SUM('Activity data'!AR50:AR65)*FracLEACH*MSLeachEF*NtoN2O*kgtoGg</f>
        <v>0.19234585782237082</v>
      </c>
      <c r="AS141" s="22">
        <f>SUM('Activity data'!AS50:AS65)*FracLEACH*MSLeachEF*NtoN2O*kgtoGg</f>
        <v>0.19549520818882593</v>
      </c>
      <c r="AT141" s="22">
        <f>SUM('Activity data'!AT50:AT65)*FracLEACH*MSLeachEF*NtoN2O*kgtoGg</f>
        <v>0.19886556757291071</v>
      </c>
      <c r="AU141" s="22">
        <f>SUM('Activity data'!AU50:AU65)*FracLEACH*MSLeachEF*NtoN2O*kgtoGg</f>
        <v>0.20234825836093709</v>
      </c>
      <c r="AV141" s="22">
        <f>SUM('Activity data'!AV50:AV65)*FracLEACH*MSLeachEF*NtoN2O*kgtoGg</f>
        <v>0.2049391167223831</v>
      </c>
      <c r="AW141" s="22">
        <f>SUM('Activity data'!AW50:AW65)*FracLEACH*MSLeachEF*NtoN2O*kgtoGg</f>
        <v>0.20793684348150146</v>
      </c>
      <c r="AX141" s="22">
        <f>SUM('Activity data'!AX50:AX65)*FracLEACH*MSLeachEF*NtoN2O*kgtoGg</f>
        <v>0.21095749783299333</v>
      </c>
      <c r="AY141" s="22">
        <f>SUM('Activity data'!AY50:AY65)*FracLEACH*MSLeachEF*NtoN2O*kgtoGg</f>
        <v>0.21403442313935644</v>
      </c>
      <c r="AZ141" s="22">
        <f>SUM('Activity data'!AZ50:AZ65)*FracLEACH*MSLeachEF*NtoN2O*kgtoGg</f>
        <v>0.21678012916731815</v>
      </c>
      <c r="BA141" s="22">
        <f>SUM('Activity data'!BA50:BA65)*FracLEACH*MSLeachEF*NtoN2O*kgtoGg</f>
        <v>0.21973732658681022</v>
      </c>
      <c r="BB141" s="22">
        <f>SUM('Activity data'!BB50:BB65)*FracLEACH*MSLeachEF*NtoN2O*kgtoGg</f>
        <v>0.22290387400153977</v>
      </c>
      <c r="BC141" s="22">
        <f>SUM('Activity data'!BC50:BC65)*FracLEACH*MSLeachEF*NtoN2O*kgtoGg</f>
        <v>0.22617035134980321</v>
      </c>
      <c r="BD141" s="22">
        <f>SUM('Activity data'!BD50:BD65)*FracLEACH*MSLeachEF*NtoN2O*kgtoGg</f>
        <v>0.22926567978785622</v>
      </c>
      <c r="BE141" s="22">
        <f>SUM('Activity data'!BE50:BE65)*FracLEACH*MSLeachEF*NtoN2O*kgtoGg</f>
        <v>0.23245883525725411</v>
      </c>
      <c r="BF141" s="22">
        <f>SUM('Activity data'!BF50:BF65)*FracLEACH*MSLeachEF*NtoN2O*kgtoGg</f>
        <v>0.23590270997833684</v>
      </c>
      <c r="BG141" s="22">
        <f>SUM('Activity data'!BG50:BG65)*FracLEACH*MSLeachEF*NtoN2O*kgtoGg</f>
        <v>0.23995754684114998</v>
      </c>
      <c r="BH141" s="22">
        <f>SUM('Activity data'!BH50:BH65)*FracLEACH*MSLeachEF*NtoN2O*kgtoGg</f>
        <v>0.24417039063125448</v>
      </c>
      <c r="BI141" s="22">
        <f>SUM('Activity data'!BI50:BI65)*FracLEACH*MSLeachEF*NtoN2O*kgtoGg</f>
        <v>0.24854632846861785</v>
      </c>
      <c r="BJ141" s="22">
        <f>SUM('Activity data'!BJ50:BJ65)*FracLEACH*MSLeachEF*NtoN2O*kgtoGg</f>
        <v>0.25308172777254384</v>
      </c>
      <c r="BK141" s="22">
        <f>SUM('Activity data'!BK50:BK65)*FracLEACH*MSLeachEF*NtoN2O*kgtoGg</f>
        <v>0.25783174070132603</v>
      </c>
      <c r="BL141" s="22">
        <f>SUM('Activity data'!BL50:BL65)*FracLEACH*MSLeachEF*NtoN2O*kgtoGg</f>
        <v>0.26205579168142507</v>
      </c>
      <c r="BM141" s="22">
        <f>SUM('Activity data'!BM50:BM65)*FracLEACH*MSLeachEF*NtoN2O*kgtoGg</f>
        <v>0.26646464971887374</v>
      </c>
      <c r="BN141" s="22">
        <f>SUM('Activity data'!BN50:BN65)*FracLEACH*MSLeachEF*NtoN2O*kgtoGg</f>
        <v>0.27110710360085083</v>
      </c>
      <c r="BO141" s="22">
        <f>SUM('Activity data'!BO50:BO65)*FracLEACH*MSLeachEF*NtoN2O*kgtoGg</f>
        <v>0.27600444107257543</v>
      </c>
      <c r="BP141" s="22">
        <f>SUM('Activity data'!BP50:BP65)*FracLEACH*MSLeachEF*NtoN2O*kgtoGg</f>
        <v>0.28131640977442413</v>
      </c>
    </row>
    <row r="142" spans="1:68" x14ac:dyDescent="0.25">
      <c r="A142" t="str">
        <f t="shared" si="52"/>
        <v>3C Aggregated and non-CO2 emissions on land</v>
      </c>
      <c r="B142" t="str">
        <f t="shared" si="53"/>
        <v>3C5 Indirect N2O from managed soils (N2O)</v>
      </c>
      <c r="C142" t="str">
        <f t="shared" si="54"/>
        <v>Leaching/runoff</v>
      </c>
      <c r="D142" t="str">
        <f t="shared" si="51"/>
        <v xml:space="preserve"> - Urine &amp; dung</v>
      </c>
      <c r="E142" t="str">
        <f t="shared" si="46"/>
        <v>Leaching/runoff - Urine &amp; dung</v>
      </c>
      <c r="F142" t="str">
        <f t="shared" si="47"/>
        <v>N2O</v>
      </c>
      <c r="G142" t="str">
        <f t="shared" si="48"/>
        <v>Gg N2O</v>
      </c>
      <c r="H142" s="22">
        <f>SUM('Activity data'!H66:H81)*FracLEACHUD*MSLeachEF*NtoN2O*kgtoGg</f>
        <v>0</v>
      </c>
      <c r="I142" s="22">
        <f>SUM('Activity data'!I66:I81)*FracLEACHUD*MSLeachEF*NtoN2O*kgtoGg</f>
        <v>0</v>
      </c>
      <c r="J142" s="22">
        <f>SUM('Activity data'!J66:J81)*FracLEACHUD*MSLeachEF*NtoN2O*kgtoGg</f>
        <v>0</v>
      </c>
      <c r="K142" s="22">
        <f>SUM('Activity data'!K66:K81)*FracLEACHUD*MSLeachEF*NtoN2O*kgtoGg</f>
        <v>0</v>
      </c>
      <c r="L142" s="22">
        <f>SUM('Activity data'!L66:L81)*FracLEACHUD*MSLeachEF*NtoN2O*kgtoGg</f>
        <v>0</v>
      </c>
      <c r="M142" s="22">
        <f>SUM('Activity data'!M66:M81)*FracLEACHUD*MSLeachEF*NtoN2O*kgtoGg</f>
        <v>0</v>
      </c>
      <c r="N142" s="22">
        <f>SUM('Activity data'!N66:N81)*FracLEACHUD*MSLeachEF*NtoN2O*kgtoGg</f>
        <v>0</v>
      </c>
      <c r="O142" s="22">
        <f>SUM('Activity data'!O66:O81)*FracLEACHUD*MSLeachEF*NtoN2O*kgtoGg</f>
        <v>0</v>
      </c>
      <c r="P142" s="22">
        <f>SUM('Activity data'!P66:P81)*FracLEACHUD*MSLeachEF*NtoN2O*kgtoGg</f>
        <v>0</v>
      </c>
      <c r="Q142" s="22">
        <f>SUM('Activity data'!Q66:Q81)*FracLEACHUD*MSLeachEF*NtoN2O*kgtoGg</f>
        <v>0</v>
      </c>
      <c r="R142" s="22">
        <f>SUM('Activity data'!R66:R81)*FracLEACHUD*MSLeachEF*NtoN2O*kgtoGg</f>
        <v>0</v>
      </c>
      <c r="S142" s="22">
        <f>SUM('Activity data'!S66:S81)*FracLEACHUD*MSLeachEF*NtoN2O*kgtoGg</f>
        <v>0</v>
      </c>
      <c r="T142" s="22">
        <f>SUM('Activity data'!T66:T81)*FracLEACHUD*MSLeachEF*NtoN2O*kgtoGg</f>
        <v>0</v>
      </c>
      <c r="U142" s="22">
        <f>SUM('Activity data'!U66:U81)*FracLEACHUD*MSLeachEF*NtoN2O*kgtoGg</f>
        <v>0</v>
      </c>
      <c r="V142" s="22">
        <f>SUM('Activity data'!V66:V81)*FracLEACHUD*MSLeachEF*NtoN2O*kgtoGg</f>
        <v>0</v>
      </c>
      <c r="W142" s="22">
        <f>SUM('Activity data'!W66:W81)*FracLEACHUD*MSLeachEF*NtoN2O*kgtoGg</f>
        <v>0</v>
      </c>
      <c r="X142" s="22">
        <f>SUM('Activity data'!X66:X81)*FracLEACHUD*MSLeachEF*NtoN2O*kgtoGg</f>
        <v>0</v>
      </c>
      <c r="Y142" s="22">
        <f>SUM('Activity data'!Y66:Y81)*FracLEACHUD*MSLeachEF*NtoN2O*kgtoGg</f>
        <v>0</v>
      </c>
      <c r="Z142" s="22">
        <f>SUM('Activity data'!Z66:Z81)*FracLEACHUD*MSLeachEF*NtoN2O*kgtoGg</f>
        <v>0</v>
      </c>
      <c r="AA142" s="22">
        <f>SUM('Activity data'!AA66:AA81)*FracLEACHUD*MSLeachEF*NtoN2O*kgtoGg</f>
        <v>0</v>
      </c>
      <c r="AB142" s="22">
        <f>SUM('Activity data'!AB66:AB81)*FracLEACHUD*MSLeachEF*NtoN2O*kgtoGg</f>
        <v>0</v>
      </c>
      <c r="AC142" s="22">
        <f>SUM('Activity data'!AC66:AC81)*FracLEACHUD*MSLeachEF*NtoN2O*kgtoGg</f>
        <v>0</v>
      </c>
      <c r="AD142" s="22">
        <f>SUM('Activity data'!AD66:AD81)*FracLEACHUD*MSLeachEF*NtoN2O*kgtoGg</f>
        <v>0</v>
      </c>
      <c r="AE142" s="22">
        <f>SUM('Activity data'!AE66:AE81)*FracLEACHUD*MSLeachEF*NtoN2O*kgtoGg</f>
        <v>0</v>
      </c>
      <c r="AF142" s="22">
        <f>SUM('Activity data'!AF66:AF81)*FracLEACHUD*MSLeachEF*NtoN2O*kgtoGg</f>
        <v>0</v>
      </c>
      <c r="AG142" s="22">
        <f>SUM('Activity data'!AG66:AG81)*FracLEACHUD*MSLeachEF*NtoN2O*kgtoGg</f>
        <v>0</v>
      </c>
      <c r="AH142" s="22">
        <f>SUM('Activity data'!AH66:AH81)*FracLEACHUD*MSLeachEF*NtoN2O*kgtoGg</f>
        <v>0</v>
      </c>
      <c r="AI142" s="22">
        <f>SUM('Activity data'!AI66:AI81)*FracLEACHUD*MSLeachEF*NtoN2O*kgtoGg</f>
        <v>0</v>
      </c>
      <c r="AJ142" s="22">
        <f>SUM('Activity data'!AJ66:AJ81)*FracLEACHUD*MSLeachEF*NtoN2O*kgtoGg</f>
        <v>0</v>
      </c>
      <c r="AK142" s="22">
        <f>SUM('Activity data'!AK66:AK81)*FracLEACHUD*MSLeachEF*NtoN2O*kgtoGg</f>
        <v>0</v>
      </c>
      <c r="AL142" s="22">
        <f>SUM('Activity data'!AL66:AL81)*FracLEACHUD*MSLeachEF*NtoN2O*kgtoGg</f>
        <v>0</v>
      </c>
      <c r="AM142" s="22">
        <f>SUM('Activity data'!AM66:AM81)*FracLEACHUD*MSLeachEF*NtoN2O*kgtoGg</f>
        <v>0</v>
      </c>
      <c r="AN142" s="22">
        <f>SUM('Activity data'!AN66:AN81)*FracLEACHUD*MSLeachEF*NtoN2O*kgtoGg</f>
        <v>0</v>
      </c>
      <c r="AO142" s="22">
        <f>SUM('Activity data'!AO66:AO81)*FracLEACHUD*MSLeachEF*NtoN2O*kgtoGg</f>
        <v>0</v>
      </c>
      <c r="AP142" s="22">
        <f>SUM('Activity data'!AP66:AP81)*FracLEACHUD*MSLeachEF*NtoN2O*kgtoGg</f>
        <v>0</v>
      </c>
      <c r="AQ142" s="22">
        <f>SUM('Activity data'!AQ66:AQ81)*FracLEACHUD*MSLeachEF*NtoN2O*kgtoGg</f>
        <v>0</v>
      </c>
      <c r="AR142" s="22">
        <f>SUM('Activity data'!AR66:AR81)*FracLEACHUD*MSLeachEF*NtoN2O*kgtoGg</f>
        <v>0</v>
      </c>
      <c r="AS142" s="22">
        <f>SUM('Activity data'!AS66:AS81)*FracLEACHUD*MSLeachEF*NtoN2O*kgtoGg</f>
        <v>0</v>
      </c>
      <c r="AT142" s="22">
        <f>SUM('Activity data'!AT66:AT81)*FracLEACHUD*MSLeachEF*NtoN2O*kgtoGg</f>
        <v>0</v>
      </c>
      <c r="AU142" s="22">
        <f>SUM('Activity data'!AU66:AU81)*FracLEACHUD*MSLeachEF*NtoN2O*kgtoGg</f>
        <v>0</v>
      </c>
      <c r="AV142" s="22">
        <f>SUM('Activity data'!AV66:AV81)*FracLEACHUD*MSLeachEF*NtoN2O*kgtoGg</f>
        <v>0</v>
      </c>
      <c r="AW142" s="22">
        <f>SUM('Activity data'!AW66:AW81)*FracLEACHUD*MSLeachEF*NtoN2O*kgtoGg</f>
        <v>0</v>
      </c>
      <c r="AX142" s="22">
        <f>SUM('Activity data'!AX66:AX81)*FracLEACHUD*MSLeachEF*NtoN2O*kgtoGg</f>
        <v>0</v>
      </c>
      <c r="AY142" s="22">
        <f>SUM('Activity data'!AY66:AY81)*FracLEACHUD*MSLeachEF*NtoN2O*kgtoGg</f>
        <v>0</v>
      </c>
      <c r="AZ142" s="22">
        <f>SUM('Activity data'!AZ66:AZ81)*FracLEACHUD*MSLeachEF*NtoN2O*kgtoGg</f>
        <v>0</v>
      </c>
      <c r="BA142" s="22">
        <f>SUM('Activity data'!BA66:BA81)*FracLEACHUD*MSLeachEF*NtoN2O*kgtoGg</f>
        <v>0</v>
      </c>
      <c r="BB142" s="22">
        <f>SUM('Activity data'!BB66:BB81)*FracLEACHUD*MSLeachEF*NtoN2O*kgtoGg</f>
        <v>0</v>
      </c>
      <c r="BC142" s="22">
        <f>SUM('Activity data'!BC66:BC81)*FracLEACHUD*MSLeachEF*NtoN2O*kgtoGg</f>
        <v>0</v>
      </c>
      <c r="BD142" s="22">
        <f>SUM('Activity data'!BD66:BD81)*FracLEACHUD*MSLeachEF*NtoN2O*kgtoGg</f>
        <v>0</v>
      </c>
      <c r="BE142" s="22">
        <f>SUM('Activity data'!BE66:BE81)*FracLEACHUD*MSLeachEF*NtoN2O*kgtoGg</f>
        <v>0</v>
      </c>
      <c r="BF142" s="22">
        <f>SUM('Activity data'!BF66:BF81)*FracLEACHUD*MSLeachEF*NtoN2O*kgtoGg</f>
        <v>0</v>
      </c>
      <c r="BG142" s="22">
        <f>SUM('Activity data'!BG66:BG81)*FracLEACHUD*MSLeachEF*NtoN2O*kgtoGg</f>
        <v>0</v>
      </c>
      <c r="BH142" s="22">
        <f>SUM('Activity data'!BH66:BH81)*FracLEACHUD*MSLeachEF*NtoN2O*kgtoGg</f>
        <v>0</v>
      </c>
      <c r="BI142" s="22">
        <f>SUM('Activity data'!BI66:BI81)*FracLEACHUD*MSLeachEF*NtoN2O*kgtoGg</f>
        <v>0</v>
      </c>
      <c r="BJ142" s="22">
        <f>SUM('Activity data'!BJ66:BJ81)*FracLEACHUD*MSLeachEF*NtoN2O*kgtoGg</f>
        <v>0</v>
      </c>
      <c r="BK142" s="22">
        <f>SUM('Activity data'!BK66:BK81)*FracLEACHUD*MSLeachEF*NtoN2O*kgtoGg</f>
        <v>0</v>
      </c>
      <c r="BL142" s="22">
        <f>SUM('Activity data'!BL66:BL81)*FracLEACHUD*MSLeachEF*NtoN2O*kgtoGg</f>
        <v>0</v>
      </c>
      <c r="BM142" s="22">
        <f>SUM('Activity data'!BM66:BM81)*FracLEACHUD*MSLeachEF*NtoN2O*kgtoGg</f>
        <v>0</v>
      </c>
      <c r="BN142" s="22">
        <f>SUM('Activity data'!BN66:BN81)*FracLEACHUD*MSLeachEF*NtoN2O*kgtoGg</f>
        <v>0</v>
      </c>
      <c r="BO142" s="22">
        <f>SUM('Activity data'!BO66:BO81)*FracLEACHUD*MSLeachEF*NtoN2O*kgtoGg</f>
        <v>0</v>
      </c>
      <c r="BP142" s="22">
        <f>SUM('Activity data'!BP66:BP81)*FracLEACHUD*MSLeachEF*NtoN2O*kgtoGg</f>
        <v>0</v>
      </c>
    </row>
    <row r="143" spans="1:68" x14ac:dyDescent="0.25">
      <c r="A143" t="str">
        <f t="shared" si="52"/>
        <v>3C Aggregated and non-CO2 emissions on land</v>
      </c>
      <c r="B143" t="str">
        <f t="shared" si="53"/>
        <v>3C5 Indirect N2O from managed soils (N2O)</v>
      </c>
      <c r="C143" t="str">
        <f t="shared" si="54"/>
        <v>Leaching/runoff</v>
      </c>
      <c r="D143" t="s">
        <v>439</v>
      </c>
      <c r="E143" t="str">
        <f t="shared" si="46"/>
        <v>Leaching/runoff - crop residues</v>
      </c>
      <c r="F143" t="str">
        <f t="shared" si="47"/>
        <v>N2O</v>
      </c>
      <c r="G143" t="str">
        <f t="shared" si="48"/>
        <v>Gg N2O</v>
      </c>
      <c r="H143" s="22">
        <f>'Activity data'!H85*FracLEACH*MSLeachEF*NtoN2O*kgtoGg</f>
        <v>0.16412569165212873</v>
      </c>
      <c r="I143" s="22">
        <f>'Activity data'!I85*FracLEACH*MSLeachEF*NtoN2O*kgtoGg</f>
        <v>0.14629236044495902</v>
      </c>
      <c r="J143" s="22">
        <f>'Activity data'!J85*FracLEACH*MSLeachEF*NtoN2O*kgtoGg</f>
        <v>0.15233000670693667</v>
      </c>
      <c r="K143" s="22">
        <f>'Activity data'!K85*FracLEACH*MSLeachEF*NtoN2O*kgtoGg</f>
        <v>0.16359516489306206</v>
      </c>
      <c r="L143" s="22">
        <f>'Activity data'!L85*FracLEACH*MSLeachEF*NtoN2O*kgtoGg</f>
        <v>0.17253149252582983</v>
      </c>
      <c r="M143" s="22">
        <f>'Activity data'!M85*FracLEACH*MSLeachEF*NtoN2O*kgtoGg</f>
        <v>0.13417870850569094</v>
      </c>
      <c r="N143" s="22">
        <f>'Activity data'!N85*FracLEACH*MSLeachEF*NtoN2O*kgtoGg</f>
        <v>0.14779546367267218</v>
      </c>
      <c r="O143" s="22">
        <f>'Activity data'!O85*FracLEACH*MSLeachEF*NtoN2O*kgtoGg</f>
        <v>0.15542171795890092</v>
      </c>
      <c r="P143" s="22">
        <f>'Activity data'!P85*FracLEACH*MSLeachEF*NtoN2O*kgtoGg</f>
        <v>0.13543229781907784</v>
      </c>
      <c r="Q143" s="22">
        <f>'Activity data'!Q85*FracLEACH*MSLeachEF*NtoN2O*kgtoGg</f>
        <v>0.13439106702126277</v>
      </c>
      <c r="R143" s="22">
        <f>'Activity data'!R85*FracLEACH*MSLeachEF*NtoN2O*kgtoGg</f>
        <v>0.15425221852146853</v>
      </c>
      <c r="S143" s="22">
        <f>'Activity data'!S85*FracLEACH*MSLeachEF*NtoN2O*kgtoGg</f>
        <v>0.12599065258308942</v>
      </c>
      <c r="T143" s="22">
        <f>'Activity data'!T85*FracLEACH*MSLeachEF*NtoN2O*kgtoGg</f>
        <v>0.13741326722478148</v>
      </c>
      <c r="U143" s="22">
        <f>'Activity data'!U85*FracLEACH*MSLeachEF*NtoN2O*kgtoGg</f>
        <v>0.13559055667593309</v>
      </c>
      <c r="V143" s="22">
        <f>'Activity data'!V85*FracLEACH*MSLeachEF*NtoN2O*kgtoGg</f>
        <v>0.12124985168858403</v>
      </c>
      <c r="W143" s="22">
        <f>'Activity data'!W85*FracLEACH*MSLeachEF*NtoN2O*kgtoGg</f>
        <v>0.12315983905833512</v>
      </c>
      <c r="X143" s="22">
        <f>'Activity data'!X85*FracLEACH*MSLeachEF*NtoN2O*kgtoGg</f>
        <v>8.2811567421668675E-2</v>
      </c>
      <c r="Y143" s="22">
        <f>'Activity data'!Y85*FracLEACH*MSLeachEF*NtoN2O*kgtoGg</f>
        <v>0.11226257751117734</v>
      </c>
      <c r="Z143" s="22">
        <f>'Activity data'!Z85*FracLEACH*MSLeachEF*NtoN2O*kgtoGg</f>
        <v>0.12821404968861716</v>
      </c>
      <c r="AA143" s="22">
        <f>'Activity data'!AA85*FracLEACH*MSLeachEF*NtoN2O*kgtoGg</f>
        <v>0.11391912245887616</v>
      </c>
      <c r="AB143" s="22">
        <f>'Activity data'!AB85*FracLEACH*MSLeachEF*NtoN2O*kgtoGg</f>
        <v>0.12438309112763533</v>
      </c>
      <c r="AC143" s="22">
        <f>'Activity data'!AC85*FracLEACH*MSLeachEF*NtoN2O*kgtoGg</f>
        <v>0.11517216759812599</v>
      </c>
      <c r="AD143" s="22">
        <f>'Activity data'!AD85*FracLEACH*MSLeachEF*NtoN2O*kgtoGg</f>
        <v>0.10175116378121943</v>
      </c>
      <c r="AE143" s="22">
        <f>'Activity data'!AE85*FracLEACH*MSLeachEF*NtoN2O*kgtoGg</f>
        <v>0.10196649745709319</v>
      </c>
      <c r="AF143" s="22">
        <f>'Activity data'!AF85*FracLEACH*MSLeachEF*NtoN2O*kgtoGg</f>
        <v>0.1023366958663611</v>
      </c>
      <c r="AG143" s="22">
        <f>'Activity data'!AG85*FracLEACH*MSLeachEF*NtoN2O*kgtoGg</f>
        <v>0.10259157143562474</v>
      </c>
      <c r="AH143" s="22">
        <f>'Activity data'!AH85*FracLEACH*MSLeachEF*NtoN2O*kgtoGg</f>
        <v>0.10275392870234228</v>
      </c>
      <c r="AI143" s="22">
        <f>'Activity data'!AI85*FracLEACH*MSLeachEF*NtoN2O*kgtoGg</f>
        <v>0.10285636038137465</v>
      </c>
      <c r="AJ143" s="22">
        <f>'Activity data'!AJ85*FracLEACH*MSLeachEF*NtoN2O*kgtoGg</f>
        <v>0.10299942344940781</v>
      </c>
      <c r="AK143" s="22">
        <f>'Activity data'!AK85*FracLEACH*MSLeachEF*NtoN2O*kgtoGg</f>
        <v>0.10316642281972292</v>
      </c>
      <c r="AL143" s="22">
        <f>'Activity data'!AL85*FracLEACH*MSLeachEF*NtoN2O*kgtoGg</f>
        <v>0.10332602345014601</v>
      </c>
      <c r="AM143" s="22">
        <f>'Activity data'!AM85*FracLEACH*MSLeachEF*NtoN2O*kgtoGg</f>
        <v>0.10209832629571165</v>
      </c>
      <c r="AN143" s="22">
        <f>'Activity data'!AN85*FracLEACH*MSLeachEF*NtoN2O*kgtoGg</f>
        <v>0.10241683469836121</v>
      </c>
      <c r="AO143" s="22">
        <f>'Activity data'!AO85*FracLEACH*MSLeachEF*NtoN2O*kgtoGg</f>
        <v>0.10273395774231803</v>
      </c>
      <c r="AP143" s="22">
        <f>'Activity data'!AP85*FracLEACH*MSLeachEF*NtoN2O*kgtoGg</f>
        <v>0.10307839675478767</v>
      </c>
      <c r="AQ143" s="22">
        <f>'Activity data'!AQ85*FracLEACH*MSLeachEF*NtoN2O*kgtoGg</f>
        <v>0.10343877093359444</v>
      </c>
      <c r="AR143" s="22">
        <f>'Activity data'!AR85*FracLEACH*MSLeachEF*NtoN2O*kgtoGg</f>
        <v>0.10378937093103684</v>
      </c>
      <c r="AS143" s="22">
        <f>'Activity data'!AS85*FracLEACH*MSLeachEF*NtoN2O*kgtoGg</f>
        <v>0.10418305438436963</v>
      </c>
      <c r="AT143" s="22">
        <f>'Activity data'!AT85*FracLEACH*MSLeachEF*NtoN2O*kgtoGg</f>
        <v>0.1045832194715576</v>
      </c>
      <c r="AU143" s="22">
        <f>'Activity data'!AU85*FracLEACH*MSLeachEF*NtoN2O*kgtoGg</f>
        <v>0.1049963339140742</v>
      </c>
      <c r="AV143" s="22">
        <f>'Activity data'!AV85*FracLEACH*MSLeachEF*NtoN2O*kgtoGg</f>
        <v>0.10541423995011259</v>
      </c>
      <c r="AW143" s="22">
        <f>'Activity data'!AW85*FracLEACH*MSLeachEF*NtoN2O*kgtoGg</f>
        <v>0.10576464374273724</v>
      </c>
      <c r="AX143" s="22">
        <f>'Activity data'!AX85*FracLEACH*MSLeachEF*NtoN2O*kgtoGg</f>
        <v>0.10619301550597984</v>
      </c>
      <c r="AY143" s="22">
        <f>'Activity data'!AY85*FracLEACH*MSLeachEF*NtoN2O*kgtoGg</f>
        <v>0.10662162566497328</v>
      </c>
      <c r="AZ143" s="22">
        <f>'Activity data'!AZ85*FracLEACH*MSLeachEF*NtoN2O*kgtoGg</f>
        <v>0.10705284500810426</v>
      </c>
      <c r="BA143" s="22">
        <f>'Activity data'!BA85*FracLEACH*MSLeachEF*NtoN2O*kgtoGg</f>
        <v>0.10745938590746969</v>
      </c>
      <c r="BB143" s="22">
        <f>'Activity data'!BB85*FracLEACH*MSLeachEF*NtoN2O*kgtoGg</f>
        <v>0.10787965393391019</v>
      </c>
      <c r="BC143" s="22">
        <f>'Activity data'!BC85*FracLEACH*MSLeachEF*NtoN2O*kgtoGg</f>
        <v>0.10831327755194563</v>
      </c>
      <c r="BD143" s="22">
        <f>'Activity data'!BD85*FracLEACH*MSLeachEF*NtoN2O*kgtoGg</f>
        <v>0.10875244798783271</v>
      </c>
      <c r="BE143" s="22">
        <f>'Activity data'!BE85*FracLEACH*MSLeachEF*NtoN2O*kgtoGg</f>
        <v>0.10917846412623243</v>
      </c>
      <c r="BF143" s="22">
        <f>'Activity data'!BF85*FracLEACH*MSLeachEF*NtoN2O*kgtoGg</f>
        <v>0.10960992377625828</v>
      </c>
      <c r="BG143" s="22">
        <f>'Activity data'!BG85*FracLEACH*MSLeachEF*NtoN2O*kgtoGg</f>
        <v>0.11005706091938773</v>
      </c>
      <c r="BH143" s="22">
        <f>'Activity data'!BH85*FracLEACH*MSLeachEF*NtoN2O*kgtoGg</f>
        <v>0.11051395771753388</v>
      </c>
      <c r="BI143" s="22">
        <f>'Activity data'!BI85*FracLEACH*MSLeachEF*NtoN2O*kgtoGg</f>
        <v>0.11097836563980118</v>
      </c>
      <c r="BJ143" s="22">
        <f>'Activity data'!BJ85*FracLEACH*MSLeachEF*NtoN2O*kgtoGg</f>
        <v>0.11145033276059416</v>
      </c>
      <c r="BK143" s="22">
        <f>'Activity data'!BK85*FracLEACH*MSLeachEF*NtoN2O*kgtoGg</f>
        <v>0.11192932193151375</v>
      </c>
      <c r="BL143" s="22">
        <f>'Activity data'!BL85*FracLEACH*MSLeachEF*NtoN2O*kgtoGg</f>
        <v>0.11241855931146919</v>
      </c>
      <c r="BM143" s="22">
        <f>'Activity data'!BM85*FracLEACH*MSLeachEF*NtoN2O*kgtoGg</f>
        <v>0.11287083830832445</v>
      </c>
      <c r="BN143" s="22">
        <f>'Activity data'!BN85*FracLEACH*MSLeachEF*NtoN2O*kgtoGg</f>
        <v>0.1133317699299175</v>
      </c>
      <c r="BO143" s="22">
        <f>'Activity data'!BO85*FracLEACH*MSLeachEF*NtoN2O*kgtoGg</f>
        <v>0.11380404168382245</v>
      </c>
      <c r="BP143" s="22">
        <f>'Activity data'!BP85*FracLEACH*MSLeachEF*NtoN2O*kgtoGg</f>
        <v>0.11428850824224668</v>
      </c>
    </row>
    <row r="144" spans="1:68" x14ac:dyDescent="0.25">
      <c r="A144" t="str">
        <f t="shared" si="52"/>
        <v>3C Aggregated and non-CO2 emissions on land</v>
      </c>
      <c r="B144" t="str">
        <f>'IPCC Categories'!B78</f>
        <v>3C5 Indirect N2O from managed soils (N2O)</v>
      </c>
      <c r="C144" t="str">
        <f t="shared" si="54"/>
        <v>Leaching/runoff</v>
      </c>
      <c r="D144" t="str">
        <f>" - FSOM - "&amp;'Activity data'!D87</f>
        <v xml:space="preserve"> - FSOM - Forest remaining forest land</v>
      </c>
      <c r="E144" t="str">
        <f t="shared" ref="E144" si="55">C144&amp;D144</f>
        <v>Leaching/runoff - FSOM - Forest remaining forest land</v>
      </c>
      <c r="F144" t="str">
        <f t="shared" si="47"/>
        <v>N2O</v>
      </c>
      <c r="G144" t="str">
        <f t="shared" si="48"/>
        <v>Gg N2O</v>
      </c>
      <c r="H144" s="22" t="str">
        <f>IFERROR(('Activity data'!H87*(1/Constants!$H$135))*ttokg*FracLEACH*MSLeachEF*NtoN2O*kgtoGg,"NO")</f>
        <v>NO</v>
      </c>
      <c r="I144" s="22" t="str">
        <f>IFERROR(('Activity data'!I87*(1/Constants!$H$135))*ttokg*FracLEACH*MSLeachEF*NtoN2O*kgtoGg,"NO")</f>
        <v>NO</v>
      </c>
      <c r="J144" s="22" t="str">
        <f>IFERROR(('Activity data'!J87*(1/Constants!$H$135))*ttokg*FracLEACH*MSLeachEF*NtoN2O*kgtoGg,"NO")</f>
        <v>NO</v>
      </c>
      <c r="K144" s="22" t="str">
        <f>IFERROR(('Activity data'!K87*(1/Constants!$H$135))*ttokg*FracLEACH*MSLeachEF*NtoN2O*kgtoGg,"NO")</f>
        <v>NO</v>
      </c>
      <c r="L144" s="22" t="str">
        <f>IFERROR(('Activity data'!L87*(1/Constants!$H$135))*ttokg*FracLEACH*MSLeachEF*NtoN2O*kgtoGg,"NO")</f>
        <v>NO</v>
      </c>
      <c r="M144" s="22" t="str">
        <f>IFERROR(('Activity data'!M87*(1/Constants!$H$135))*ttokg*FracLEACH*MSLeachEF*NtoN2O*kgtoGg,"NO")</f>
        <v>NO</v>
      </c>
      <c r="N144" s="22" t="str">
        <f>IFERROR(('Activity data'!N87*(1/Constants!$H$135))*ttokg*FracLEACH*MSLeachEF*NtoN2O*kgtoGg,"NO")</f>
        <v>NO</v>
      </c>
      <c r="O144" s="22" t="str">
        <f>IFERROR(('Activity data'!O87*(1/Constants!$H$135))*ttokg*FracLEACH*MSLeachEF*NtoN2O*kgtoGg,"NO")</f>
        <v>NO</v>
      </c>
      <c r="P144" s="22" t="str">
        <f>IFERROR(('Activity data'!P87*(1/Constants!$H$135))*ttokg*FracLEACH*MSLeachEF*NtoN2O*kgtoGg,"NO")</f>
        <v>NO</v>
      </c>
      <c r="Q144" s="22" t="str">
        <f>IFERROR(('Activity data'!Q87*(1/Constants!$H$135))*ttokg*FracLEACH*MSLeachEF*NtoN2O*kgtoGg,"NO")</f>
        <v>NO</v>
      </c>
      <c r="R144" s="22" t="str">
        <f>IFERROR(('Activity data'!R87*(1/Constants!$H$135))*ttokg*FracLEACH*MSLeachEF*NtoN2O*kgtoGg,"NO")</f>
        <v>NO</v>
      </c>
      <c r="S144" s="22" t="str">
        <f>IFERROR(('Activity data'!S87*(1/Constants!$H$135))*ttokg*FracLEACH*MSLeachEF*NtoN2O*kgtoGg,"NO")</f>
        <v>NO</v>
      </c>
      <c r="T144" s="22" t="str">
        <f>IFERROR(('Activity data'!T87*(1/Constants!$H$135))*ttokg*FracLEACH*MSLeachEF*NtoN2O*kgtoGg,"NO")</f>
        <v>NO</v>
      </c>
      <c r="U144" s="22" t="str">
        <f>IFERROR(('Activity data'!U87*(1/Constants!$H$135))*ttokg*FracLEACH*MSLeachEF*NtoN2O*kgtoGg,"NO")</f>
        <v>NO</v>
      </c>
      <c r="V144" s="22" t="str">
        <f>IFERROR(('Activity data'!V87*(1/Constants!$H$135))*ttokg*FracLEACH*MSLeachEF*NtoN2O*kgtoGg,"NO")</f>
        <v>NO</v>
      </c>
      <c r="W144" s="22" t="str">
        <f>IFERROR(('Activity data'!W87*(1/Constants!$H$135))*ttokg*FracLEACH*MSLeachEF*NtoN2O*kgtoGg,"NO")</f>
        <v>NO</v>
      </c>
      <c r="X144" s="22" t="str">
        <f>IFERROR(('Activity data'!X87*(1/Constants!$H$135))*ttokg*FracLEACH*MSLeachEF*NtoN2O*kgtoGg,"NO")</f>
        <v>NO</v>
      </c>
      <c r="Y144" s="22" t="str">
        <f>IFERROR(('Activity data'!Y87*(1/Constants!$H$135))*ttokg*FracLEACH*MSLeachEF*NtoN2O*kgtoGg,"NO")</f>
        <v>NO</v>
      </c>
      <c r="Z144" s="22" t="str">
        <f>IFERROR(('Activity data'!Z87*(1/Constants!$H$135))*ttokg*FracLEACH*MSLeachEF*NtoN2O*kgtoGg,"NO")</f>
        <v>NO</v>
      </c>
      <c r="AA144" s="22" t="str">
        <f>IFERROR(('Activity data'!AA87*(1/Constants!$H$135))*ttokg*FracLEACH*MSLeachEF*NtoN2O*kgtoGg,"NO")</f>
        <v>NO</v>
      </c>
      <c r="AB144" s="22" t="str">
        <f>IFERROR(('Activity data'!AB87*(1/Constants!$H$135))*ttokg*FracLEACH*MSLeachEF*NtoN2O*kgtoGg,"NO")</f>
        <v>NO</v>
      </c>
      <c r="AC144" s="22" t="str">
        <f>IFERROR(('Activity data'!AC87*(1/Constants!$H$135))*ttokg*FracLEACH*MSLeachEF*NtoN2O*kgtoGg,"NO")</f>
        <v>NO</v>
      </c>
      <c r="AD144" s="22" t="str">
        <f>IFERROR(('Activity data'!AD87*(1/Constants!$H$135))*ttokg*FracLEACH*MSLeachEF*NtoN2O*kgtoGg,"NO")</f>
        <v>NO</v>
      </c>
      <c r="AE144" s="22" t="str">
        <f>IFERROR(('Activity data'!AE87*(1/Constants!$H$135))*ttokg*FracLEACH*MSLeachEF*NtoN2O*kgtoGg,"NO")</f>
        <v>NO</v>
      </c>
      <c r="AF144" s="22" t="str">
        <f>IFERROR(('Activity data'!AF87*(1/Constants!$H$135))*ttokg*FracLEACH*MSLeachEF*NtoN2O*kgtoGg,"NO")</f>
        <v>NO</v>
      </c>
      <c r="AG144" s="22" t="str">
        <f>IFERROR(('Activity data'!AG87*(1/Constants!$H$135))*ttokg*FracLEACH*MSLeachEF*NtoN2O*kgtoGg,"NO")</f>
        <v>NO</v>
      </c>
      <c r="AH144" s="22" t="str">
        <f>IFERROR(('Activity data'!AH87*(1/Constants!$H$135))*ttokg*FracLEACH*MSLeachEF*NtoN2O*kgtoGg,"NO")</f>
        <v>NO</v>
      </c>
      <c r="AI144" s="22" t="str">
        <f>IFERROR(('Activity data'!AI87*(1/Constants!$H$135))*ttokg*FracLEACH*MSLeachEF*NtoN2O*kgtoGg,"NO")</f>
        <v>NO</v>
      </c>
      <c r="AJ144" s="22" t="str">
        <f>IFERROR(('Activity data'!AJ87*(1/Constants!$H$135))*ttokg*FracLEACH*MSLeachEF*NtoN2O*kgtoGg,"NO")</f>
        <v>NO</v>
      </c>
      <c r="AK144" s="22" t="str">
        <f>IFERROR(('Activity data'!AK87*(1/Constants!$H$135))*ttokg*FracLEACH*MSLeachEF*NtoN2O*kgtoGg,"NO")</f>
        <v>NO</v>
      </c>
      <c r="AL144" s="22" t="str">
        <f>IFERROR(('Activity data'!AL87*(1/Constants!$H$135))*ttokg*FracLEACH*MSLeachEF*NtoN2O*kgtoGg,"NO")</f>
        <v>NO</v>
      </c>
      <c r="AM144" s="22" t="str">
        <f>IFERROR(('Activity data'!AM87*(1/Constants!$H$135))*ttokg*FracLEACH*MSLeachEF*NtoN2O*kgtoGg,"NO")</f>
        <v>NO</v>
      </c>
      <c r="AN144" s="22" t="str">
        <f>IFERROR(('Activity data'!AN87*(1/Constants!$H$135))*ttokg*FracLEACH*MSLeachEF*NtoN2O*kgtoGg,"NO")</f>
        <v>NO</v>
      </c>
      <c r="AO144" s="22" t="str">
        <f>IFERROR(('Activity data'!AO87*(1/Constants!$H$135))*ttokg*FracLEACH*MSLeachEF*NtoN2O*kgtoGg,"NO")</f>
        <v>NO</v>
      </c>
      <c r="AP144" s="22" t="str">
        <f>IFERROR(('Activity data'!AP87*(1/Constants!$H$135))*ttokg*FracLEACH*MSLeachEF*NtoN2O*kgtoGg,"NO")</f>
        <v>NO</v>
      </c>
      <c r="AQ144" s="22" t="str">
        <f>IFERROR(('Activity data'!AQ87*(1/Constants!$H$135))*ttokg*FracLEACH*MSLeachEF*NtoN2O*kgtoGg,"NO")</f>
        <v>NO</v>
      </c>
      <c r="AR144" s="22" t="str">
        <f>IFERROR(('Activity data'!AR87*(1/Constants!$H$135))*ttokg*FracLEACH*MSLeachEF*NtoN2O*kgtoGg,"NO")</f>
        <v>NO</v>
      </c>
      <c r="AS144" s="22" t="str">
        <f>IFERROR(('Activity data'!AS87*(1/Constants!$H$135))*ttokg*FracLEACH*MSLeachEF*NtoN2O*kgtoGg,"NO")</f>
        <v>NO</v>
      </c>
      <c r="AT144" s="22" t="str">
        <f>IFERROR(('Activity data'!AT87*(1/Constants!$H$135))*ttokg*FracLEACH*MSLeachEF*NtoN2O*kgtoGg,"NO")</f>
        <v>NO</v>
      </c>
      <c r="AU144" s="22" t="str">
        <f>IFERROR(('Activity data'!AU87*(1/Constants!$H$135))*ttokg*FracLEACH*MSLeachEF*NtoN2O*kgtoGg,"NO")</f>
        <v>NO</v>
      </c>
      <c r="AV144" s="22" t="str">
        <f>IFERROR(('Activity data'!AV87*(1/Constants!$H$135))*ttokg*FracLEACH*MSLeachEF*NtoN2O*kgtoGg,"NO")</f>
        <v>NO</v>
      </c>
      <c r="AW144" s="22" t="str">
        <f>IFERROR(('Activity data'!AW87*(1/Constants!$H$135))*ttokg*FracLEACH*MSLeachEF*NtoN2O*kgtoGg,"NO")</f>
        <v>NO</v>
      </c>
      <c r="AX144" s="22" t="str">
        <f>IFERROR(('Activity data'!AX87*(1/Constants!$H$135))*ttokg*FracLEACH*MSLeachEF*NtoN2O*kgtoGg,"NO")</f>
        <v>NO</v>
      </c>
      <c r="AY144" s="22" t="str">
        <f>IFERROR(('Activity data'!AY87*(1/Constants!$H$135))*ttokg*FracLEACH*MSLeachEF*NtoN2O*kgtoGg,"NO")</f>
        <v>NO</v>
      </c>
      <c r="AZ144" s="22" t="str">
        <f>IFERROR(('Activity data'!AZ87*(1/Constants!$H$135))*ttokg*FracLEACH*MSLeachEF*NtoN2O*kgtoGg,"NO")</f>
        <v>NO</v>
      </c>
      <c r="BA144" s="22" t="str">
        <f>IFERROR(('Activity data'!BA87*(1/Constants!$H$135))*ttokg*FracLEACH*MSLeachEF*NtoN2O*kgtoGg,"NO")</f>
        <v>NO</v>
      </c>
      <c r="BB144" s="22" t="str">
        <f>IFERROR(('Activity data'!BB87*(1/Constants!$H$135))*ttokg*FracLEACH*MSLeachEF*NtoN2O*kgtoGg,"NO")</f>
        <v>NO</v>
      </c>
      <c r="BC144" s="22" t="str">
        <f>IFERROR(('Activity data'!BC87*(1/Constants!$H$135))*ttokg*FracLEACH*MSLeachEF*NtoN2O*kgtoGg,"NO")</f>
        <v>NO</v>
      </c>
      <c r="BD144" s="22" t="str">
        <f>IFERROR(('Activity data'!BD87*(1/Constants!$H$135))*ttokg*FracLEACH*MSLeachEF*NtoN2O*kgtoGg,"NO")</f>
        <v>NO</v>
      </c>
      <c r="BE144" s="22" t="str">
        <f>IFERROR(('Activity data'!BE87*(1/Constants!$H$135))*ttokg*FracLEACH*MSLeachEF*NtoN2O*kgtoGg,"NO")</f>
        <v>NO</v>
      </c>
      <c r="BF144" s="22" t="str">
        <f>IFERROR(('Activity data'!BF87*(1/Constants!$H$135))*ttokg*FracLEACH*MSLeachEF*NtoN2O*kgtoGg,"NO")</f>
        <v>NO</v>
      </c>
      <c r="BG144" s="22" t="str">
        <f>IFERROR(('Activity data'!BG87*(1/Constants!$H$135))*ttokg*FracLEACH*MSLeachEF*NtoN2O*kgtoGg,"NO")</f>
        <v>NO</v>
      </c>
      <c r="BH144" s="22" t="str">
        <f>IFERROR(('Activity data'!BH87*(1/Constants!$H$135))*ttokg*FracLEACH*MSLeachEF*NtoN2O*kgtoGg,"NO")</f>
        <v>NO</v>
      </c>
      <c r="BI144" s="22" t="str">
        <f>IFERROR(('Activity data'!BI87*(1/Constants!$H$135))*ttokg*FracLEACH*MSLeachEF*NtoN2O*kgtoGg,"NO")</f>
        <v>NO</v>
      </c>
      <c r="BJ144" s="22" t="str">
        <f>IFERROR(('Activity data'!BJ87*(1/Constants!$H$135))*ttokg*FracLEACH*MSLeachEF*NtoN2O*kgtoGg,"NO")</f>
        <v>NO</v>
      </c>
      <c r="BK144" s="22" t="str">
        <f>IFERROR(('Activity data'!BK87*(1/Constants!$H$135))*ttokg*FracLEACH*MSLeachEF*NtoN2O*kgtoGg,"NO")</f>
        <v>NO</v>
      </c>
      <c r="BL144" s="22" t="str">
        <f>IFERROR(('Activity data'!BL87*(1/Constants!$H$135))*ttokg*FracLEACH*MSLeachEF*NtoN2O*kgtoGg,"NO")</f>
        <v>NO</v>
      </c>
      <c r="BM144" s="22" t="str">
        <f>IFERROR(('Activity data'!BM87*(1/Constants!$H$135))*ttokg*FracLEACH*MSLeachEF*NtoN2O*kgtoGg,"NO")</f>
        <v>NO</v>
      </c>
      <c r="BN144" s="22" t="str">
        <f>IFERROR(('Activity data'!BN87*(1/Constants!$H$135))*ttokg*FracLEACH*MSLeachEF*NtoN2O*kgtoGg,"NO")</f>
        <v>NO</v>
      </c>
      <c r="BO144" s="22" t="str">
        <f>IFERROR(('Activity data'!BO87*(1/Constants!$H$135))*ttokg*FracLEACH*MSLeachEF*NtoN2O*kgtoGg,"NO")</f>
        <v>NO</v>
      </c>
      <c r="BP144" s="22" t="str">
        <f>IFERROR(('Activity data'!BP87*(1/Constants!$H$135))*ttokg*FracLEACH*MSLeachEF*NtoN2O*kgtoGg,"NO")</f>
        <v>NO</v>
      </c>
    </row>
    <row r="145" spans="1:68" x14ac:dyDescent="0.25">
      <c r="A145" t="str">
        <f>A144</f>
        <v>3C Aggregated and non-CO2 emissions on land</v>
      </c>
      <c r="B145" t="str">
        <f t="shared" ref="B145" si="56">B144</f>
        <v>3C5 Indirect N2O from managed soils (N2O)</v>
      </c>
      <c r="C145" t="str">
        <f t="shared" si="54"/>
        <v>Leaching/runoff</v>
      </c>
      <c r="D145" t="str">
        <f>" - FSOM - "&amp;'Activity data'!D88</f>
        <v xml:space="preserve"> - FSOM - Land converted to forest land</v>
      </c>
      <c r="E145" t="str">
        <f t="shared" ref="E145" si="57">C145&amp;D145</f>
        <v>Leaching/runoff - FSOM - Land converted to forest land</v>
      </c>
      <c r="F145" t="str">
        <f t="shared" si="47"/>
        <v>N2O</v>
      </c>
      <c r="G145" t="str">
        <f t="shared" si="48"/>
        <v>Gg N2O</v>
      </c>
      <c r="H145" s="22" t="str">
        <f>IFERROR(('Activity data'!H88*(1/Constants!$H$135))*ttokg*FracLEACH*MSLeachEF*NtoN2O*kgtoGg,"NO")</f>
        <v>NO</v>
      </c>
      <c r="I145" s="22" t="str">
        <f>IFERROR(('Activity data'!I88*(1/Constants!$H$135))*ttokg*FracLEACH*MSLeachEF*NtoN2O*kgtoGg,"NO")</f>
        <v>NO</v>
      </c>
      <c r="J145" s="22" t="str">
        <f>IFERROR(('Activity data'!J88*(1/Constants!$H$135))*ttokg*FracLEACH*MSLeachEF*NtoN2O*kgtoGg,"NO")</f>
        <v>NO</v>
      </c>
      <c r="K145" s="22" t="str">
        <f>IFERROR(('Activity data'!K88*(1/Constants!$H$135))*ttokg*FracLEACH*MSLeachEF*NtoN2O*kgtoGg,"NO")</f>
        <v>NO</v>
      </c>
      <c r="L145" s="22" t="str">
        <f>IFERROR(('Activity data'!L88*(1/Constants!$H$135))*ttokg*FracLEACH*MSLeachEF*NtoN2O*kgtoGg,"NO")</f>
        <v>NO</v>
      </c>
      <c r="M145" s="22" t="str">
        <f>IFERROR(('Activity data'!M88*(1/Constants!$H$135))*ttokg*FracLEACH*MSLeachEF*NtoN2O*kgtoGg,"NO")</f>
        <v>NO</v>
      </c>
      <c r="N145" s="22" t="str">
        <f>IFERROR(('Activity data'!N88*(1/Constants!$H$135))*ttokg*FracLEACH*MSLeachEF*NtoN2O*kgtoGg,"NO")</f>
        <v>NO</v>
      </c>
      <c r="O145" s="22" t="str">
        <f>IFERROR(('Activity data'!O88*(1/Constants!$H$135))*ttokg*FracLEACH*MSLeachEF*NtoN2O*kgtoGg,"NO")</f>
        <v>NO</v>
      </c>
      <c r="P145" s="22" t="str">
        <f>IFERROR(('Activity data'!P88*(1/Constants!$H$135))*ttokg*FracLEACH*MSLeachEF*NtoN2O*kgtoGg,"NO")</f>
        <v>NO</v>
      </c>
      <c r="Q145" s="22" t="str">
        <f>IFERROR(('Activity data'!Q88*(1/Constants!$H$135))*ttokg*FracLEACH*MSLeachEF*NtoN2O*kgtoGg,"NO")</f>
        <v>NO</v>
      </c>
      <c r="R145" s="22" t="str">
        <f>IFERROR(('Activity data'!R88*(1/Constants!$H$135))*ttokg*FracLEACH*MSLeachEF*NtoN2O*kgtoGg,"NO")</f>
        <v>NO</v>
      </c>
      <c r="S145" s="22" t="str">
        <f>IFERROR(('Activity data'!S88*(1/Constants!$H$135))*ttokg*FracLEACH*MSLeachEF*NtoN2O*kgtoGg,"NO")</f>
        <v>NO</v>
      </c>
      <c r="T145" s="22" t="str">
        <f>IFERROR(('Activity data'!T88*(1/Constants!$H$135))*ttokg*FracLEACH*MSLeachEF*NtoN2O*kgtoGg,"NO")</f>
        <v>NO</v>
      </c>
      <c r="U145" s="22" t="str">
        <f>IFERROR(('Activity data'!U88*(1/Constants!$H$135))*ttokg*FracLEACH*MSLeachEF*NtoN2O*kgtoGg,"NO")</f>
        <v>NO</v>
      </c>
      <c r="V145" s="22" t="str">
        <f>IFERROR(('Activity data'!V88*(1/Constants!$H$135))*ttokg*FracLEACH*MSLeachEF*NtoN2O*kgtoGg,"NO")</f>
        <v>NO</v>
      </c>
      <c r="W145" s="22" t="str">
        <f>IFERROR(('Activity data'!W88*(1/Constants!$H$135))*ttokg*FracLEACH*MSLeachEF*NtoN2O*kgtoGg,"NO")</f>
        <v>NO</v>
      </c>
      <c r="X145" s="22" t="str">
        <f>IFERROR(('Activity data'!X88*(1/Constants!$H$135))*ttokg*FracLEACH*MSLeachEF*NtoN2O*kgtoGg,"NO")</f>
        <v>NO</v>
      </c>
      <c r="Y145" s="22" t="str">
        <f>IFERROR(('Activity data'!Y88*(1/Constants!$H$135))*ttokg*FracLEACH*MSLeachEF*NtoN2O*kgtoGg,"NO")</f>
        <v>NO</v>
      </c>
      <c r="Z145" s="22" t="str">
        <f>IFERROR(('Activity data'!Z88*(1/Constants!$H$135))*ttokg*FracLEACH*MSLeachEF*NtoN2O*kgtoGg,"NO")</f>
        <v>NO</v>
      </c>
      <c r="AA145" s="22" t="str">
        <f>IFERROR(('Activity data'!AA88*(1/Constants!$H$135))*ttokg*FracLEACH*MSLeachEF*NtoN2O*kgtoGg,"NO")</f>
        <v>NO</v>
      </c>
      <c r="AB145" s="22" t="str">
        <f>IFERROR(('Activity data'!AB88*(1/Constants!$H$135))*ttokg*FracLEACH*MSLeachEF*NtoN2O*kgtoGg,"NO")</f>
        <v>NO</v>
      </c>
      <c r="AC145" s="22" t="str">
        <f>IFERROR(('Activity data'!AC88*(1/Constants!$H$135))*ttokg*FracLEACH*MSLeachEF*NtoN2O*kgtoGg,"NO")</f>
        <v>NO</v>
      </c>
      <c r="AD145" s="22" t="str">
        <f>IFERROR(('Activity data'!AD88*(1/Constants!$H$135))*ttokg*FracLEACH*MSLeachEF*NtoN2O*kgtoGg,"NO")</f>
        <v>NO</v>
      </c>
      <c r="AE145" s="22" t="str">
        <f>IFERROR(('Activity data'!AE88*(1/Constants!$H$135))*ttokg*FracLEACH*MSLeachEF*NtoN2O*kgtoGg,"NO")</f>
        <v>NO</v>
      </c>
      <c r="AF145" s="22" t="str">
        <f>IFERROR(('Activity data'!AF88*(1/Constants!$H$135))*ttokg*FracLEACH*MSLeachEF*NtoN2O*kgtoGg,"NO")</f>
        <v>NO</v>
      </c>
      <c r="AG145" s="22" t="str">
        <f>IFERROR(('Activity data'!AG88*(1/Constants!$H$135))*ttokg*FracLEACH*MSLeachEF*NtoN2O*kgtoGg,"NO")</f>
        <v>NO</v>
      </c>
      <c r="AH145" s="22" t="str">
        <f>IFERROR(('Activity data'!AH88*(1/Constants!$H$135))*ttokg*FracLEACH*MSLeachEF*NtoN2O*kgtoGg,"NO")</f>
        <v>NO</v>
      </c>
      <c r="AI145" s="22" t="str">
        <f>IFERROR(('Activity data'!AI88*(1/Constants!$H$135))*ttokg*FracLEACH*MSLeachEF*NtoN2O*kgtoGg,"NO")</f>
        <v>NO</v>
      </c>
      <c r="AJ145" s="22" t="str">
        <f>IFERROR(('Activity data'!AJ88*(1/Constants!$H$135))*ttokg*FracLEACH*MSLeachEF*NtoN2O*kgtoGg,"NO")</f>
        <v>NO</v>
      </c>
      <c r="AK145" s="22" t="str">
        <f>IFERROR(('Activity data'!AK88*(1/Constants!$H$135))*ttokg*FracLEACH*MSLeachEF*NtoN2O*kgtoGg,"NO")</f>
        <v>NO</v>
      </c>
      <c r="AL145" s="22" t="str">
        <f>IFERROR(('Activity data'!AL88*(1/Constants!$H$135))*ttokg*FracLEACH*MSLeachEF*NtoN2O*kgtoGg,"NO")</f>
        <v>NO</v>
      </c>
      <c r="AM145" s="22" t="str">
        <f>IFERROR(('Activity data'!AM88*(1/Constants!$H$135))*ttokg*FracLEACH*MSLeachEF*NtoN2O*kgtoGg,"NO")</f>
        <v>NO</v>
      </c>
      <c r="AN145" s="22" t="str">
        <f>IFERROR(('Activity data'!AN88*(1/Constants!$H$135))*ttokg*FracLEACH*MSLeachEF*NtoN2O*kgtoGg,"NO")</f>
        <v>NO</v>
      </c>
      <c r="AO145" s="22" t="str">
        <f>IFERROR(('Activity data'!AO88*(1/Constants!$H$135))*ttokg*FracLEACH*MSLeachEF*NtoN2O*kgtoGg,"NO")</f>
        <v>NO</v>
      </c>
      <c r="AP145" s="22" t="str">
        <f>IFERROR(('Activity data'!AP88*(1/Constants!$H$135))*ttokg*FracLEACH*MSLeachEF*NtoN2O*kgtoGg,"NO")</f>
        <v>NO</v>
      </c>
      <c r="AQ145" s="22" t="str">
        <f>IFERROR(('Activity data'!AQ88*(1/Constants!$H$135))*ttokg*FracLEACH*MSLeachEF*NtoN2O*kgtoGg,"NO")</f>
        <v>NO</v>
      </c>
      <c r="AR145" s="22" t="str">
        <f>IFERROR(('Activity data'!AR88*(1/Constants!$H$135))*ttokg*FracLEACH*MSLeachEF*NtoN2O*kgtoGg,"NO")</f>
        <v>NO</v>
      </c>
      <c r="AS145" s="22" t="str">
        <f>IFERROR(('Activity data'!AS88*(1/Constants!$H$135))*ttokg*FracLEACH*MSLeachEF*NtoN2O*kgtoGg,"NO")</f>
        <v>NO</v>
      </c>
      <c r="AT145" s="22" t="str">
        <f>IFERROR(('Activity data'!AT88*(1/Constants!$H$135))*ttokg*FracLEACH*MSLeachEF*NtoN2O*kgtoGg,"NO")</f>
        <v>NO</v>
      </c>
      <c r="AU145" s="22" t="str">
        <f>IFERROR(('Activity data'!AU88*(1/Constants!$H$135))*ttokg*FracLEACH*MSLeachEF*NtoN2O*kgtoGg,"NO")</f>
        <v>NO</v>
      </c>
      <c r="AV145" s="22" t="str">
        <f>IFERROR(('Activity data'!AV88*(1/Constants!$H$135))*ttokg*FracLEACH*MSLeachEF*NtoN2O*kgtoGg,"NO")</f>
        <v>NO</v>
      </c>
      <c r="AW145" s="22" t="str">
        <f>IFERROR(('Activity data'!AW88*(1/Constants!$H$135))*ttokg*FracLEACH*MSLeachEF*NtoN2O*kgtoGg,"NO")</f>
        <v>NO</v>
      </c>
      <c r="AX145" s="22" t="str">
        <f>IFERROR(('Activity data'!AX88*(1/Constants!$H$135))*ttokg*FracLEACH*MSLeachEF*NtoN2O*kgtoGg,"NO")</f>
        <v>NO</v>
      </c>
      <c r="AY145" s="22" t="str">
        <f>IFERROR(('Activity data'!AY88*(1/Constants!$H$135))*ttokg*FracLEACH*MSLeachEF*NtoN2O*kgtoGg,"NO")</f>
        <v>NO</v>
      </c>
      <c r="AZ145" s="22" t="str">
        <f>IFERROR(('Activity data'!AZ88*(1/Constants!$H$135))*ttokg*FracLEACH*MSLeachEF*NtoN2O*kgtoGg,"NO")</f>
        <v>NO</v>
      </c>
      <c r="BA145" s="22" t="str">
        <f>IFERROR(('Activity data'!BA88*(1/Constants!$H$135))*ttokg*FracLEACH*MSLeachEF*NtoN2O*kgtoGg,"NO")</f>
        <v>NO</v>
      </c>
      <c r="BB145" s="22" t="str">
        <f>IFERROR(('Activity data'!BB88*(1/Constants!$H$135))*ttokg*FracLEACH*MSLeachEF*NtoN2O*kgtoGg,"NO")</f>
        <v>NO</v>
      </c>
      <c r="BC145" s="22" t="str">
        <f>IFERROR(('Activity data'!BC88*(1/Constants!$H$135))*ttokg*FracLEACH*MSLeachEF*NtoN2O*kgtoGg,"NO")</f>
        <v>NO</v>
      </c>
      <c r="BD145" s="22" t="str">
        <f>IFERROR(('Activity data'!BD88*(1/Constants!$H$135))*ttokg*FracLEACH*MSLeachEF*NtoN2O*kgtoGg,"NO")</f>
        <v>NO</v>
      </c>
      <c r="BE145" s="22" t="str">
        <f>IFERROR(('Activity data'!BE88*(1/Constants!$H$135))*ttokg*FracLEACH*MSLeachEF*NtoN2O*kgtoGg,"NO")</f>
        <v>NO</v>
      </c>
      <c r="BF145" s="22" t="str">
        <f>IFERROR(('Activity data'!BF88*(1/Constants!$H$135))*ttokg*FracLEACH*MSLeachEF*NtoN2O*kgtoGg,"NO")</f>
        <v>NO</v>
      </c>
      <c r="BG145" s="22" t="str">
        <f>IFERROR(('Activity data'!BG88*(1/Constants!$H$135))*ttokg*FracLEACH*MSLeachEF*NtoN2O*kgtoGg,"NO")</f>
        <v>NO</v>
      </c>
      <c r="BH145" s="22" t="str">
        <f>IFERROR(('Activity data'!BH88*(1/Constants!$H$135))*ttokg*FracLEACH*MSLeachEF*NtoN2O*kgtoGg,"NO")</f>
        <v>NO</v>
      </c>
      <c r="BI145" s="22" t="str">
        <f>IFERROR(('Activity data'!BI88*(1/Constants!$H$135))*ttokg*FracLEACH*MSLeachEF*NtoN2O*kgtoGg,"NO")</f>
        <v>NO</v>
      </c>
      <c r="BJ145" s="22" t="str">
        <f>IFERROR(('Activity data'!BJ88*(1/Constants!$H$135))*ttokg*FracLEACH*MSLeachEF*NtoN2O*kgtoGg,"NO")</f>
        <v>NO</v>
      </c>
      <c r="BK145" s="22" t="str">
        <f>IFERROR(('Activity data'!BK88*(1/Constants!$H$135))*ttokg*FracLEACH*MSLeachEF*NtoN2O*kgtoGg,"NO")</f>
        <v>NO</v>
      </c>
      <c r="BL145" s="22" t="str">
        <f>IFERROR(('Activity data'!BL88*(1/Constants!$H$135))*ttokg*FracLEACH*MSLeachEF*NtoN2O*kgtoGg,"NO")</f>
        <v>NO</v>
      </c>
      <c r="BM145" s="22" t="str">
        <f>IFERROR(('Activity data'!BM88*(1/Constants!$H$135))*ttokg*FracLEACH*MSLeachEF*NtoN2O*kgtoGg,"NO")</f>
        <v>NO</v>
      </c>
      <c r="BN145" s="22" t="str">
        <f>IFERROR(('Activity data'!BN88*(1/Constants!$H$135))*ttokg*FracLEACH*MSLeachEF*NtoN2O*kgtoGg,"NO")</f>
        <v>NO</v>
      </c>
      <c r="BO145" s="22" t="str">
        <f>IFERROR(('Activity data'!BO88*(1/Constants!$H$135))*ttokg*FracLEACH*MSLeachEF*NtoN2O*kgtoGg,"NO")</f>
        <v>NO</v>
      </c>
      <c r="BP145" s="22" t="str">
        <f>IFERROR(('Activity data'!BP88*(1/Constants!$H$135))*ttokg*FracLEACH*MSLeachEF*NtoN2O*kgtoGg,"NO")</f>
        <v>NO</v>
      </c>
    </row>
    <row r="146" spans="1:68" x14ac:dyDescent="0.25">
      <c r="A146" t="str">
        <f t="shared" ref="A146:A187" si="58">A145</f>
        <v>3C Aggregated and non-CO2 emissions on land</v>
      </c>
      <c r="B146" t="str">
        <f t="shared" ref="B146:B155" si="59">B145</f>
        <v>3C5 Indirect N2O from managed soils (N2O)</v>
      </c>
      <c r="C146" t="str">
        <f t="shared" si="54"/>
        <v>Leaching/runoff</v>
      </c>
      <c r="D146" t="str">
        <f>" - FSOM - "&amp;'Activity data'!D89</f>
        <v xml:space="preserve"> - FSOM - Cropland remaining cropland</v>
      </c>
      <c r="E146" t="str">
        <f t="shared" ref="E146:E155" si="60">C146&amp;D146</f>
        <v>Leaching/runoff - FSOM - Cropland remaining cropland</v>
      </c>
      <c r="F146" t="str">
        <f t="shared" si="47"/>
        <v>N2O</v>
      </c>
      <c r="G146" t="str">
        <f t="shared" si="48"/>
        <v>Gg N2O</v>
      </c>
      <c r="H146" s="22" t="str">
        <f>IFERROR(('Activity data'!H89*(1/Constants!$H$135))*ttokg*FracLEACH*MSLeachEF*NtoN2O*kgtoGg,"NO")</f>
        <v>NO</v>
      </c>
      <c r="I146" s="22">
        <f>IFERROR(('Activity data'!I89*(1/Constants!$H$135))*ttokg*FracLEACH*MSLeachEF*NtoN2O*kgtoGg,"NO")</f>
        <v>1.5321378839843239E-5</v>
      </c>
      <c r="J146" s="22">
        <f>IFERROR(('Activity data'!J89*(1/Constants!$H$135))*ttokg*FracLEACH*MSLeachEF*NtoN2O*kgtoGg,"NO")</f>
        <v>1.5321378839843239E-5</v>
      </c>
      <c r="K146" s="22">
        <f>IFERROR(('Activity data'!K89*(1/Constants!$H$135))*ttokg*FracLEACH*MSLeachEF*NtoN2O*kgtoGg,"NO")</f>
        <v>1.5321378839843239E-5</v>
      </c>
      <c r="L146" s="22">
        <f>IFERROR(('Activity data'!L89*(1/Constants!$H$135))*ttokg*FracLEACH*MSLeachEF*NtoN2O*kgtoGg,"NO")</f>
        <v>1.5321378839843239E-5</v>
      </c>
      <c r="M146" s="22">
        <f>IFERROR(('Activity data'!M89*(1/Constants!$H$135))*ttokg*FracLEACH*MSLeachEF*NtoN2O*kgtoGg,"NO")</f>
        <v>1.5321378839843239E-5</v>
      </c>
      <c r="N146" s="22">
        <f>IFERROR(('Activity data'!N89*(1/Constants!$H$135))*ttokg*FracLEACH*MSLeachEF*NtoN2O*kgtoGg,"NO")</f>
        <v>1.5321378839843239E-5</v>
      </c>
      <c r="O146" s="22">
        <f>IFERROR(('Activity data'!O89*(1/Constants!$H$135))*ttokg*FracLEACH*MSLeachEF*NtoN2O*kgtoGg,"NO")</f>
        <v>1.5321378839843239E-5</v>
      </c>
      <c r="P146" s="22">
        <f>IFERROR(('Activity data'!P89*(1/Constants!$H$135))*ttokg*FracLEACH*MSLeachEF*NtoN2O*kgtoGg,"NO")</f>
        <v>1.5321378839843239E-5</v>
      </c>
      <c r="Q146" s="22">
        <f>IFERROR(('Activity data'!Q89*(1/Constants!$H$135))*ttokg*FracLEACH*MSLeachEF*NtoN2O*kgtoGg,"NO")</f>
        <v>1.5321378839843239E-5</v>
      </c>
      <c r="R146" s="22">
        <f>IFERROR(('Activity data'!R89*(1/Constants!$H$135))*ttokg*FracLEACH*MSLeachEF*NtoN2O*kgtoGg,"NO")</f>
        <v>1.5321378839843239E-5</v>
      </c>
      <c r="S146" s="22">
        <f>IFERROR(('Activity data'!S89*(1/Constants!$H$135))*ttokg*FracLEACH*MSLeachEF*NtoN2O*kgtoGg,"NO")</f>
        <v>1.5321378839843239E-5</v>
      </c>
      <c r="T146" s="22">
        <f>IFERROR(('Activity data'!T89*(1/Constants!$H$135))*ttokg*FracLEACH*MSLeachEF*NtoN2O*kgtoGg,"NO")</f>
        <v>1.5321378839843239E-5</v>
      </c>
      <c r="U146" s="22">
        <f>IFERROR(('Activity data'!U89*(1/Constants!$H$135))*ttokg*FracLEACH*MSLeachEF*NtoN2O*kgtoGg,"NO")</f>
        <v>1.5321378839843239E-5</v>
      </c>
      <c r="V146" s="22">
        <f>IFERROR(('Activity data'!V89*(1/Constants!$H$135))*ttokg*FracLEACH*MSLeachEF*NtoN2O*kgtoGg,"NO")</f>
        <v>1.5321378839843239E-5</v>
      </c>
      <c r="W146" s="22">
        <f>IFERROR(('Activity data'!W89*(1/Constants!$H$135))*ttokg*FracLEACH*MSLeachEF*NtoN2O*kgtoGg,"NO")</f>
        <v>1.5321378839843239E-5</v>
      </c>
      <c r="X146" s="22">
        <f>IFERROR(('Activity data'!X89*(1/Constants!$H$135))*ttokg*FracLEACH*MSLeachEF*NtoN2O*kgtoGg,"NO")</f>
        <v>1.5321378839843239E-5</v>
      </c>
      <c r="Y146" s="22">
        <f>IFERROR(('Activity data'!Y89*(1/Constants!$H$135))*ttokg*FracLEACH*MSLeachEF*NtoN2O*kgtoGg,"NO")</f>
        <v>1.5321378839843239E-5</v>
      </c>
      <c r="Z146" s="22">
        <f>IFERROR(('Activity data'!Z89*(1/Constants!$H$135))*ttokg*FracLEACH*MSLeachEF*NtoN2O*kgtoGg,"NO")</f>
        <v>1.5321378839843239E-5</v>
      </c>
      <c r="AA146" s="22">
        <f>IFERROR(('Activity data'!AA89*(1/Constants!$H$135))*ttokg*FracLEACH*MSLeachEF*NtoN2O*kgtoGg,"NO")</f>
        <v>1.5321378839843239E-5</v>
      </c>
      <c r="AB146" s="22">
        <f>IFERROR(('Activity data'!AB89*(1/Constants!$H$135))*ttokg*FracLEACH*MSLeachEF*NtoN2O*kgtoGg,"NO")</f>
        <v>1.5321378839843239E-5</v>
      </c>
      <c r="AC146" s="22">
        <f>IFERROR(('Activity data'!AC89*(1/Constants!$H$135))*ttokg*FracLEACH*MSLeachEF*NtoN2O*kgtoGg,"NO")</f>
        <v>1.5321378839843239E-5</v>
      </c>
      <c r="AD146" s="22">
        <f>IFERROR(('Activity data'!AD89*(1/Constants!$H$135))*ttokg*FracLEACH*MSLeachEF*NtoN2O*kgtoGg,"NO")</f>
        <v>1.1867590793806392E-4</v>
      </c>
      <c r="AE146" s="22">
        <f>IFERROR(('Activity data'!AE89*(1/Constants!$H$135))*ttokg*FracLEACH*MSLeachEF*NtoN2O*kgtoGg,"NO")</f>
        <v>1.1853617037070301E-4</v>
      </c>
      <c r="AF146" s="22">
        <f>IFERROR(('Activity data'!AF89*(1/Constants!$H$135))*ttokg*FracLEACH*MSLeachEF*NtoN2O*kgtoGg,"NO")</f>
        <v>1.1839643280334203E-4</v>
      </c>
      <c r="AG146" s="22">
        <f>IFERROR(('Activity data'!AG89*(1/Constants!$H$135))*ttokg*FracLEACH*MSLeachEF*NtoN2O*kgtoGg,"NO")</f>
        <v>1.1825669523598106E-4</v>
      </c>
      <c r="AH146" s="22">
        <f>IFERROR(('Activity data'!AH89*(1/Constants!$H$135))*ttokg*FracLEACH*MSLeachEF*NtoN2O*kgtoGg,"NO")</f>
        <v>1.1811695766862012E-4</v>
      </c>
      <c r="AI146" s="22">
        <f>IFERROR(('Activity data'!AI89*(1/Constants!$H$135))*ttokg*FracLEACH*MSLeachEF*NtoN2O*kgtoGg,"NO")</f>
        <v>1.1797722010125916E-4</v>
      </c>
      <c r="AJ146" s="22">
        <f>IFERROR(('Activity data'!AJ89*(1/Constants!$H$135))*ttokg*FracLEACH*MSLeachEF*NtoN2O*kgtoGg,"NO")</f>
        <v>1.178374825338982E-4</v>
      </c>
      <c r="AK146" s="22">
        <f>IFERROR(('Activity data'!AK89*(1/Constants!$H$135))*ttokg*FracLEACH*MSLeachEF*NtoN2O*kgtoGg,"NO")</f>
        <v>1.1769774496653728E-4</v>
      </c>
      <c r="AL146" s="22">
        <f>IFERROR(('Activity data'!AL89*(1/Constants!$H$135))*ttokg*FracLEACH*MSLeachEF*NtoN2O*kgtoGg,"NO")</f>
        <v>1.1755800739917633E-4</v>
      </c>
      <c r="AM146" s="22">
        <f>IFERROR(('Activity data'!AM89*(1/Constants!$H$135))*ttokg*FracLEACH*MSLeachEF*NtoN2O*kgtoGg,"NO")</f>
        <v>1.174182698318154E-4</v>
      </c>
      <c r="AN146" s="22">
        <f>IFERROR(('Activity data'!AN89*(1/Constants!$H$135))*ttokg*FracLEACH*MSLeachEF*NtoN2O*kgtoGg,"NO")</f>
        <v>1.1727853226445441E-4</v>
      </c>
      <c r="AO146" s="22">
        <f>IFERROR(('Activity data'!AO89*(1/Constants!$H$135))*ttokg*FracLEACH*MSLeachEF*NtoN2O*kgtoGg,"NO")</f>
        <v>1.1713879469709348E-4</v>
      </c>
      <c r="AP146" s="22">
        <f>IFERROR(('Activity data'!AP89*(1/Constants!$H$135))*ttokg*FracLEACH*MSLeachEF*NtoN2O*kgtoGg,"NO")</f>
        <v>1.1699905712973254E-4</v>
      </c>
      <c r="AQ146" s="22">
        <f>IFERROR(('Activity data'!AQ89*(1/Constants!$H$135))*ttokg*FracLEACH*MSLeachEF*NtoN2O*kgtoGg,"NO")</f>
        <v>1.168593195623716E-4</v>
      </c>
      <c r="AR146" s="22">
        <f>IFERROR(('Activity data'!AR89*(1/Constants!$H$135))*ttokg*FracLEACH*MSLeachEF*NtoN2O*kgtoGg,"NO")</f>
        <v>1.1671958199501069E-4</v>
      </c>
      <c r="AS146" s="22">
        <f>IFERROR(('Activity data'!AS89*(1/Constants!$H$135))*ttokg*FracLEACH*MSLeachEF*NtoN2O*kgtoGg,"NO")</f>
        <v>1.1657984442764968E-4</v>
      </c>
      <c r="AT146" s="22">
        <f>IFERROR(('Activity data'!AT89*(1/Constants!$H$135))*ttokg*FracLEACH*MSLeachEF*NtoN2O*kgtoGg,"NO")</f>
        <v>1.1644010686028878E-4</v>
      </c>
      <c r="AU146" s="22">
        <f>IFERROR(('Activity data'!AU89*(1/Constants!$H$135))*ttokg*FracLEACH*MSLeachEF*NtoN2O*kgtoGg,"NO")</f>
        <v>1.1630036929292779E-4</v>
      </c>
      <c r="AV146" s="22">
        <f>IFERROR(('Activity data'!AV89*(1/Constants!$H$135))*ttokg*FracLEACH*MSLeachEF*NtoN2O*kgtoGg,"NO")</f>
        <v>1.1616063172556689E-4</v>
      </c>
      <c r="AW146" s="22">
        <f>IFERROR(('Activity data'!AW89*(1/Constants!$H$135))*ttokg*FracLEACH*MSLeachEF*NtoN2O*kgtoGg,"NO")</f>
        <v>1.1602089415820588E-4</v>
      </c>
      <c r="AX146" s="22">
        <f>IFERROR(('Activity data'!AX89*(1/Constants!$H$135))*ttokg*FracLEACH*MSLeachEF*NtoN2O*kgtoGg,"NO")</f>
        <v>1.1588115659084502E-4</v>
      </c>
      <c r="AY146" s="22">
        <f>IFERROR(('Activity data'!AY89*(1/Constants!$H$135))*ttokg*FracLEACH*MSLeachEF*NtoN2O*kgtoGg,"NO")</f>
        <v>1.1574141902348403E-4</v>
      </c>
      <c r="AZ146" s="22">
        <f>IFERROR(('Activity data'!AZ89*(1/Constants!$H$135))*ttokg*FracLEACH*MSLeachEF*NtoN2O*kgtoGg,"NO")</f>
        <v>1.1560168145612309E-4</v>
      </c>
      <c r="BA146" s="22">
        <f>IFERROR(('Activity data'!BA89*(1/Constants!$H$135))*ttokg*FracLEACH*MSLeachEF*NtoN2O*kgtoGg,"NO")</f>
        <v>1.154619438887621E-4</v>
      </c>
      <c r="BB146" s="22">
        <f>IFERROR(('Activity data'!BB89*(1/Constants!$H$135))*ttokg*FracLEACH*MSLeachEF*NtoN2O*kgtoGg,"NO")</f>
        <v>1.1532220632140118E-4</v>
      </c>
      <c r="BC146" s="22">
        <f>IFERROR(('Activity data'!BC89*(1/Constants!$H$135))*ttokg*FracLEACH*MSLeachEF*NtoN2O*kgtoGg,"NO")</f>
        <v>1.1518246875404022E-4</v>
      </c>
      <c r="BD146" s="22">
        <f>IFERROR(('Activity data'!BD89*(1/Constants!$H$135))*ttokg*FracLEACH*MSLeachEF*NtoN2O*kgtoGg,"NO")</f>
        <v>1.1504273118667928E-4</v>
      </c>
      <c r="BE146" s="22">
        <f>IFERROR(('Activity data'!BE89*(1/Constants!$H$135))*ttokg*FracLEACH*MSLeachEF*NtoN2O*kgtoGg,"NO")</f>
        <v>1.1490299361931835E-4</v>
      </c>
      <c r="BF146" s="22">
        <f>IFERROR(('Activity data'!BF89*(1/Constants!$H$135))*ttokg*FracLEACH*MSLeachEF*NtoN2O*kgtoGg,"NO")</f>
        <v>1.1476325605195744E-4</v>
      </c>
      <c r="BG146" s="22">
        <f>IFERROR(('Activity data'!BG89*(1/Constants!$H$135))*ttokg*FracLEACH*MSLeachEF*NtoN2O*kgtoGg,"NO")</f>
        <v>1.1462351848459642E-4</v>
      </c>
      <c r="BH146" s="22">
        <f>IFERROR(('Activity data'!BH89*(1/Constants!$H$135))*ttokg*FracLEACH*MSLeachEF*NtoN2O*kgtoGg,"NO")</f>
        <v>1.1448378091723552E-4</v>
      </c>
      <c r="BI146" s="22">
        <f>IFERROR(('Activity data'!BI89*(1/Constants!$H$135))*ttokg*FracLEACH*MSLeachEF*NtoN2O*kgtoGg,"NO")</f>
        <v>1.1434404334987458E-4</v>
      </c>
      <c r="BJ146" s="22">
        <f>IFERROR(('Activity data'!BJ89*(1/Constants!$H$135))*ttokg*FracLEACH*MSLeachEF*NtoN2O*kgtoGg,"NO")</f>
        <v>1.1420430578251366E-4</v>
      </c>
      <c r="BK146" s="22">
        <f>IFERROR(('Activity data'!BK89*(1/Constants!$H$135))*ttokg*FracLEACH*MSLeachEF*NtoN2O*kgtoGg,"NO")</f>
        <v>1.1406456821515268E-4</v>
      </c>
      <c r="BL146" s="22">
        <f>IFERROR(('Activity data'!BL89*(1/Constants!$H$135))*ttokg*FracLEACH*MSLeachEF*NtoN2O*kgtoGg,"NO")</f>
        <v>1.1392483064779174E-4</v>
      </c>
      <c r="BM146" s="22">
        <f>IFERROR(('Activity data'!BM89*(1/Constants!$H$135))*ttokg*FracLEACH*MSLeachEF*NtoN2O*kgtoGg,"NO")</f>
        <v>1.1378509308043078E-4</v>
      </c>
      <c r="BN146" s="22">
        <f>IFERROR(('Activity data'!BN89*(1/Constants!$H$135))*ttokg*FracLEACH*MSLeachEF*NtoN2O*kgtoGg,"NO")</f>
        <v>1.136453555130698E-4</v>
      </c>
      <c r="BO146" s="22">
        <f>IFERROR(('Activity data'!BO89*(1/Constants!$H$135))*ttokg*FracLEACH*MSLeachEF*NtoN2O*kgtoGg,"NO")</f>
        <v>1.1350561794570888E-4</v>
      </c>
      <c r="BP146" s="22">
        <f>IFERROR(('Activity data'!BP89*(1/Constants!$H$135))*ttokg*FracLEACH*MSLeachEF*NtoN2O*kgtoGg,"NO")</f>
        <v>1.1336588037834792E-4</v>
      </c>
    </row>
    <row r="147" spans="1:68" x14ac:dyDescent="0.25">
      <c r="A147" t="str">
        <f t="shared" si="58"/>
        <v>3C Aggregated and non-CO2 emissions on land</v>
      </c>
      <c r="B147" t="str">
        <f t="shared" si="59"/>
        <v>3C5 Indirect N2O from managed soils (N2O)</v>
      </c>
      <c r="C147" t="str">
        <f t="shared" si="54"/>
        <v>Leaching/runoff</v>
      </c>
      <c r="D147" t="str">
        <f>" - FSOM - "&amp;'Activity data'!D90</f>
        <v xml:space="preserve"> - FSOM - Land converted to cropland</v>
      </c>
      <c r="E147" t="str">
        <f t="shared" si="60"/>
        <v>Leaching/runoff - FSOM - Land converted to cropland</v>
      </c>
      <c r="F147" t="str">
        <f t="shared" si="47"/>
        <v>N2O</v>
      </c>
      <c r="G147" t="str">
        <f t="shared" si="48"/>
        <v>Gg N2O</v>
      </c>
      <c r="H147" s="22" t="str">
        <f>IFERROR(('Activity data'!H90*(1/Constants!$H$135))*ttokg*FracLEACH*MSLeachEF*NtoN2O*kgtoGg,"NO")</f>
        <v>NO</v>
      </c>
      <c r="I147" s="22">
        <f>IFERROR(('Activity data'!I90*(1/Constants!$H$135))*ttokg*FracLEACH*MSLeachEF*NtoN2O*kgtoGg,"NO")</f>
        <v>1.598450121782432E-3</v>
      </c>
      <c r="J147" s="22">
        <f>IFERROR(('Activity data'!J90*(1/Constants!$H$135))*ttokg*FracLEACH*MSLeachEF*NtoN2O*kgtoGg,"NO")</f>
        <v>1.598450121782432E-3</v>
      </c>
      <c r="K147" s="22">
        <f>IFERROR(('Activity data'!K90*(1/Constants!$H$135))*ttokg*FracLEACH*MSLeachEF*NtoN2O*kgtoGg,"NO")</f>
        <v>1.598450121782432E-3</v>
      </c>
      <c r="L147" s="22">
        <f>IFERROR(('Activity data'!L90*(1/Constants!$H$135))*ttokg*FracLEACH*MSLeachEF*NtoN2O*kgtoGg,"NO")</f>
        <v>1.598450121782432E-3</v>
      </c>
      <c r="M147" s="22">
        <f>IFERROR(('Activity data'!M90*(1/Constants!$H$135))*ttokg*FracLEACH*MSLeachEF*NtoN2O*kgtoGg,"NO")</f>
        <v>1.598450121782432E-3</v>
      </c>
      <c r="N147" s="22">
        <f>IFERROR(('Activity data'!N90*(1/Constants!$H$135))*ttokg*FracLEACH*MSLeachEF*NtoN2O*kgtoGg,"NO")</f>
        <v>1.598450121782432E-3</v>
      </c>
      <c r="O147" s="22">
        <f>IFERROR(('Activity data'!O90*(1/Constants!$H$135))*ttokg*FracLEACH*MSLeachEF*NtoN2O*kgtoGg,"NO")</f>
        <v>1.598450121782432E-3</v>
      </c>
      <c r="P147" s="22">
        <f>IFERROR(('Activity data'!P90*(1/Constants!$H$135))*ttokg*FracLEACH*MSLeachEF*NtoN2O*kgtoGg,"NO")</f>
        <v>1.598450121782432E-3</v>
      </c>
      <c r="Q147" s="22">
        <f>IFERROR(('Activity data'!Q90*(1/Constants!$H$135))*ttokg*FracLEACH*MSLeachEF*NtoN2O*kgtoGg,"NO")</f>
        <v>1.598450121782432E-3</v>
      </c>
      <c r="R147" s="22">
        <f>IFERROR(('Activity data'!R90*(1/Constants!$H$135))*ttokg*FracLEACH*MSLeachEF*NtoN2O*kgtoGg,"NO")</f>
        <v>1.598450121782432E-3</v>
      </c>
      <c r="S147" s="22">
        <f>IFERROR(('Activity data'!S90*(1/Constants!$H$135))*ttokg*FracLEACH*MSLeachEF*NtoN2O*kgtoGg,"NO")</f>
        <v>1.598450121782432E-3</v>
      </c>
      <c r="T147" s="22">
        <f>IFERROR(('Activity data'!T90*(1/Constants!$H$135))*ttokg*FracLEACH*MSLeachEF*NtoN2O*kgtoGg,"NO")</f>
        <v>1.598450121782432E-3</v>
      </c>
      <c r="U147" s="22">
        <f>IFERROR(('Activity data'!U90*(1/Constants!$H$135))*ttokg*FracLEACH*MSLeachEF*NtoN2O*kgtoGg,"NO")</f>
        <v>1.598450121782432E-3</v>
      </c>
      <c r="V147" s="22">
        <f>IFERROR(('Activity data'!V90*(1/Constants!$H$135))*ttokg*FracLEACH*MSLeachEF*NtoN2O*kgtoGg,"NO")</f>
        <v>1.598450121782432E-3</v>
      </c>
      <c r="W147" s="22">
        <f>IFERROR(('Activity data'!W90*(1/Constants!$H$135))*ttokg*FracLEACH*MSLeachEF*NtoN2O*kgtoGg,"NO")</f>
        <v>1.598450121782432E-3</v>
      </c>
      <c r="X147" s="22">
        <f>IFERROR(('Activity data'!X90*(1/Constants!$H$135))*ttokg*FracLEACH*MSLeachEF*NtoN2O*kgtoGg,"NO")</f>
        <v>1.598450121782432E-3</v>
      </c>
      <c r="Y147" s="22">
        <f>IFERROR(('Activity data'!Y90*(1/Constants!$H$135))*ttokg*FracLEACH*MSLeachEF*NtoN2O*kgtoGg,"NO")</f>
        <v>1.598450121782432E-3</v>
      </c>
      <c r="Z147" s="22">
        <f>IFERROR(('Activity data'!Z90*(1/Constants!$H$135))*ttokg*FracLEACH*MSLeachEF*NtoN2O*kgtoGg,"NO")</f>
        <v>1.598450121782432E-3</v>
      </c>
      <c r="AA147" s="22">
        <f>IFERROR(('Activity data'!AA90*(1/Constants!$H$135))*ttokg*FracLEACH*MSLeachEF*NtoN2O*kgtoGg,"NO")</f>
        <v>1.598450121782432E-3</v>
      </c>
      <c r="AB147" s="22">
        <f>IFERROR(('Activity data'!AB90*(1/Constants!$H$135))*ttokg*FracLEACH*MSLeachEF*NtoN2O*kgtoGg,"NO")</f>
        <v>1.598450121782432E-3</v>
      </c>
      <c r="AC147" s="22">
        <f>IFERROR(('Activity data'!AC90*(1/Constants!$H$135))*ttokg*FracLEACH*MSLeachEF*NtoN2O*kgtoGg,"NO")</f>
        <v>1.598450121782432E-3</v>
      </c>
      <c r="AD147" s="22">
        <f>IFERROR(('Activity data'!AD90*(1/Constants!$H$135))*ttokg*FracLEACH*MSLeachEF*NtoN2O*kgtoGg,"NO")</f>
        <v>1.6912231388729011E-2</v>
      </c>
      <c r="AE147" s="22">
        <f>IFERROR(('Activity data'!AE90*(1/Constants!$H$135))*ttokg*FracLEACH*MSLeachEF*NtoN2O*kgtoGg,"NO")</f>
        <v>1.6951420148247919E-2</v>
      </c>
      <c r="AF147" s="22">
        <f>IFERROR(('Activity data'!AF90*(1/Constants!$H$135))*ttokg*FracLEACH*MSLeachEF*NtoN2O*kgtoGg,"NO")</f>
        <v>1.6990608907766828E-2</v>
      </c>
      <c r="AG147" s="22">
        <f>IFERROR(('Activity data'!AG90*(1/Constants!$H$135))*ttokg*FracLEACH*MSLeachEF*NtoN2O*kgtoGg,"NO")</f>
        <v>1.702979766728574E-2</v>
      </c>
      <c r="AH147" s="22">
        <f>IFERROR(('Activity data'!AH90*(1/Constants!$H$135))*ttokg*FracLEACH*MSLeachEF*NtoN2O*kgtoGg,"NO")</f>
        <v>1.7068986426804648E-2</v>
      </c>
      <c r="AI147" s="22">
        <f>IFERROR(('Activity data'!AI90*(1/Constants!$H$135))*ttokg*FracLEACH*MSLeachEF*NtoN2O*kgtoGg,"NO")</f>
        <v>1.7108175186323554E-2</v>
      </c>
      <c r="AJ147" s="22">
        <f>IFERROR(('Activity data'!AJ90*(1/Constants!$H$135))*ttokg*FracLEACH*MSLeachEF*NtoN2O*kgtoGg,"NO")</f>
        <v>1.7147363945842466E-2</v>
      </c>
      <c r="AK147" s="22">
        <f>IFERROR(('Activity data'!AK90*(1/Constants!$H$135))*ttokg*FracLEACH*MSLeachEF*NtoN2O*kgtoGg,"NO")</f>
        <v>1.7186552705361371E-2</v>
      </c>
      <c r="AL147" s="22">
        <f>IFERROR(('Activity data'!AL90*(1/Constants!$H$135))*ttokg*FracLEACH*MSLeachEF*NtoN2O*kgtoGg,"NO")</f>
        <v>1.7225741464880276E-2</v>
      </c>
      <c r="AM147" s="22">
        <f>IFERROR(('Activity data'!AM90*(1/Constants!$H$135))*ttokg*FracLEACH*MSLeachEF*NtoN2O*kgtoGg,"NO")</f>
        <v>1.7264930224399191E-2</v>
      </c>
      <c r="AN147" s="22">
        <f>IFERROR(('Activity data'!AN90*(1/Constants!$H$135))*ttokg*FracLEACH*MSLeachEF*NtoN2O*kgtoGg,"NO")</f>
        <v>1.7304118983918097E-2</v>
      </c>
      <c r="AO147" s="22">
        <f>IFERROR(('Activity data'!AO90*(1/Constants!$H$135))*ttokg*FracLEACH*MSLeachEF*NtoN2O*kgtoGg,"NO")</f>
        <v>1.7343307743437009E-2</v>
      </c>
      <c r="AP147" s="22">
        <f>IFERROR(('Activity data'!AP90*(1/Constants!$H$135))*ttokg*FracLEACH*MSLeachEF*NtoN2O*kgtoGg,"NO")</f>
        <v>1.7382496502955917E-2</v>
      </c>
      <c r="AQ147" s="22">
        <f>IFERROR(('Activity data'!AQ90*(1/Constants!$H$135))*ttokg*FracLEACH*MSLeachEF*NtoN2O*kgtoGg,"NO")</f>
        <v>1.7421685262474829E-2</v>
      </c>
      <c r="AR147" s="22">
        <f>IFERROR(('Activity data'!AR90*(1/Constants!$H$135))*ttokg*FracLEACH*MSLeachEF*NtoN2O*kgtoGg,"NO")</f>
        <v>1.7460874021993734E-2</v>
      </c>
      <c r="AS147" s="22">
        <f>IFERROR(('Activity data'!AS90*(1/Constants!$H$135))*ttokg*FracLEACH*MSLeachEF*NtoN2O*kgtoGg,"NO")</f>
        <v>1.750006278151265E-2</v>
      </c>
      <c r="AT147" s="22">
        <f>IFERROR(('Activity data'!AT90*(1/Constants!$H$135))*ttokg*FracLEACH*MSLeachEF*NtoN2O*kgtoGg,"NO")</f>
        <v>1.7539251541031548E-2</v>
      </c>
      <c r="AU147" s="22">
        <f>IFERROR(('Activity data'!AU90*(1/Constants!$H$135))*ttokg*FracLEACH*MSLeachEF*NtoN2O*kgtoGg,"NO")</f>
        <v>1.7578440300550464E-2</v>
      </c>
      <c r="AV147" s="22">
        <f>IFERROR(('Activity data'!AV90*(1/Constants!$H$135))*ttokg*FracLEACH*MSLeachEF*NtoN2O*kgtoGg,"NO")</f>
        <v>1.7617629060069376E-2</v>
      </c>
      <c r="AW147" s="22">
        <f>IFERROR(('Activity data'!AW90*(1/Constants!$H$135))*ttokg*FracLEACH*MSLeachEF*NtoN2O*kgtoGg,"NO")</f>
        <v>1.7656817819588281E-2</v>
      </c>
      <c r="AX147" s="22">
        <f>IFERROR(('Activity data'!AX90*(1/Constants!$H$135))*ttokg*FracLEACH*MSLeachEF*NtoN2O*kgtoGg,"NO")</f>
        <v>1.769600657910719E-2</v>
      </c>
      <c r="AY147" s="22">
        <f>IFERROR(('Activity data'!AY90*(1/Constants!$H$135))*ttokg*FracLEACH*MSLeachEF*NtoN2O*kgtoGg,"NO")</f>
        <v>1.7735195338626102E-2</v>
      </c>
      <c r="AZ147" s="22">
        <f>IFERROR(('Activity data'!AZ90*(1/Constants!$H$135))*ttokg*FracLEACH*MSLeachEF*NtoN2O*kgtoGg,"NO")</f>
        <v>1.777438409814501E-2</v>
      </c>
      <c r="BA147" s="22">
        <f>IFERROR(('Activity data'!BA90*(1/Constants!$H$135))*ttokg*FracLEACH*MSLeachEF*NtoN2O*kgtoGg,"NO")</f>
        <v>1.7813572857663919E-2</v>
      </c>
      <c r="BB147" s="22">
        <f>IFERROR(('Activity data'!BB90*(1/Constants!$H$135))*ttokg*FracLEACH*MSLeachEF*NtoN2O*kgtoGg,"NO")</f>
        <v>1.7852761617182831E-2</v>
      </c>
      <c r="BC147" s="22">
        <f>IFERROR(('Activity data'!BC90*(1/Constants!$H$135))*ttokg*FracLEACH*MSLeachEF*NtoN2O*kgtoGg,"NO")</f>
        <v>1.7891950376701736E-2</v>
      </c>
      <c r="BD147" s="22">
        <f>IFERROR(('Activity data'!BD90*(1/Constants!$H$135))*ttokg*FracLEACH*MSLeachEF*NtoN2O*kgtoGg,"NO")</f>
        <v>1.7931139136220645E-2</v>
      </c>
      <c r="BE147" s="22">
        <f>IFERROR(('Activity data'!BE90*(1/Constants!$H$135))*ttokg*FracLEACH*MSLeachEF*NtoN2O*kgtoGg,"NO")</f>
        <v>1.7970327895739557E-2</v>
      </c>
      <c r="BF147" s="22">
        <f>IFERROR(('Activity data'!BF90*(1/Constants!$H$135))*ttokg*FracLEACH*MSLeachEF*NtoN2O*kgtoGg,"NO")</f>
        <v>1.8009516655258465E-2</v>
      </c>
      <c r="BG147" s="22">
        <f>IFERROR(('Activity data'!BG90*(1/Constants!$H$135))*ttokg*FracLEACH*MSLeachEF*NtoN2O*kgtoGg,"NO")</f>
        <v>1.8048705414777374E-2</v>
      </c>
      <c r="BH147" s="22">
        <f>IFERROR(('Activity data'!BH90*(1/Constants!$H$135))*ttokg*FracLEACH*MSLeachEF*NtoN2O*kgtoGg,"NO")</f>
        <v>1.8087894174296286E-2</v>
      </c>
      <c r="BI147" s="22">
        <f>IFERROR(('Activity data'!BI90*(1/Constants!$H$135))*ttokg*FracLEACH*MSLeachEF*NtoN2O*kgtoGg,"NO")</f>
        <v>1.8127082933815188E-2</v>
      </c>
      <c r="BJ147" s="22">
        <f>IFERROR(('Activity data'!BJ90*(1/Constants!$H$135))*ttokg*FracLEACH*MSLeachEF*NtoN2O*kgtoGg,"NO")</f>
        <v>1.8166271693334096E-2</v>
      </c>
      <c r="BK147" s="22">
        <f>IFERROR(('Activity data'!BK90*(1/Constants!$H$135))*ttokg*FracLEACH*MSLeachEF*NtoN2O*kgtoGg,"NO")</f>
        <v>1.8205460452853015E-2</v>
      </c>
      <c r="BL147" s="22">
        <f>IFERROR(('Activity data'!BL90*(1/Constants!$H$135))*ttokg*FracLEACH*MSLeachEF*NtoN2O*kgtoGg,"NO")</f>
        <v>1.8244649212371917E-2</v>
      </c>
      <c r="BM147" s="22">
        <f>IFERROR(('Activity data'!BM90*(1/Constants!$H$135))*ttokg*FracLEACH*MSLeachEF*NtoN2O*kgtoGg,"NO")</f>
        <v>1.8283837971890825E-2</v>
      </c>
      <c r="BN147" s="22">
        <f>IFERROR(('Activity data'!BN90*(1/Constants!$H$135))*ttokg*FracLEACH*MSLeachEF*NtoN2O*kgtoGg,"NO")</f>
        <v>1.8323026731409734E-2</v>
      </c>
      <c r="BO147" s="22">
        <f>IFERROR(('Activity data'!BO90*(1/Constants!$H$135))*ttokg*FracLEACH*MSLeachEF*NtoN2O*kgtoGg,"NO")</f>
        <v>1.8362215490928643E-2</v>
      </c>
      <c r="BP147" s="22">
        <f>IFERROR(('Activity data'!BP90*(1/Constants!$H$135))*ttokg*FracLEACH*MSLeachEF*NtoN2O*kgtoGg,"NO")</f>
        <v>1.8401404250447555E-2</v>
      </c>
    </row>
    <row r="148" spans="1:68" x14ac:dyDescent="0.25">
      <c r="A148" t="str">
        <f t="shared" si="58"/>
        <v>3C Aggregated and non-CO2 emissions on land</v>
      </c>
      <c r="B148" t="str">
        <f t="shared" si="59"/>
        <v>3C5 Indirect N2O from managed soils (N2O)</v>
      </c>
      <c r="C148" t="str">
        <f t="shared" si="54"/>
        <v>Leaching/runoff</v>
      </c>
      <c r="D148" t="str">
        <f>" - FSOM - "&amp;'Activity data'!D91</f>
        <v xml:space="preserve"> - FSOM - Grassland remaining grassland</v>
      </c>
      <c r="E148" t="str">
        <f t="shared" si="60"/>
        <v>Leaching/runoff - FSOM - Grassland remaining grassland</v>
      </c>
      <c r="F148" t="str">
        <f t="shared" si="47"/>
        <v>N2O</v>
      </c>
      <c r="G148" t="str">
        <f t="shared" si="48"/>
        <v>Gg N2O</v>
      </c>
      <c r="H148" s="22" t="str">
        <f>IFERROR(('Activity data'!H91*(1/Constants!$H$135))*ttokg*FracLEACH*MSLeachEF*NtoN2O*kgtoGg,"NO")</f>
        <v>NO</v>
      </c>
      <c r="I148" s="22">
        <f>IFERROR(('Activity data'!I91*(1/Constants!$H$135))*ttokg*FracLEACH*MSLeachEF*NtoN2O*kgtoGg,"NO")</f>
        <v>1.7600065075023016E-3</v>
      </c>
      <c r="J148" s="22">
        <f>IFERROR(('Activity data'!J91*(1/Constants!$H$135))*ttokg*FracLEACH*MSLeachEF*NtoN2O*kgtoGg,"NO")</f>
        <v>1.7600065075023016E-3</v>
      </c>
      <c r="K148" s="22">
        <f>IFERROR(('Activity data'!K91*(1/Constants!$H$135))*ttokg*FracLEACH*MSLeachEF*NtoN2O*kgtoGg,"NO")</f>
        <v>1.7600065075023016E-3</v>
      </c>
      <c r="L148" s="22">
        <f>IFERROR(('Activity data'!L91*(1/Constants!$H$135))*ttokg*FracLEACH*MSLeachEF*NtoN2O*kgtoGg,"NO")</f>
        <v>1.7600065075023016E-3</v>
      </c>
      <c r="M148" s="22">
        <f>IFERROR(('Activity data'!M91*(1/Constants!$H$135))*ttokg*FracLEACH*MSLeachEF*NtoN2O*kgtoGg,"NO")</f>
        <v>1.7600065075023016E-3</v>
      </c>
      <c r="N148" s="22">
        <f>IFERROR(('Activity data'!N91*(1/Constants!$H$135))*ttokg*FracLEACH*MSLeachEF*NtoN2O*kgtoGg,"NO")</f>
        <v>1.7600065075023016E-3</v>
      </c>
      <c r="O148" s="22">
        <f>IFERROR(('Activity data'!O91*(1/Constants!$H$135))*ttokg*FracLEACH*MSLeachEF*NtoN2O*kgtoGg,"NO")</f>
        <v>1.7600065075023016E-3</v>
      </c>
      <c r="P148" s="22">
        <f>IFERROR(('Activity data'!P91*(1/Constants!$H$135))*ttokg*FracLEACH*MSLeachEF*NtoN2O*kgtoGg,"NO")</f>
        <v>1.7600065075023016E-3</v>
      </c>
      <c r="Q148" s="22">
        <f>IFERROR(('Activity data'!Q91*(1/Constants!$H$135))*ttokg*FracLEACH*MSLeachEF*NtoN2O*kgtoGg,"NO")</f>
        <v>1.7600065075023016E-3</v>
      </c>
      <c r="R148" s="22">
        <f>IFERROR(('Activity data'!R91*(1/Constants!$H$135))*ttokg*FracLEACH*MSLeachEF*NtoN2O*kgtoGg,"NO")</f>
        <v>1.7600065075023016E-3</v>
      </c>
      <c r="S148" s="22">
        <f>IFERROR(('Activity data'!S91*(1/Constants!$H$135))*ttokg*FracLEACH*MSLeachEF*NtoN2O*kgtoGg,"NO")</f>
        <v>1.7600065075023016E-3</v>
      </c>
      <c r="T148" s="22">
        <f>IFERROR(('Activity data'!T91*(1/Constants!$H$135))*ttokg*FracLEACH*MSLeachEF*NtoN2O*kgtoGg,"NO")</f>
        <v>1.7600065075023016E-3</v>
      </c>
      <c r="U148" s="22">
        <f>IFERROR(('Activity data'!U91*(1/Constants!$H$135))*ttokg*FracLEACH*MSLeachEF*NtoN2O*kgtoGg,"NO")</f>
        <v>1.7600065075023016E-3</v>
      </c>
      <c r="V148" s="22">
        <f>IFERROR(('Activity data'!V91*(1/Constants!$H$135))*ttokg*FracLEACH*MSLeachEF*NtoN2O*kgtoGg,"NO")</f>
        <v>1.7600065075023016E-3</v>
      </c>
      <c r="W148" s="22">
        <f>IFERROR(('Activity data'!W91*(1/Constants!$H$135))*ttokg*FracLEACH*MSLeachEF*NtoN2O*kgtoGg,"NO")</f>
        <v>1.7600065075023016E-3</v>
      </c>
      <c r="X148" s="22">
        <f>IFERROR(('Activity data'!X91*(1/Constants!$H$135))*ttokg*FracLEACH*MSLeachEF*NtoN2O*kgtoGg,"NO")</f>
        <v>1.7600065075023016E-3</v>
      </c>
      <c r="Y148" s="22">
        <f>IFERROR(('Activity data'!Y91*(1/Constants!$H$135))*ttokg*FracLEACH*MSLeachEF*NtoN2O*kgtoGg,"NO")</f>
        <v>1.7600065075023016E-3</v>
      </c>
      <c r="Z148" s="22">
        <f>IFERROR(('Activity data'!Z91*(1/Constants!$H$135))*ttokg*FracLEACH*MSLeachEF*NtoN2O*kgtoGg,"NO")</f>
        <v>1.7600065075023016E-3</v>
      </c>
      <c r="AA148" s="22">
        <f>IFERROR(('Activity data'!AA91*(1/Constants!$H$135))*ttokg*FracLEACH*MSLeachEF*NtoN2O*kgtoGg,"NO")</f>
        <v>1.7600065075023016E-3</v>
      </c>
      <c r="AB148" s="22">
        <f>IFERROR(('Activity data'!AB91*(1/Constants!$H$135))*ttokg*FracLEACH*MSLeachEF*NtoN2O*kgtoGg,"NO")</f>
        <v>1.7600065075023016E-3</v>
      </c>
      <c r="AC148" s="22">
        <f>IFERROR(('Activity data'!AC91*(1/Constants!$H$135))*ttokg*FracLEACH*MSLeachEF*NtoN2O*kgtoGg,"NO")</f>
        <v>1.7600065075023016E-3</v>
      </c>
      <c r="AD148" s="22">
        <f>IFERROR(('Activity data'!AD91*(1/Constants!$H$135))*ttokg*FracLEACH*MSLeachEF*NtoN2O*kgtoGg,"NO")</f>
        <v>1.9871041213735664E-2</v>
      </c>
      <c r="AE148" s="22">
        <f>IFERROR(('Activity data'!AE91*(1/Constants!$H$135))*ttokg*FracLEACH*MSLeachEF*NtoN2O*kgtoGg,"NO")</f>
        <v>1.9871041213735664E-2</v>
      </c>
      <c r="AF148" s="22">
        <f>IFERROR(('Activity data'!AF91*(1/Constants!$H$135))*ttokg*FracLEACH*MSLeachEF*NtoN2O*kgtoGg,"NO")</f>
        <v>1.9871041213735664E-2</v>
      </c>
      <c r="AG148" s="22">
        <f>IFERROR(('Activity data'!AG91*(1/Constants!$H$135))*ttokg*FracLEACH*MSLeachEF*NtoN2O*kgtoGg,"NO")</f>
        <v>1.9871041213735664E-2</v>
      </c>
      <c r="AH148" s="22">
        <f>IFERROR(('Activity data'!AH91*(1/Constants!$H$135))*ttokg*FracLEACH*MSLeachEF*NtoN2O*kgtoGg,"NO")</f>
        <v>1.9871041213735664E-2</v>
      </c>
      <c r="AI148" s="22">
        <f>IFERROR(('Activity data'!AI91*(1/Constants!$H$135))*ttokg*FracLEACH*MSLeachEF*NtoN2O*kgtoGg,"NO")</f>
        <v>1.9871041213735664E-2</v>
      </c>
      <c r="AJ148" s="22">
        <f>IFERROR(('Activity data'!AJ91*(1/Constants!$H$135))*ttokg*FracLEACH*MSLeachEF*NtoN2O*kgtoGg,"NO")</f>
        <v>1.9871041213735664E-2</v>
      </c>
      <c r="AK148" s="22">
        <f>IFERROR(('Activity data'!AK91*(1/Constants!$H$135))*ttokg*FracLEACH*MSLeachEF*NtoN2O*kgtoGg,"NO")</f>
        <v>1.9871041213735664E-2</v>
      </c>
      <c r="AL148" s="22">
        <f>IFERROR(('Activity data'!AL91*(1/Constants!$H$135))*ttokg*FracLEACH*MSLeachEF*NtoN2O*kgtoGg,"NO")</f>
        <v>1.9871041213735664E-2</v>
      </c>
      <c r="AM148" s="22">
        <f>IFERROR(('Activity data'!AM91*(1/Constants!$H$135))*ttokg*FracLEACH*MSLeachEF*NtoN2O*kgtoGg,"NO")</f>
        <v>1.9871041213735664E-2</v>
      </c>
      <c r="AN148" s="22">
        <f>IFERROR(('Activity data'!AN91*(1/Constants!$H$135))*ttokg*FracLEACH*MSLeachEF*NtoN2O*kgtoGg,"NO")</f>
        <v>1.9871041213735664E-2</v>
      </c>
      <c r="AO148" s="22">
        <f>IFERROR(('Activity data'!AO91*(1/Constants!$H$135))*ttokg*FracLEACH*MSLeachEF*NtoN2O*kgtoGg,"NO")</f>
        <v>1.9871041213735664E-2</v>
      </c>
      <c r="AP148" s="22">
        <f>IFERROR(('Activity data'!AP91*(1/Constants!$H$135))*ttokg*FracLEACH*MSLeachEF*NtoN2O*kgtoGg,"NO")</f>
        <v>1.9871041213735664E-2</v>
      </c>
      <c r="AQ148" s="22">
        <f>IFERROR(('Activity data'!AQ91*(1/Constants!$H$135))*ttokg*FracLEACH*MSLeachEF*NtoN2O*kgtoGg,"NO")</f>
        <v>1.9871041213735664E-2</v>
      </c>
      <c r="AR148" s="22">
        <f>IFERROR(('Activity data'!AR91*(1/Constants!$H$135))*ttokg*FracLEACH*MSLeachEF*NtoN2O*kgtoGg,"NO")</f>
        <v>1.9871041213735664E-2</v>
      </c>
      <c r="AS148" s="22">
        <f>IFERROR(('Activity data'!AS91*(1/Constants!$H$135))*ttokg*FracLEACH*MSLeachEF*NtoN2O*kgtoGg,"NO")</f>
        <v>1.9871041213735664E-2</v>
      </c>
      <c r="AT148" s="22">
        <f>IFERROR(('Activity data'!AT91*(1/Constants!$H$135))*ttokg*FracLEACH*MSLeachEF*NtoN2O*kgtoGg,"NO")</f>
        <v>1.9871041213735664E-2</v>
      </c>
      <c r="AU148" s="22">
        <f>IFERROR(('Activity data'!AU91*(1/Constants!$H$135))*ttokg*FracLEACH*MSLeachEF*NtoN2O*kgtoGg,"NO")</f>
        <v>1.9871041213735664E-2</v>
      </c>
      <c r="AV148" s="22">
        <f>IFERROR(('Activity data'!AV91*(1/Constants!$H$135))*ttokg*FracLEACH*MSLeachEF*NtoN2O*kgtoGg,"NO")</f>
        <v>1.9871041213735664E-2</v>
      </c>
      <c r="AW148" s="22">
        <f>IFERROR(('Activity data'!AW91*(1/Constants!$H$135))*ttokg*FracLEACH*MSLeachEF*NtoN2O*kgtoGg,"NO")</f>
        <v>1.9871041213735664E-2</v>
      </c>
      <c r="AX148" s="22">
        <f>IFERROR(('Activity data'!AX91*(1/Constants!$H$135))*ttokg*FracLEACH*MSLeachEF*NtoN2O*kgtoGg,"NO")</f>
        <v>1.9871041213735664E-2</v>
      </c>
      <c r="AY148" s="22">
        <f>IFERROR(('Activity data'!AY91*(1/Constants!$H$135))*ttokg*FracLEACH*MSLeachEF*NtoN2O*kgtoGg,"NO")</f>
        <v>1.9871041213735664E-2</v>
      </c>
      <c r="AZ148" s="22">
        <f>IFERROR(('Activity data'!AZ91*(1/Constants!$H$135))*ttokg*FracLEACH*MSLeachEF*NtoN2O*kgtoGg,"NO")</f>
        <v>1.9871041213735664E-2</v>
      </c>
      <c r="BA148" s="22">
        <f>IFERROR(('Activity data'!BA91*(1/Constants!$H$135))*ttokg*FracLEACH*MSLeachEF*NtoN2O*kgtoGg,"NO")</f>
        <v>1.9871041213735664E-2</v>
      </c>
      <c r="BB148" s="22">
        <f>IFERROR(('Activity data'!BB91*(1/Constants!$H$135))*ttokg*FracLEACH*MSLeachEF*NtoN2O*kgtoGg,"NO")</f>
        <v>1.9871041213735664E-2</v>
      </c>
      <c r="BC148" s="22">
        <f>IFERROR(('Activity data'!BC91*(1/Constants!$H$135))*ttokg*FracLEACH*MSLeachEF*NtoN2O*kgtoGg,"NO")</f>
        <v>1.9871041213735664E-2</v>
      </c>
      <c r="BD148" s="22">
        <f>IFERROR(('Activity data'!BD91*(1/Constants!$H$135))*ttokg*FracLEACH*MSLeachEF*NtoN2O*kgtoGg,"NO")</f>
        <v>1.9871041213735664E-2</v>
      </c>
      <c r="BE148" s="22">
        <f>IFERROR(('Activity data'!BE91*(1/Constants!$H$135))*ttokg*FracLEACH*MSLeachEF*NtoN2O*kgtoGg,"NO")</f>
        <v>1.9871041213735664E-2</v>
      </c>
      <c r="BF148" s="22">
        <f>IFERROR(('Activity data'!BF91*(1/Constants!$H$135))*ttokg*FracLEACH*MSLeachEF*NtoN2O*kgtoGg,"NO")</f>
        <v>1.9871041213735664E-2</v>
      </c>
      <c r="BG148" s="22">
        <f>IFERROR(('Activity data'!BG91*(1/Constants!$H$135))*ttokg*FracLEACH*MSLeachEF*NtoN2O*kgtoGg,"NO")</f>
        <v>1.9871041213735664E-2</v>
      </c>
      <c r="BH148" s="22">
        <f>IFERROR(('Activity data'!BH91*(1/Constants!$H$135))*ttokg*FracLEACH*MSLeachEF*NtoN2O*kgtoGg,"NO")</f>
        <v>1.9871041213735664E-2</v>
      </c>
      <c r="BI148" s="22">
        <f>IFERROR(('Activity data'!BI91*(1/Constants!$H$135))*ttokg*FracLEACH*MSLeachEF*NtoN2O*kgtoGg,"NO")</f>
        <v>1.9871041213735664E-2</v>
      </c>
      <c r="BJ148" s="22">
        <f>IFERROR(('Activity data'!BJ91*(1/Constants!$H$135))*ttokg*FracLEACH*MSLeachEF*NtoN2O*kgtoGg,"NO")</f>
        <v>1.9871041213735664E-2</v>
      </c>
      <c r="BK148" s="22">
        <f>IFERROR(('Activity data'!BK91*(1/Constants!$H$135))*ttokg*FracLEACH*MSLeachEF*NtoN2O*kgtoGg,"NO")</f>
        <v>1.9871041213735664E-2</v>
      </c>
      <c r="BL148" s="22">
        <f>IFERROR(('Activity data'!BL91*(1/Constants!$H$135))*ttokg*FracLEACH*MSLeachEF*NtoN2O*kgtoGg,"NO")</f>
        <v>1.9871041213735664E-2</v>
      </c>
      <c r="BM148" s="22">
        <f>IFERROR(('Activity data'!BM91*(1/Constants!$H$135))*ttokg*FracLEACH*MSLeachEF*NtoN2O*kgtoGg,"NO")</f>
        <v>1.9871041213735664E-2</v>
      </c>
      <c r="BN148" s="22">
        <f>IFERROR(('Activity data'!BN91*(1/Constants!$H$135))*ttokg*FracLEACH*MSLeachEF*NtoN2O*kgtoGg,"NO")</f>
        <v>1.9871041213735664E-2</v>
      </c>
      <c r="BO148" s="22">
        <f>IFERROR(('Activity data'!BO91*(1/Constants!$H$135))*ttokg*FracLEACH*MSLeachEF*NtoN2O*kgtoGg,"NO")</f>
        <v>1.9871041213735664E-2</v>
      </c>
      <c r="BP148" s="22">
        <f>IFERROR(('Activity data'!BP91*(1/Constants!$H$135))*ttokg*FracLEACH*MSLeachEF*NtoN2O*kgtoGg,"NO")</f>
        <v>1.9871041213735664E-2</v>
      </c>
    </row>
    <row r="149" spans="1:68" x14ac:dyDescent="0.25">
      <c r="A149" t="str">
        <f t="shared" si="58"/>
        <v>3C Aggregated and non-CO2 emissions on land</v>
      </c>
      <c r="B149" t="str">
        <f t="shared" si="59"/>
        <v>3C5 Indirect N2O from managed soils (N2O)</v>
      </c>
      <c r="C149" t="str">
        <f t="shared" si="54"/>
        <v>Leaching/runoff</v>
      </c>
      <c r="D149" t="str">
        <f>" - FSOM - "&amp;'Activity data'!D92</f>
        <v xml:space="preserve"> - FSOM - Land converted to grassland</v>
      </c>
      <c r="E149" t="str">
        <f t="shared" si="60"/>
        <v>Leaching/runoff - FSOM - Land converted to grassland</v>
      </c>
      <c r="F149" t="str">
        <f t="shared" si="47"/>
        <v>N2O</v>
      </c>
      <c r="G149" t="str">
        <f t="shared" si="48"/>
        <v>Gg N2O</v>
      </c>
      <c r="H149" s="22">
        <f>IFERROR(('Activity data'!H92*(1/Constants!$H$135))*ttokg*FracLEACH*MSLeachEF*NtoN2O*kgtoGg,"NO")</f>
        <v>0</v>
      </c>
      <c r="I149" s="22">
        <f>IFERROR(('Activity data'!I92*(1/Constants!$H$135))*ttokg*FracLEACH*MSLeachEF*NtoN2O*kgtoGg,"NO")</f>
        <v>1.9650467560735459E-5</v>
      </c>
      <c r="J149" s="22">
        <f>IFERROR(('Activity data'!J92*(1/Constants!$H$135))*ttokg*FracLEACH*MSLeachEF*NtoN2O*kgtoGg,"NO")</f>
        <v>1.9650467560735459E-5</v>
      </c>
      <c r="K149" s="22">
        <f>IFERROR(('Activity data'!K92*(1/Constants!$H$135))*ttokg*FracLEACH*MSLeachEF*NtoN2O*kgtoGg,"NO")</f>
        <v>1.9650467560735459E-5</v>
      </c>
      <c r="L149" s="22">
        <f>IFERROR(('Activity data'!L92*(1/Constants!$H$135))*ttokg*FracLEACH*MSLeachEF*NtoN2O*kgtoGg,"NO")</f>
        <v>1.9650467560735459E-5</v>
      </c>
      <c r="M149" s="22">
        <f>IFERROR(('Activity data'!M92*(1/Constants!$H$135))*ttokg*FracLEACH*MSLeachEF*NtoN2O*kgtoGg,"NO")</f>
        <v>1.9650467560735459E-5</v>
      </c>
      <c r="N149" s="22">
        <f>IFERROR(('Activity data'!N92*(1/Constants!$H$135))*ttokg*FracLEACH*MSLeachEF*NtoN2O*kgtoGg,"NO")</f>
        <v>1.9650467560735459E-5</v>
      </c>
      <c r="O149" s="22">
        <f>IFERROR(('Activity data'!O92*(1/Constants!$H$135))*ttokg*FracLEACH*MSLeachEF*NtoN2O*kgtoGg,"NO")</f>
        <v>1.9650467560735459E-5</v>
      </c>
      <c r="P149" s="22">
        <f>IFERROR(('Activity data'!P92*(1/Constants!$H$135))*ttokg*FracLEACH*MSLeachEF*NtoN2O*kgtoGg,"NO")</f>
        <v>1.9650467560735459E-5</v>
      </c>
      <c r="Q149" s="22">
        <f>IFERROR(('Activity data'!Q92*(1/Constants!$H$135))*ttokg*FracLEACH*MSLeachEF*NtoN2O*kgtoGg,"NO")</f>
        <v>1.9650467560735459E-5</v>
      </c>
      <c r="R149" s="22">
        <f>IFERROR(('Activity data'!R92*(1/Constants!$H$135))*ttokg*FracLEACH*MSLeachEF*NtoN2O*kgtoGg,"NO")</f>
        <v>1.9650467560735459E-5</v>
      </c>
      <c r="S149" s="22">
        <f>IFERROR(('Activity data'!S92*(1/Constants!$H$135))*ttokg*FracLEACH*MSLeachEF*NtoN2O*kgtoGg,"NO")</f>
        <v>1.9650467560735459E-5</v>
      </c>
      <c r="T149" s="22">
        <f>IFERROR(('Activity data'!T92*(1/Constants!$H$135))*ttokg*FracLEACH*MSLeachEF*NtoN2O*kgtoGg,"NO")</f>
        <v>1.9650467560735459E-5</v>
      </c>
      <c r="U149" s="22">
        <f>IFERROR(('Activity data'!U92*(1/Constants!$H$135))*ttokg*FracLEACH*MSLeachEF*NtoN2O*kgtoGg,"NO")</f>
        <v>1.9650467560735459E-5</v>
      </c>
      <c r="V149" s="22">
        <f>IFERROR(('Activity data'!V92*(1/Constants!$H$135))*ttokg*FracLEACH*MSLeachEF*NtoN2O*kgtoGg,"NO")</f>
        <v>1.9650467560735459E-5</v>
      </c>
      <c r="W149" s="22">
        <f>IFERROR(('Activity data'!W92*(1/Constants!$H$135))*ttokg*FracLEACH*MSLeachEF*NtoN2O*kgtoGg,"NO")</f>
        <v>1.9650467560735459E-5</v>
      </c>
      <c r="X149" s="22">
        <f>IFERROR(('Activity data'!X92*(1/Constants!$H$135))*ttokg*FracLEACH*MSLeachEF*NtoN2O*kgtoGg,"NO")</f>
        <v>1.9650467560735459E-5</v>
      </c>
      <c r="Y149" s="22">
        <f>IFERROR(('Activity data'!Y92*(1/Constants!$H$135))*ttokg*FracLEACH*MSLeachEF*NtoN2O*kgtoGg,"NO")</f>
        <v>1.9650467560735459E-5</v>
      </c>
      <c r="Z149" s="22">
        <f>IFERROR(('Activity data'!Z92*(1/Constants!$H$135))*ttokg*FracLEACH*MSLeachEF*NtoN2O*kgtoGg,"NO")</f>
        <v>1.9650467560735459E-5</v>
      </c>
      <c r="AA149" s="22">
        <f>IFERROR(('Activity data'!AA92*(1/Constants!$H$135))*ttokg*FracLEACH*MSLeachEF*NtoN2O*kgtoGg,"NO")</f>
        <v>1.9650467560735459E-5</v>
      </c>
      <c r="AB149" s="22">
        <f>IFERROR(('Activity data'!AB92*(1/Constants!$H$135))*ttokg*FracLEACH*MSLeachEF*NtoN2O*kgtoGg,"NO")</f>
        <v>1.9650467560735459E-5</v>
      </c>
      <c r="AC149" s="22">
        <f>IFERROR(('Activity data'!AC92*(1/Constants!$H$135))*ttokg*FracLEACH*MSLeachEF*NtoN2O*kgtoGg,"NO")</f>
        <v>1.9650467560735459E-5</v>
      </c>
      <c r="AD149" s="22" t="str">
        <f>IFERROR(('Activity data'!AD92*(1/Constants!$H$135))*ttokg*FracLEACH*MSLeachEF*NtoN2O*kgtoGg,"NO")</f>
        <v>NO</v>
      </c>
      <c r="AE149" s="22" t="str">
        <f>IFERROR(('Activity data'!AE92*(1/Constants!$H$135))*ttokg*FracLEACH*MSLeachEF*NtoN2O*kgtoGg,"NO")</f>
        <v>NO</v>
      </c>
      <c r="AF149" s="22" t="str">
        <f>IFERROR(('Activity data'!AF92*(1/Constants!$H$135))*ttokg*FracLEACH*MSLeachEF*NtoN2O*kgtoGg,"NO")</f>
        <v>NO</v>
      </c>
      <c r="AG149" s="22" t="str">
        <f>IFERROR(('Activity data'!AG92*(1/Constants!$H$135))*ttokg*FracLEACH*MSLeachEF*NtoN2O*kgtoGg,"NO")</f>
        <v>NO</v>
      </c>
      <c r="AH149" s="22" t="str">
        <f>IFERROR(('Activity data'!AH92*(1/Constants!$H$135))*ttokg*FracLEACH*MSLeachEF*NtoN2O*kgtoGg,"NO")</f>
        <v>NO</v>
      </c>
      <c r="AI149" s="22" t="str">
        <f>IFERROR(('Activity data'!AI92*(1/Constants!$H$135))*ttokg*FracLEACH*MSLeachEF*NtoN2O*kgtoGg,"NO")</f>
        <v>NO</v>
      </c>
      <c r="AJ149" s="22" t="str">
        <f>IFERROR(('Activity data'!AJ92*(1/Constants!$H$135))*ttokg*FracLEACH*MSLeachEF*NtoN2O*kgtoGg,"NO")</f>
        <v>NO</v>
      </c>
      <c r="AK149" s="22" t="str">
        <f>IFERROR(('Activity data'!AK92*(1/Constants!$H$135))*ttokg*FracLEACH*MSLeachEF*NtoN2O*kgtoGg,"NO")</f>
        <v>NO</v>
      </c>
      <c r="AL149" s="22" t="str">
        <f>IFERROR(('Activity data'!AL92*(1/Constants!$H$135))*ttokg*FracLEACH*MSLeachEF*NtoN2O*kgtoGg,"NO")</f>
        <v>NO</v>
      </c>
      <c r="AM149" s="22" t="str">
        <f>IFERROR(('Activity data'!AM92*(1/Constants!$H$135))*ttokg*FracLEACH*MSLeachEF*NtoN2O*kgtoGg,"NO")</f>
        <v>NO</v>
      </c>
      <c r="AN149" s="22" t="str">
        <f>IFERROR(('Activity data'!AN92*(1/Constants!$H$135))*ttokg*FracLEACH*MSLeachEF*NtoN2O*kgtoGg,"NO")</f>
        <v>NO</v>
      </c>
      <c r="AO149" s="22" t="str">
        <f>IFERROR(('Activity data'!AO92*(1/Constants!$H$135))*ttokg*FracLEACH*MSLeachEF*NtoN2O*kgtoGg,"NO")</f>
        <v>NO</v>
      </c>
      <c r="AP149" s="22" t="str">
        <f>IFERROR(('Activity data'!AP92*(1/Constants!$H$135))*ttokg*FracLEACH*MSLeachEF*NtoN2O*kgtoGg,"NO")</f>
        <v>NO</v>
      </c>
      <c r="AQ149" s="22" t="str">
        <f>IFERROR(('Activity data'!AQ92*(1/Constants!$H$135))*ttokg*FracLEACH*MSLeachEF*NtoN2O*kgtoGg,"NO")</f>
        <v>NO</v>
      </c>
      <c r="AR149" s="22" t="str">
        <f>IFERROR(('Activity data'!AR92*(1/Constants!$H$135))*ttokg*FracLEACH*MSLeachEF*NtoN2O*kgtoGg,"NO")</f>
        <v>NO</v>
      </c>
      <c r="AS149" s="22" t="str">
        <f>IFERROR(('Activity data'!AS92*(1/Constants!$H$135))*ttokg*FracLEACH*MSLeachEF*NtoN2O*kgtoGg,"NO")</f>
        <v>NO</v>
      </c>
      <c r="AT149" s="22" t="str">
        <f>IFERROR(('Activity data'!AT92*(1/Constants!$H$135))*ttokg*FracLEACH*MSLeachEF*NtoN2O*kgtoGg,"NO")</f>
        <v>NO</v>
      </c>
      <c r="AU149" s="22" t="str">
        <f>IFERROR(('Activity data'!AU92*(1/Constants!$H$135))*ttokg*FracLEACH*MSLeachEF*NtoN2O*kgtoGg,"NO")</f>
        <v>NO</v>
      </c>
      <c r="AV149" s="22" t="str">
        <f>IFERROR(('Activity data'!AV92*(1/Constants!$H$135))*ttokg*FracLEACH*MSLeachEF*NtoN2O*kgtoGg,"NO")</f>
        <v>NO</v>
      </c>
      <c r="AW149" s="22" t="str">
        <f>IFERROR(('Activity data'!AW92*(1/Constants!$H$135))*ttokg*FracLEACH*MSLeachEF*NtoN2O*kgtoGg,"NO")</f>
        <v>NO</v>
      </c>
      <c r="AX149" s="22" t="str">
        <f>IFERROR(('Activity data'!AX92*(1/Constants!$H$135))*ttokg*FracLEACH*MSLeachEF*NtoN2O*kgtoGg,"NO")</f>
        <v>NO</v>
      </c>
      <c r="AY149" s="22" t="str">
        <f>IFERROR(('Activity data'!AY92*(1/Constants!$H$135))*ttokg*FracLEACH*MSLeachEF*NtoN2O*kgtoGg,"NO")</f>
        <v>NO</v>
      </c>
      <c r="AZ149" s="22" t="str">
        <f>IFERROR(('Activity data'!AZ92*(1/Constants!$H$135))*ttokg*FracLEACH*MSLeachEF*NtoN2O*kgtoGg,"NO")</f>
        <v>NO</v>
      </c>
      <c r="BA149" s="22" t="str">
        <f>IFERROR(('Activity data'!BA92*(1/Constants!$H$135))*ttokg*FracLEACH*MSLeachEF*NtoN2O*kgtoGg,"NO")</f>
        <v>NO</v>
      </c>
      <c r="BB149" s="22" t="str">
        <f>IFERROR(('Activity data'!BB92*(1/Constants!$H$135))*ttokg*FracLEACH*MSLeachEF*NtoN2O*kgtoGg,"NO")</f>
        <v>NO</v>
      </c>
      <c r="BC149" s="22" t="str">
        <f>IFERROR(('Activity data'!BC92*(1/Constants!$H$135))*ttokg*FracLEACH*MSLeachEF*NtoN2O*kgtoGg,"NO")</f>
        <v>NO</v>
      </c>
      <c r="BD149" s="22" t="str">
        <f>IFERROR(('Activity data'!BD92*(1/Constants!$H$135))*ttokg*FracLEACH*MSLeachEF*NtoN2O*kgtoGg,"NO")</f>
        <v>NO</v>
      </c>
      <c r="BE149" s="22" t="str">
        <f>IFERROR(('Activity data'!BE92*(1/Constants!$H$135))*ttokg*FracLEACH*MSLeachEF*NtoN2O*kgtoGg,"NO")</f>
        <v>NO</v>
      </c>
      <c r="BF149" s="22" t="str">
        <f>IFERROR(('Activity data'!BF92*(1/Constants!$H$135))*ttokg*FracLEACH*MSLeachEF*NtoN2O*kgtoGg,"NO")</f>
        <v>NO</v>
      </c>
      <c r="BG149" s="22" t="str">
        <f>IFERROR(('Activity data'!BG92*(1/Constants!$H$135))*ttokg*FracLEACH*MSLeachEF*NtoN2O*kgtoGg,"NO")</f>
        <v>NO</v>
      </c>
      <c r="BH149" s="22" t="str">
        <f>IFERROR(('Activity data'!BH92*(1/Constants!$H$135))*ttokg*FracLEACH*MSLeachEF*NtoN2O*kgtoGg,"NO")</f>
        <v>NO</v>
      </c>
      <c r="BI149" s="22" t="str">
        <f>IFERROR(('Activity data'!BI92*(1/Constants!$H$135))*ttokg*FracLEACH*MSLeachEF*NtoN2O*kgtoGg,"NO")</f>
        <v>NO</v>
      </c>
      <c r="BJ149" s="22" t="str">
        <f>IFERROR(('Activity data'!BJ92*(1/Constants!$H$135))*ttokg*FracLEACH*MSLeachEF*NtoN2O*kgtoGg,"NO")</f>
        <v>NO</v>
      </c>
      <c r="BK149" s="22" t="str">
        <f>IFERROR(('Activity data'!BK92*(1/Constants!$H$135))*ttokg*FracLEACH*MSLeachEF*NtoN2O*kgtoGg,"NO")</f>
        <v>NO</v>
      </c>
      <c r="BL149" s="22" t="str">
        <f>IFERROR(('Activity data'!BL92*(1/Constants!$H$135))*ttokg*FracLEACH*MSLeachEF*NtoN2O*kgtoGg,"NO")</f>
        <v>NO</v>
      </c>
      <c r="BM149" s="22" t="str">
        <f>IFERROR(('Activity data'!BM92*(1/Constants!$H$135))*ttokg*FracLEACH*MSLeachEF*NtoN2O*kgtoGg,"NO")</f>
        <v>NO</v>
      </c>
      <c r="BN149" s="22" t="str">
        <f>IFERROR(('Activity data'!BN92*(1/Constants!$H$135))*ttokg*FracLEACH*MSLeachEF*NtoN2O*kgtoGg,"NO")</f>
        <v>NO</v>
      </c>
      <c r="BO149" s="22" t="str">
        <f>IFERROR(('Activity data'!BO92*(1/Constants!$H$135))*ttokg*FracLEACH*MSLeachEF*NtoN2O*kgtoGg,"NO")</f>
        <v>NO</v>
      </c>
      <c r="BP149" s="22" t="str">
        <f>IFERROR(('Activity data'!BP92*(1/Constants!$H$135))*ttokg*FracLEACH*MSLeachEF*NtoN2O*kgtoGg,"NO")</f>
        <v>NO</v>
      </c>
    </row>
    <row r="150" spans="1:68" x14ac:dyDescent="0.25">
      <c r="A150" t="str">
        <f t="shared" si="58"/>
        <v>3C Aggregated and non-CO2 emissions on land</v>
      </c>
      <c r="B150" t="str">
        <f t="shared" si="59"/>
        <v>3C5 Indirect N2O from managed soils (N2O)</v>
      </c>
      <c r="C150" t="str">
        <f t="shared" si="54"/>
        <v>Leaching/runoff</v>
      </c>
      <c r="D150" t="str">
        <f>" - FSOM - "&amp;'Activity data'!D93</f>
        <v xml:space="preserve"> - FSOM - Wetland remaining wetland</v>
      </c>
      <c r="E150" t="str">
        <f t="shared" si="60"/>
        <v>Leaching/runoff - FSOM - Wetland remaining wetland</v>
      </c>
      <c r="F150" t="str">
        <f t="shared" si="47"/>
        <v>N2O</v>
      </c>
      <c r="G150" t="str">
        <f t="shared" si="48"/>
        <v>Gg N2O</v>
      </c>
      <c r="H150" s="22" t="str">
        <f>IFERROR(('Activity data'!H93*(1/Constants!$H$135))*ttokg*FracLEACH*MSLeachEF*NtoN2O*kgtoGg,"NO")</f>
        <v>NO</v>
      </c>
      <c r="I150" s="22" t="str">
        <f>IFERROR(('Activity data'!I93*(1/Constants!$H$135))*ttokg*FracLEACH*MSLeachEF*NtoN2O*kgtoGg,"NO")</f>
        <v>NO</v>
      </c>
      <c r="J150" s="22" t="str">
        <f>IFERROR(('Activity data'!J93*(1/Constants!$H$135))*ttokg*FracLEACH*MSLeachEF*NtoN2O*kgtoGg,"NO")</f>
        <v>NO</v>
      </c>
      <c r="K150" s="22" t="str">
        <f>IFERROR(('Activity data'!K93*(1/Constants!$H$135))*ttokg*FracLEACH*MSLeachEF*NtoN2O*kgtoGg,"NO")</f>
        <v>NO</v>
      </c>
      <c r="L150" s="22" t="str">
        <f>IFERROR(('Activity data'!L93*(1/Constants!$H$135))*ttokg*FracLEACH*MSLeachEF*NtoN2O*kgtoGg,"NO")</f>
        <v>NO</v>
      </c>
      <c r="M150" s="22" t="str">
        <f>IFERROR(('Activity data'!M93*(1/Constants!$H$135))*ttokg*FracLEACH*MSLeachEF*NtoN2O*kgtoGg,"NO")</f>
        <v>NO</v>
      </c>
      <c r="N150" s="22" t="str">
        <f>IFERROR(('Activity data'!N93*(1/Constants!$H$135))*ttokg*FracLEACH*MSLeachEF*NtoN2O*kgtoGg,"NO")</f>
        <v>NO</v>
      </c>
      <c r="O150" s="22" t="str">
        <f>IFERROR(('Activity data'!O93*(1/Constants!$H$135))*ttokg*FracLEACH*MSLeachEF*NtoN2O*kgtoGg,"NO")</f>
        <v>NO</v>
      </c>
      <c r="P150" s="22" t="str">
        <f>IFERROR(('Activity data'!P93*(1/Constants!$H$135))*ttokg*FracLEACH*MSLeachEF*NtoN2O*kgtoGg,"NO")</f>
        <v>NO</v>
      </c>
      <c r="Q150" s="22" t="str">
        <f>IFERROR(('Activity data'!Q93*(1/Constants!$H$135))*ttokg*FracLEACH*MSLeachEF*NtoN2O*kgtoGg,"NO")</f>
        <v>NO</v>
      </c>
      <c r="R150" s="22" t="str">
        <f>IFERROR(('Activity data'!R93*(1/Constants!$H$135))*ttokg*FracLEACH*MSLeachEF*NtoN2O*kgtoGg,"NO")</f>
        <v>NO</v>
      </c>
      <c r="S150" s="22" t="str">
        <f>IFERROR(('Activity data'!S93*(1/Constants!$H$135))*ttokg*FracLEACH*MSLeachEF*NtoN2O*kgtoGg,"NO")</f>
        <v>NO</v>
      </c>
      <c r="T150" s="22" t="str">
        <f>IFERROR(('Activity data'!T93*(1/Constants!$H$135))*ttokg*FracLEACH*MSLeachEF*NtoN2O*kgtoGg,"NO")</f>
        <v>NO</v>
      </c>
      <c r="U150" s="22" t="str">
        <f>IFERROR(('Activity data'!U93*(1/Constants!$H$135))*ttokg*FracLEACH*MSLeachEF*NtoN2O*kgtoGg,"NO")</f>
        <v>NO</v>
      </c>
      <c r="V150" s="22" t="str">
        <f>IFERROR(('Activity data'!V93*(1/Constants!$H$135))*ttokg*FracLEACH*MSLeachEF*NtoN2O*kgtoGg,"NO")</f>
        <v>NO</v>
      </c>
      <c r="W150" s="22" t="str">
        <f>IFERROR(('Activity data'!W93*(1/Constants!$H$135))*ttokg*FracLEACH*MSLeachEF*NtoN2O*kgtoGg,"NO")</f>
        <v>NO</v>
      </c>
      <c r="X150" s="22" t="str">
        <f>IFERROR(('Activity data'!X93*(1/Constants!$H$135))*ttokg*FracLEACH*MSLeachEF*NtoN2O*kgtoGg,"NO")</f>
        <v>NO</v>
      </c>
      <c r="Y150" s="22" t="str">
        <f>IFERROR(('Activity data'!Y93*(1/Constants!$H$135))*ttokg*FracLEACH*MSLeachEF*NtoN2O*kgtoGg,"NO")</f>
        <v>NO</v>
      </c>
      <c r="Z150" s="22" t="str">
        <f>IFERROR(('Activity data'!Z93*(1/Constants!$H$135))*ttokg*FracLEACH*MSLeachEF*NtoN2O*kgtoGg,"NO")</f>
        <v>NO</v>
      </c>
      <c r="AA150" s="22" t="str">
        <f>IFERROR(('Activity data'!AA93*(1/Constants!$H$135))*ttokg*FracLEACH*MSLeachEF*NtoN2O*kgtoGg,"NO")</f>
        <v>NO</v>
      </c>
      <c r="AB150" s="22" t="str">
        <f>IFERROR(('Activity data'!AB93*(1/Constants!$H$135))*ttokg*FracLEACH*MSLeachEF*NtoN2O*kgtoGg,"NO")</f>
        <v>NO</v>
      </c>
      <c r="AC150" s="22" t="str">
        <f>IFERROR(('Activity data'!AC93*(1/Constants!$H$135))*ttokg*FracLEACH*MSLeachEF*NtoN2O*kgtoGg,"NO")</f>
        <v>NO</v>
      </c>
      <c r="AD150" s="22" t="str">
        <f>IFERROR(('Activity data'!AD93*(1/Constants!$H$135))*ttokg*FracLEACH*MSLeachEF*NtoN2O*kgtoGg,"NO")</f>
        <v>NO</v>
      </c>
      <c r="AE150" s="22" t="str">
        <f>IFERROR(('Activity data'!AE93*(1/Constants!$H$135))*ttokg*FracLEACH*MSLeachEF*NtoN2O*kgtoGg,"NO")</f>
        <v>NO</v>
      </c>
      <c r="AF150" s="22" t="str">
        <f>IFERROR(('Activity data'!AF93*(1/Constants!$H$135))*ttokg*FracLEACH*MSLeachEF*NtoN2O*kgtoGg,"NO")</f>
        <v>NO</v>
      </c>
      <c r="AG150" s="22" t="str">
        <f>IFERROR(('Activity data'!AG93*(1/Constants!$H$135))*ttokg*FracLEACH*MSLeachEF*NtoN2O*kgtoGg,"NO")</f>
        <v>NO</v>
      </c>
      <c r="AH150" s="22" t="str">
        <f>IFERROR(('Activity data'!AH93*(1/Constants!$H$135))*ttokg*FracLEACH*MSLeachEF*NtoN2O*kgtoGg,"NO")</f>
        <v>NO</v>
      </c>
      <c r="AI150" s="22" t="str">
        <f>IFERROR(('Activity data'!AI93*(1/Constants!$H$135))*ttokg*FracLEACH*MSLeachEF*NtoN2O*kgtoGg,"NO")</f>
        <v>NO</v>
      </c>
      <c r="AJ150" s="22" t="str">
        <f>IFERROR(('Activity data'!AJ93*(1/Constants!$H$135))*ttokg*FracLEACH*MSLeachEF*NtoN2O*kgtoGg,"NO")</f>
        <v>NO</v>
      </c>
      <c r="AK150" s="22" t="str">
        <f>IFERROR(('Activity data'!AK93*(1/Constants!$H$135))*ttokg*FracLEACH*MSLeachEF*NtoN2O*kgtoGg,"NO")</f>
        <v>NO</v>
      </c>
      <c r="AL150" s="22" t="str">
        <f>IFERROR(('Activity data'!AL93*(1/Constants!$H$135))*ttokg*FracLEACH*MSLeachEF*NtoN2O*kgtoGg,"NO")</f>
        <v>NO</v>
      </c>
      <c r="AM150" s="22" t="str">
        <f>IFERROR(('Activity data'!AM93*(1/Constants!$H$135))*ttokg*FracLEACH*MSLeachEF*NtoN2O*kgtoGg,"NO")</f>
        <v>NO</v>
      </c>
      <c r="AN150" s="22" t="str">
        <f>IFERROR(('Activity data'!AN93*(1/Constants!$H$135))*ttokg*FracLEACH*MSLeachEF*NtoN2O*kgtoGg,"NO")</f>
        <v>NO</v>
      </c>
      <c r="AO150" s="22" t="str">
        <f>IFERROR(('Activity data'!AO93*(1/Constants!$H$135))*ttokg*FracLEACH*MSLeachEF*NtoN2O*kgtoGg,"NO")</f>
        <v>NO</v>
      </c>
      <c r="AP150" s="22" t="str">
        <f>IFERROR(('Activity data'!AP93*(1/Constants!$H$135))*ttokg*FracLEACH*MSLeachEF*NtoN2O*kgtoGg,"NO")</f>
        <v>NO</v>
      </c>
      <c r="AQ150" s="22" t="str">
        <f>IFERROR(('Activity data'!AQ93*(1/Constants!$H$135))*ttokg*FracLEACH*MSLeachEF*NtoN2O*kgtoGg,"NO")</f>
        <v>NO</v>
      </c>
      <c r="AR150" s="22" t="str">
        <f>IFERROR(('Activity data'!AR93*(1/Constants!$H$135))*ttokg*FracLEACH*MSLeachEF*NtoN2O*kgtoGg,"NO")</f>
        <v>NO</v>
      </c>
      <c r="AS150" s="22" t="str">
        <f>IFERROR(('Activity data'!AS93*(1/Constants!$H$135))*ttokg*FracLEACH*MSLeachEF*NtoN2O*kgtoGg,"NO")</f>
        <v>NO</v>
      </c>
      <c r="AT150" s="22" t="str">
        <f>IFERROR(('Activity data'!AT93*(1/Constants!$H$135))*ttokg*FracLEACH*MSLeachEF*NtoN2O*kgtoGg,"NO")</f>
        <v>NO</v>
      </c>
      <c r="AU150" s="22" t="str">
        <f>IFERROR(('Activity data'!AU93*(1/Constants!$H$135))*ttokg*FracLEACH*MSLeachEF*NtoN2O*kgtoGg,"NO")</f>
        <v>NO</v>
      </c>
      <c r="AV150" s="22" t="str">
        <f>IFERROR(('Activity data'!AV93*(1/Constants!$H$135))*ttokg*FracLEACH*MSLeachEF*NtoN2O*kgtoGg,"NO")</f>
        <v>NO</v>
      </c>
      <c r="AW150" s="22" t="str">
        <f>IFERROR(('Activity data'!AW93*(1/Constants!$H$135))*ttokg*FracLEACH*MSLeachEF*NtoN2O*kgtoGg,"NO")</f>
        <v>NO</v>
      </c>
      <c r="AX150" s="22" t="str">
        <f>IFERROR(('Activity data'!AX93*(1/Constants!$H$135))*ttokg*FracLEACH*MSLeachEF*NtoN2O*kgtoGg,"NO")</f>
        <v>NO</v>
      </c>
      <c r="AY150" s="22" t="str">
        <f>IFERROR(('Activity data'!AY93*(1/Constants!$H$135))*ttokg*FracLEACH*MSLeachEF*NtoN2O*kgtoGg,"NO")</f>
        <v>NO</v>
      </c>
      <c r="AZ150" s="22" t="str">
        <f>IFERROR(('Activity data'!AZ93*(1/Constants!$H$135))*ttokg*FracLEACH*MSLeachEF*NtoN2O*kgtoGg,"NO")</f>
        <v>NO</v>
      </c>
      <c r="BA150" s="22" t="str">
        <f>IFERROR(('Activity data'!BA93*(1/Constants!$H$135))*ttokg*FracLEACH*MSLeachEF*NtoN2O*kgtoGg,"NO")</f>
        <v>NO</v>
      </c>
      <c r="BB150" s="22" t="str">
        <f>IFERROR(('Activity data'!BB93*(1/Constants!$H$135))*ttokg*FracLEACH*MSLeachEF*NtoN2O*kgtoGg,"NO")</f>
        <v>NO</v>
      </c>
      <c r="BC150" s="22" t="str">
        <f>IFERROR(('Activity data'!BC93*(1/Constants!$H$135))*ttokg*FracLEACH*MSLeachEF*NtoN2O*kgtoGg,"NO")</f>
        <v>NO</v>
      </c>
      <c r="BD150" s="22" t="str">
        <f>IFERROR(('Activity data'!BD93*(1/Constants!$H$135))*ttokg*FracLEACH*MSLeachEF*NtoN2O*kgtoGg,"NO")</f>
        <v>NO</v>
      </c>
      <c r="BE150" s="22" t="str">
        <f>IFERROR(('Activity data'!BE93*(1/Constants!$H$135))*ttokg*FracLEACH*MSLeachEF*NtoN2O*kgtoGg,"NO")</f>
        <v>NO</v>
      </c>
      <c r="BF150" s="22" t="str">
        <f>IFERROR(('Activity data'!BF93*(1/Constants!$H$135))*ttokg*FracLEACH*MSLeachEF*NtoN2O*kgtoGg,"NO")</f>
        <v>NO</v>
      </c>
      <c r="BG150" s="22" t="str">
        <f>IFERROR(('Activity data'!BG93*(1/Constants!$H$135))*ttokg*FracLEACH*MSLeachEF*NtoN2O*kgtoGg,"NO")</f>
        <v>NO</v>
      </c>
      <c r="BH150" s="22" t="str">
        <f>IFERROR(('Activity data'!BH93*(1/Constants!$H$135))*ttokg*FracLEACH*MSLeachEF*NtoN2O*kgtoGg,"NO")</f>
        <v>NO</v>
      </c>
      <c r="BI150" s="22" t="str">
        <f>IFERROR(('Activity data'!BI93*(1/Constants!$H$135))*ttokg*FracLEACH*MSLeachEF*NtoN2O*kgtoGg,"NO")</f>
        <v>NO</v>
      </c>
      <c r="BJ150" s="22" t="str">
        <f>IFERROR(('Activity data'!BJ93*(1/Constants!$H$135))*ttokg*FracLEACH*MSLeachEF*NtoN2O*kgtoGg,"NO")</f>
        <v>NO</v>
      </c>
      <c r="BK150" s="22" t="str">
        <f>IFERROR(('Activity data'!BK93*(1/Constants!$H$135))*ttokg*FracLEACH*MSLeachEF*NtoN2O*kgtoGg,"NO")</f>
        <v>NO</v>
      </c>
      <c r="BL150" s="22" t="str">
        <f>IFERROR(('Activity data'!BL93*(1/Constants!$H$135))*ttokg*FracLEACH*MSLeachEF*NtoN2O*kgtoGg,"NO")</f>
        <v>NO</v>
      </c>
      <c r="BM150" s="22" t="str">
        <f>IFERROR(('Activity data'!BM93*(1/Constants!$H$135))*ttokg*FracLEACH*MSLeachEF*NtoN2O*kgtoGg,"NO")</f>
        <v>NO</v>
      </c>
      <c r="BN150" s="22" t="str">
        <f>IFERROR(('Activity data'!BN93*(1/Constants!$H$135))*ttokg*FracLEACH*MSLeachEF*NtoN2O*kgtoGg,"NO")</f>
        <v>NO</v>
      </c>
      <c r="BO150" s="22" t="str">
        <f>IFERROR(('Activity data'!BO93*(1/Constants!$H$135))*ttokg*FracLEACH*MSLeachEF*NtoN2O*kgtoGg,"NO")</f>
        <v>NO</v>
      </c>
      <c r="BP150" s="22" t="str">
        <f>IFERROR(('Activity data'!BP93*(1/Constants!$H$135))*ttokg*FracLEACH*MSLeachEF*NtoN2O*kgtoGg,"NO")</f>
        <v>NO</v>
      </c>
    </row>
    <row r="151" spans="1:68" x14ac:dyDescent="0.25">
      <c r="A151" t="str">
        <f t="shared" si="58"/>
        <v>3C Aggregated and non-CO2 emissions on land</v>
      </c>
      <c r="B151" t="str">
        <f t="shared" si="59"/>
        <v>3C5 Indirect N2O from managed soils (N2O)</v>
      </c>
      <c r="C151" t="str">
        <f t="shared" si="54"/>
        <v>Leaching/runoff</v>
      </c>
      <c r="D151" t="str">
        <f>" - FSOM - "&amp;'Activity data'!D94</f>
        <v xml:space="preserve"> - FSOM - Land converted to wetland</v>
      </c>
      <c r="E151" t="str">
        <f t="shared" si="60"/>
        <v>Leaching/runoff - FSOM - Land converted to wetland</v>
      </c>
      <c r="F151" t="str">
        <f t="shared" si="47"/>
        <v>N2O</v>
      </c>
      <c r="G151" t="str">
        <f t="shared" si="48"/>
        <v>Gg N2O</v>
      </c>
      <c r="H151" s="22" t="str">
        <f>IFERROR(('Activity data'!H94*(1/Constants!$H$135))*ttokg*FracLEACH*MSLeachEF*NtoN2O*kgtoGg,"NO")</f>
        <v>NO</v>
      </c>
      <c r="I151" s="22" t="str">
        <f>IFERROR(('Activity data'!I94*(1/Constants!$H$135))*ttokg*FracLEACH*MSLeachEF*NtoN2O*kgtoGg,"NO")</f>
        <v>NO</v>
      </c>
      <c r="J151" s="22" t="str">
        <f>IFERROR(('Activity data'!J94*(1/Constants!$H$135))*ttokg*FracLEACH*MSLeachEF*NtoN2O*kgtoGg,"NO")</f>
        <v>NO</v>
      </c>
      <c r="K151" s="22" t="str">
        <f>IFERROR(('Activity data'!K94*(1/Constants!$H$135))*ttokg*FracLEACH*MSLeachEF*NtoN2O*kgtoGg,"NO")</f>
        <v>NO</v>
      </c>
      <c r="L151" s="22" t="str">
        <f>IFERROR(('Activity data'!L94*(1/Constants!$H$135))*ttokg*FracLEACH*MSLeachEF*NtoN2O*kgtoGg,"NO")</f>
        <v>NO</v>
      </c>
      <c r="M151" s="22" t="str">
        <f>IFERROR(('Activity data'!M94*(1/Constants!$H$135))*ttokg*FracLEACH*MSLeachEF*NtoN2O*kgtoGg,"NO")</f>
        <v>NO</v>
      </c>
      <c r="N151" s="22" t="str">
        <f>IFERROR(('Activity data'!N94*(1/Constants!$H$135))*ttokg*FracLEACH*MSLeachEF*NtoN2O*kgtoGg,"NO")</f>
        <v>NO</v>
      </c>
      <c r="O151" s="22" t="str">
        <f>IFERROR(('Activity data'!O94*(1/Constants!$H$135))*ttokg*FracLEACH*MSLeachEF*NtoN2O*kgtoGg,"NO")</f>
        <v>NO</v>
      </c>
      <c r="P151" s="22" t="str">
        <f>IFERROR(('Activity data'!P94*(1/Constants!$H$135))*ttokg*FracLEACH*MSLeachEF*NtoN2O*kgtoGg,"NO")</f>
        <v>NO</v>
      </c>
      <c r="Q151" s="22" t="str">
        <f>IFERROR(('Activity data'!Q94*(1/Constants!$H$135))*ttokg*FracLEACH*MSLeachEF*NtoN2O*kgtoGg,"NO")</f>
        <v>NO</v>
      </c>
      <c r="R151" s="22" t="str">
        <f>IFERROR(('Activity data'!R94*(1/Constants!$H$135))*ttokg*FracLEACH*MSLeachEF*NtoN2O*kgtoGg,"NO")</f>
        <v>NO</v>
      </c>
      <c r="S151" s="22" t="str">
        <f>IFERROR(('Activity data'!S94*(1/Constants!$H$135))*ttokg*FracLEACH*MSLeachEF*NtoN2O*kgtoGg,"NO")</f>
        <v>NO</v>
      </c>
      <c r="T151" s="22" t="str">
        <f>IFERROR(('Activity data'!T94*(1/Constants!$H$135))*ttokg*FracLEACH*MSLeachEF*NtoN2O*kgtoGg,"NO")</f>
        <v>NO</v>
      </c>
      <c r="U151" s="22" t="str">
        <f>IFERROR(('Activity data'!U94*(1/Constants!$H$135))*ttokg*FracLEACH*MSLeachEF*NtoN2O*kgtoGg,"NO")</f>
        <v>NO</v>
      </c>
      <c r="V151" s="22" t="str">
        <f>IFERROR(('Activity data'!V94*(1/Constants!$H$135))*ttokg*FracLEACH*MSLeachEF*NtoN2O*kgtoGg,"NO")</f>
        <v>NO</v>
      </c>
      <c r="W151" s="22" t="str">
        <f>IFERROR(('Activity data'!W94*(1/Constants!$H$135))*ttokg*FracLEACH*MSLeachEF*NtoN2O*kgtoGg,"NO")</f>
        <v>NO</v>
      </c>
      <c r="X151" s="22" t="str">
        <f>IFERROR(('Activity data'!X94*(1/Constants!$H$135))*ttokg*FracLEACH*MSLeachEF*NtoN2O*kgtoGg,"NO")</f>
        <v>NO</v>
      </c>
      <c r="Y151" s="22" t="str">
        <f>IFERROR(('Activity data'!Y94*(1/Constants!$H$135))*ttokg*FracLEACH*MSLeachEF*NtoN2O*kgtoGg,"NO")</f>
        <v>NO</v>
      </c>
      <c r="Z151" s="22" t="str">
        <f>IFERROR(('Activity data'!Z94*(1/Constants!$H$135))*ttokg*FracLEACH*MSLeachEF*NtoN2O*kgtoGg,"NO")</f>
        <v>NO</v>
      </c>
      <c r="AA151" s="22" t="str">
        <f>IFERROR(('Activity data'!AA94*(1/Constants!$H$135))*ttokg*FracLEACH*MSLeachEF*NtoN2O*kgtoGg,"NO")</f>
        <v>NO</v>
      </c>
      <c r="AB151" s="22" t="str">
        <f>IFERROR(('Activity data'!AB94*(1/Constants!$H$135))*ttokg*FracLEACH*MSLeachEF*NtoN2O*kgtoGg,"NO")</f>
        <v>NO</v>
      </c>
      <c r="AC151" s="22" t="str">
        <f>IFERROR(('Activity data'!AC94*(1/Constants!$H$135))*ttokg*FracLEACH*MSLeachEF*NtoN2O*kgtoGg,"NO")</f>
        <v>NO</v>
      </c>
      <c r="AD151" s="22" t="str">
        <f>IFERROR(('Activity data'!AD94*(1/Constants!$H$135))*ttokg*FracLEACH*MSLeachEF*NtoN2O*kgtoGg,"NO")</f>
        <v>NO</v>
      </c>
      <c r="AE151" s="22" t="str">
        <f>IFERROR(('Activity data'!AE94*(1/Constants!$H$135))*ttokg*FracLEACH*MSLeachEF*NtoN2O*kgtoGg,"NO")</f>
        <v>NO</v>
      </c>
      <c r="AF151" s="22" t="str">
        <f>IFERROR(('Activity data'!AF94*(1/Constants!$H$135))*ttokg*FracLEACH*MSLeachEF*NtoN2O*kgtoGg,"NO")</f>
        <v>NO</v>
      </c>
      <c r="AG151" s="22" t="str">
        <f>IFERROR(('Activity data'!AG94*(1/Constants!$H$135))*ttokg*FracLEACH*MSLeachEF*NtoN2O*kgtoGg,"NO")</f>
        <v>NO</v>
      </c>
      <c r="AH151" s="22" t="str">
        <f>IFERROR(('Activity data'!AH94*(1/Constants!$H$135))*ttokg*FracLEACH*MSLeachEF*NtoN2O*kgtoGg,"NO")</f>
        <v>NO</v>
      </c>
      <c r="AI151" s="22" t="str">
        <f>IFERROR(('Activity data'!AI94*(1/Constants!$H$135))*ttokg*FracLEACH*MSLeachEF*NtoN2O*kgtoGg,"NO")</f>
        <v>NO</v>
      </c>
      <c r="AJ151" s="22" t="str">
        <f>IFERROR(('Activity data'!AJ94*(1/Constants!$H$135))*ttokg*FracLEACH*MSLeachEF*NtoN2O*kgtoGg,"NO")</f>
        <v>NO</v>
      </c>
      <c r="AK151" s="22" t="str">
        <f>IFERROR(('Activity data'!AK94*(1/Constants!$H$135))*ttokg*FracLEACH*MSLeachEF*NtoN2O*kgtoGg,"NO")</f>
        <v>NO</v>
      </c>
      <c r="AL151" s="22" t="str">
        <f>IFERROR(('Activity data'!AL94*(1/Constants!$H$135))*ttokg*FracLEACH*MSLeachEF*NtoN2O*kgtoGg,"NO")</f>
        <v>NO</v>
      </c>
      <c r="AM151" s="22" t="str">
        <f>IFERROR(('Activity data'!AM94*(1/Constants!$H$135))*ttokg*FracLEACH*MSLeachEF*NtoN2O*kgtoGg,"NO")</f>
        <v>NO</v>
      </c>
      <c r="AN151" s="22" t="str">
        <f>IFERROR(('Activity data'!AN94*(1/Constants!$H$135))*ttokg*FracLEACH*MSLeachEF*NtoN2O*kgtoGg,"NO")</f>
        <v>NO</v>
      </c>
      <c r="AO151" s="22" t="str">
        <f>IFERROR(('Activity data'!AO94*(1/Constants!$H$135))*ttokg*FracLEACH*MSLeachEF*NtoN2O*kgtoGg,"NO")</f>
        <v>NO</v>
      </c>
      <c r="AP151" s="22" t="str">
        <f>IFERROR(('Activity data'!AP94*(1/Constants!$H$135))*ttokg*FracLEACH*MSLeachEF*NtoN2O*kgtoGg,"NO")</f>
        <v>NO</v>
      </c>
      <c r="AQ151" s="22" t="str">
        <f>IFERROR(('Activity data'!AQ94*(1/Constants!$H$135))*ttokg*FracLEACH*MSLeachEF*NtoN2O*kgtoGg,"NO")</f>
        <v>NO</v>
      </c>
      <c r="AR151" s="22" t="str">
        <f>IFERROR(('Activity data'!AR94*(1/Constants!$H$135))*ttokg*FracLEACH*MSLeachEF*NtoN2O*kgtoGg,"NO")</f>
        <v>NO</v>
      </c>
      <c r="AS151" s="22" t="str">
        <f>IFERROR(('Activity data'!AS94*(1/Constants!$H$135))*ttokg*FracLEACH*MSLeachEF*NtoN2O*kgtoGg,"NO")</f>
        <v>NO</v>
      </c>
      <c r="AT151" s="22" t="str">
        <f>IFERROR(('Activity data'!AT94*(1/Constants!$H$135))*ttokg*FracLEACH*MSLeachEF*NtoN2O*kgtoGg,"NO")</f>
        <v>NO</v>
      </c>
      <c r="AU151" s="22" t="str">
        <f>IFERROR(('Activity data'!AU94*(1/Constants!$H$135))*ttokg*FracLEACH*MSLeachEF*NtoN2O*kgtoGg,"NO")</f>
        <v>NO</v>
      </c>
      <c r="AV151" s="22" t="str">
        <f>IFERROR(('Activity data'!AV94*(1/Constants!$H$135))*ttokg*FracLEACH*MSLeachEF*NtoN2O*kgtoGg,"NO")</f>
        <v>NO</v>
      </c>
      <c r="AW151" s="22" t="str">
        <f>IFERROR(('Activity data'!AW94*(1/Constants!$H$135))*ttokg*FracLEACH*MSLeachEF*NtoN2O*kgtoGg,"NO")</f>
        <v>NO</v>
      </c>
      <c r="AX151" s="22" t="str">
        <f>IFERROR(('Activity data'!AX94*(1/Constants!$H$135))*ttokg*FracLEACH*MSLeachEF*NtoN2O*kgtoGg,"NO")</f>
        <v>NO</v>
      </c>
      <c r="AY151" s="22" t="str">
        <f>IFERROR(('Activity data'!AY94*(1/Constants!$H$135))*ttokg*FracLEACH*MSLeachEF*NtoN2O*kgtoGg,"NO")</f>
        <v>NO</v>
      </c>
      <c r="AZ151" s="22" t="str">
        <f>IFERROR(('Activity data'!AZ94*(1/Constants!$H$135))*ttokg*FracLEACH*MSLeachEF*NtoN2O*kgtoGg,"NO")</f>
        <v>NO</v>
      </c>
      <c r="BA151" s="22" t="str">
        <f>IFERROR(('Activity data'!BA94*(1/Constants!$H$135))*ttokg*FracLEACH*MSLeachEF*NtoN2O*kgtoGg,"NO")</f>
        <v>NO</v>
      </c>
      <c r="BB151" s="22" t="str">
        <f>IFERROR(('Activity data'!BB94*(1/Constants!$H$135))*ttokg*FracLEACH*MSLeachEF*NtoN2O*kgtoGg,"NO")</f>
        <v>NO</v>
      </c>
      <c r="BC151" s="22" t="str">
        <f>IFERROR(('Activity data'!BC94*(1/Constants!$H$135))*ttokg*FracLEACH*MSLeachEF*NtoN2O*kgtoGg,"NO")</f>
        <v>NO</v>
      </c>
      <c r="BD151" s="22" t="str">
        <f>IFERROR(('Activity data'!BD94*(1/Constants!$H$135))*ttokg*FracLEACH*MSLeachEF*NtoN2O*kgtoGg,"NO")</f>
        <v>NO</v>
      </c>
      <c r="BE151" s="22" t="str">
        <f>IFERROR(('Activity data'!BE94*(1/Constants!$H$135))*ttokg*FracLEACH*MSLeachEF*NtoN2O*kgtoGg,"NO")</f>
        <v>NO</v>
      </c>
      <c r="BF151" s="22" t="str">
        <f>IFERROR(('Activity data'!BF94*(1/Constants!$H$135))*ttokg*FracLEACH*MSLeachEF*NtoN2O*kgtoGg,"NO")</f>
        <v>NO</v>
      </c>
      <c r="BG151" s="22" t="str">
        <f>IFERROR(('Activity data'!BG94*(1/Constants!$H$135))*ttokg*FracLEACH*MSLeachEF*NtoN2O*kgtoGg,"NO")</f>
        <v>NO</v>
      </c>
      <c r="BH151" s="22" t="str">
        <f>IFERROR(('Activity data'!BH94*(1/Constants!$H$135))*ttokg*FracLEACH*MSLeachEF*NtoN2O*kgtoGg,"NO")</f>
        <v>NO</v>
      </c>
      <c r="BI151" s="22" t="str">
        <f>IFERROR(('Activity data'!BI94*(1/Constants!$H$135))*ttokg*FracLEACH*MSLeachEF*NtoN2O*kgtoGg,"NO")</f>
        <v>NO</v>
      </c>
      <c r="BJ151" s="22" t="str">
        <f>IFERROR(('Activity data'!BJ94*(1/Constants!$H$135))*ttokg*FracLEACH*MSLeachEF*NtoN2O*kgtoGg,"NO")</f>
        <v>NO</v>
      </c>
      <c r="BK151" s="22" t="str">
        <f>IFERROR(('Activity data'!BK94*(1/Constants!$H$135))*ttokg*FracLEACH*MSLeachEF*NtoN2O*kgtoGg,"NO")</f>
        <v>NO</v>
      </c>
      <c r="BL151" s="22" t="str">
        <f>IFERROR(('Activity data'!BL94*(1/Constants!$H$135))*ttokg*FracLEACH*MSLeachEF*NtoN2O*kgtoGg,"NO")</f>
        <v>NO</v>
      </c>
      <c r="BM151" s="22" t="str">
        <f>IFERROR(('Activity data'!BM94*(1/Constants!$H$135))*ttokg*FracLEACH*MSLeachEF*NtoN2O*kgtoGg,"NO")</f>
        <v>NO</v>
      </c>
      <c r="BN151" s="22" t="str">
        <f>IFERROR(('Activity data'!BN94*(1/Constants!$H$135))*ttokg*FracLEACH*MSLeachEF*NtoN2O*kgtoGg,"NO")</f>
        <v>NO</v>
      </c>
      <c r="BO151" s="22" t="str">
        <f>IFERROR(('Activity data'!BO94*(1/Constants!$H$135))*ttokg*FracLEACH*MSLeachEF*NtoN2O*kgtoGg,"NO")</f>
        <v>NO</v>
      </c>
      <c r="BP151" s="22" t="str">
        <f>IFERROR(('Activity data'!BP94*(1/Constants!$H$135))*ttokg*FracLEACH*MSLeachEF*NtoN2O*kgtoGg,"NO")</f>
        <v>NO</v>
      </c>
    </row>
    <row r="152" spans="1:68" x14ac:dyDescent="0.25">
      <c r="A152" t="str">
        <f t="shared" si="58"/>
        <v>3C Aggregated and non-CO2 emissions on land</v>
      </c>
      <c r="B152" t="str">
        <f t="shared" si="59"/>
        <v>3C5 Indirect N2O from managed soils (N2O)</v>
      </c>
      <c r="C152" t="str">
        <f t="shared" si="54"/>
        <v>Leaching/runoff</v>
      </c>
      <c r="D152" t="str">
        <f>" - FSOM - "&amp;'Activity data'!D95</f>
        <v xml:space="preserve"> - FSOM - Settlements remaining settlements</v>
      </c>
      <c r="E152" t="str">
        <f t="shared" si="60"/>
        <v>Leaching/runoff - FSOM - Settlements remaining settlements</v>
      </c>
      <c r="F152" t="str">
        <f t="shared" si="47"/>
        <v>N2O</v>
      </c>
      <c r="G152" t="str">
        <f t="shared" si="48"/>
        <v>Gg N2O</v>
      </c>
      <c r="H152" s="22" t="str">
        <f>IFERROR(('Activity data'!H95*(1/Constants!$H$135))*ttokg*FracLEACH*MSLeachEF*NtoN2O*kgtoGg,"NO")</f>
        <v>NO</v>
      </c>
      <c r="I152" s="22">
        <f>IFERROR(('Activity data'!I95*(1/Constants!$H$135))*ttokg*FracLEACH*MSLeachEF*NtoN2O*kgtoGg,"NO")</f>
        <v>1.712428009262699E-7</v>
      </c>
      <c r="J152" s="22">
        <f>IFERROR(('Activity data'!J95*(1/Constants!$H$135))*ttokg*FracLEACH*MSLeachEF*NtoN2O*kgtoGg,"NO")</f>
        <v>1.712428009262699E-7</v>
      </c>
      <c r="K152" s="22">
        <f>IFERROR(('Activity data'!K95*(1/Constants!$H$135))*ttokg*FracLEACH*MSLeachEF*NtoN2O*kgtoGg,"NO")</f>
        <v>1.712428009262699E-7</v>
      </c>
      <c r="L152" s="22">
        <f>IFERROR(('Activity data'!L95*(1/Constants!$H$135))*ttokg*FracLEACH*MSLeachEF*NtoN2O*kgtoGg,"NO")</f>
        <v>1.712428009262699E-7</v>
      </c>
      <c r="M152" s="22">
        <f>IFERROR(('Activity data'!M95*(1/Constants!$H$135))*ttokg*FracLEACH*MSLeachEF*NtoN2O*kgtoGg,"NO")</f>
        <v>1.712428009262699E-7</v>
      </c>
      <c r="N152" s="22">
        <f>IFERROR(('Activity data'!N95*(1/Constants!$H$135))*ttokg*FracLEACH*MSLeachEF*NtoN2O*kgtoGg,"NO")</f>
        <v>1.712428009262699E-7</v>
      </c>
      <c r="O152" s="22">
        <f>IFERROR(('Activity data'!O95*(1/Constants!$H$135))*ttokg*FracLEACH*MSLeachEF*NtoN2O*kgtoGg,"NO")</f>
        <v>1.712428009262699E-7</v>
      </c>
      <c r="P152" s="22">
        <f>IFERROR(('Activity data'!P95*(1/Constants!$H$135))*ttokg*FracLEACH*MSLeachEF*NtoN2O*kgtoGg,"NO")</f>
        <v>1.712428009262699E-7</v>
      </c>
      <c r="Q152" s="22">
        <f>IFERROR(('Activity data'!Q95*(1/Constants!$H$135))*ttokg*FracLEACH*MSLeachEF*NtoN2O*kgtoGg,"NO")</f>
        <v>1.712428009262699E-7</v>
      </c>
      <c r="R152" s="22">
        <f>IFERROR(('Activity data'!R95*(1/Constants!$H$135))*ttokg*FracLEACH*MSLeachEF*NtoN2O*kgtoGg,"NO")</f>
        <v>1.712428009262699E-7</v>
      </c>
      <c r="S152" s="22">
        <f>IFERROR(('Activity data'!S95*(1/Constants!$H$135))*ttokg*FracLEACH*MSLeachEF*NtoN2O*kgtoGg,"NO")</f>
        <v>1.712428009262699E-7</v>
      </c>
      <c r="T152" s="22">
        <f>IFERROR(('Activity data'!T95*(1/Constants!$H$135))*ttokg*FracLEACH*MSLeachEF*NtoN2O*kgtoGg,"NO")</f>
        <v>1.712428009262699E-7</v>
      </c>
      <c r="U152" s="22">
        <f>IFERROR(('Activity data'!U95*(1/Constants!$H$135))*ttokg*FracLEACH*MSLeachEF*NtoN2O*kgtoGg,"NO")</f>
        <v>1.712428009262699E-7</v>
      </c>
      <c r="V152" s="22">
        <f>IFERROR(('Activity data'!V95*(1/Constants!$H$135))*ttokg*FracLEACH*MSLeachEF*NtoN2O*kgtoGg,"NO")</f>
        <v>1.712428009262699E-7</v>
      </c>
      <c r="W152" s="22">
        <f>IFERROR(('Activity data'!W95*(1/Constants!$H$135))*ttokg*FracLEACH*MSLeachEF*NtoN2O*kgtoGg,"NO")</f>
        <v>1.712428009262699E-7</v>
      </c>
      <c r="X152" s="22">
        <f>IFERROR(('Activity data'!X95*(1/Constants!$H$135))*ttokg*FracLEACH*MSLeachEF*NtoN2O*kgtoGg,"NO")</f>
        <v>1.712428009262699E-7</v>
      </c>
      <c r="Y152" s="22">
        <f>IFERROR(('Activity data'!Y95*(1/Constants!$H$135))*ttokg*FracLEACH*MSLeachEF*NtoN2O*kgtoGg,"NO")</f>
        <v>1.712428009262699E-7</v>
      </c>
      <c r="Z152" s="22">
        <f>IFERROR(('Activity data'!Z95*(1/Constants!$H$135))*ttokg*FracLEACH*MSLeachEF*NtoN2O*kgtoGg,"NO")</f>
        <v>1.712428009262699E-7</v>
      </c>
      <c r="AA152" s="22">
        <f>IFERROR(('Activity data'!AA95*(1/Constants!$H$135))*ttokg*FracLEACH*MSLeachEF*NtoN2O*kgtoGg,"NO")</f>
        <v>1.712428009262699E-7</v>
      </c>
      <c r="AB152" s="22">
        <f>IFERROR(('Activity data'!AB95*(1/Constants!$H$135))*ttokg*FracLEACH*MSLeachEF*NtoN2O*kgtoGg,"NO")</f>
        <v>1.712428009262699E-7</v>
      </c>
      <c r="AC152" s="22">
        <f>IFERROR(('Activity data'!AC95*(1/Constants!$H$135))*ttokg*FracLEACH*MSLeachEF*NtoN2O*kgtoGg,"NO")</f>
        <v>1.712428009262699E-7</v>
      </c>
      <c r="AD152" s="22">
        <f>IFERROR(('Activity data'!AD95*(1/Constants!$H$135))*ttokg*FracLEACH*MSLeachEF*NtoN2O*kgtoGg,"NO")</f>
        <v>1.9333864620707719E-6</v>
      </c>
      <c r="AE152" s="22">
        <f>IFERROR(('Activity data'!AE95*(1/Constants!$H$135))*ttokg*FracLEACH*MSLeachEF*NtoN2O*kgtoGg,"NO")</f>
        <v>1.9333864620707719E-6</v>
      </c>
      <c r="AF152" s="22">
        <f>IFERROR(('Activity data'!AF95*(1/Constants!$H$135))*ttokg*FracLEACH*MSLeachEF*NtoN2O*kgtoGg,"NO")</f>
        <v>1.9333864620707719E-6</v>
      </c>
      <c r="AG152" s="22">
        <f>IFERROR(('Activity data'!AG95*(1/Constants!$H$135))*ttokg*FracLEACH*MSLeachEF*NtoN2O*kgtoGg,"NO")</f>
        <v>1.9333864620707719E-6</v>
      </c>
      <c r="AH152" s="22">
        <f>IFERROR(('Activity data'!AH95*(1/Constants!$H$135))*ttokg*FracLEACH*MSLeachEF*NtoN2O*kgtoGg,"NO")</f>
        <v>1.9333864620707719E-6</v>
      </c>
      <c r="AI152" s="22">
        <f>IFERROR(('Activity data'!AI95*(1/Constants!$H$135))*ttokg*FracLEACH*MSLeachEF*NtoN2O*kgtoGg,"NO")</f>
        <v>1.9333864620707719E-6</v>
      </c>
      <c r="AJ152" s="22">
        <f>IFERROR(('Activity data'!AJ95*(1/Constants!$H$135))*ttokg*FracLEACH*MSLeachEF*NtoN2O*kgtoGg,"NO")</f>
        <v>1.9333864620707719E-6</v>
      </c>
      <c r="AK152" s="22">
        <f>IFERROR(('Activity data'!AK95*(1/Constants!$H$135))*ttokg*FracLEACH*MSLeachEF*NtoN2O*kgtoGg,"NO")</f>
        <v>1.9333864620707719E-6</v>
      </c>
      <c r="AL152" s="22">
        <f>IFERROR(('Activity data'!AL95*(1/Constants!$H$135))*ttokg*FracLEACH*MSLeachEF*NtoN2O*kgtoGg,"NO")</f>
        <v>1.9333864620707719E-6</v>
      </c>
      <c r="AM152" s="22">
        <f>IFERROR(('Activity data'!AM95*(1/Constants!$H$135))*ttokg*FracLEACH*MSLeachEF*NtoN2O*kgtoGg,"NO")</f>
        <v>1.9333864620707719E-6</v>
      </c>
      <c r="AN152" s="22">
        <f>IFERROR(('Activity data'!AN95*(1/Constants!$H$135))*ttokg*FracLEACH*MSLeachEF*NtoN2O*kgtoGg,"NO")</f>
        <v>1.9333864620707719E-6</v>
      </c>
      <c r="AO152" s="22">
        <f>IFERROR(('Activity data'!AO95*(1/Constants!$H$135))*ttokg*FracLEACH*MSLeachEF*NtoN2O*kgtoGg,"NO")</f>
        <v>1.9333864620707719E-6</v>
      </c>
      <c r="AP152" s="22">
        <f>IFERROR(('Activity data'!AP95*(1/Constants!$H$135))*ttokg*FracLEACH*MSLeachEF*NtoN2O*kgtoGg,"NO")</f>
        <v>1.9333864620707719E-6</v>
      </c>
      <c r="AQ152" s="22">
        <f>IFERROR(('Activity data'!AQ95*(1/Constants!$H$135))*ttokg*FracLEACH*MSLeachEF*NtoN2O*kgtoGg,"NO")</f>
        <v>1.9333864620707719E-6</v>
      </c>
      <c r="AR152" s="22">
        <f>IFERROR(('Activity data'!AR95*(1/Constants!$H$135))*ttokg*FracLEACH*MSLeachEF*NtoN2O*kgtoGg,"NO")</f>
        <v>1.9333864620707719E-6</v>
      </c>
      <c r="AS152" s="22">
        <f>IFERROR(('Activity data'!AS95*(1/Constants!$H$135))*ttokg*FracLEACH*MSLeachEF*NtoN2O*kgtoGg,"NO")</f>
        <v>1.9333864620707719E-6</v>
      </c>
      <c r="AT152" s="22">
        <f>IFERROR(('Activity data'!AT95*(1/Constants!$H$135))*ttokg*FracLEACH*MSLeachEF*NtoN2O*kgtoGg,"NO")</f>
        <v>1.9333864620707719E-6</v>
      </c>
      <c r="AU152" s="22">
        <f>IFERROR(('Activity data'!AU95*(1/Constants!$H$135))*ttokg*FracLEACH*MSLeachEF*NtoN2O*kgtoGg,"NO")</f>
        <v>1.9333864620707719E-6</v>
      </c>
      <c r="AV152" s="22">
        <f>IFERROR(('Activity data'!AV95*(1/Constants!$H$135))*ttokg*FracLEACH*MSLeachEF*NtoN2O*kgtoGg,"NO")</f>
        <v>1.9333864620707719E-6</v>
      </c>
      <c r="AW152" s="22">
        <f>IFERROR(('Activity data'!AW95*(1/Constants!$H$135))*ttokg*FracLEACH*MSLeachEF*NtoN2O*kgtoGg,"NO")</f>
        <v>1.9333864620707719E-6</v>
      </c>
      <c r="AX152" s="22">
        <f>IFERROR(('Activity data'!AX95*(1/Constants!$H$135))*ttokg*FracLEACH*MSLeachEF*NtoN2O*kgtoGg,"NO")</f>
        <v>1.9333864620707719E-6</v>
      </c>
      <c r="AY152" s="22">
        <f>IFERROR(('Activity data'!AY95*(1/Constants!$H$135))*ttokg*FracLEACH*MSLeachEF*NtoN2O*kgtoGg,"NO")</f>
        <v>1.9333864620707719E-6</v>
      </c>
      <c r="AZ152" s="22">
        <f>IFERROR(('Activity data'!AZ95*(1/Constants!$H$135))*ttokg*FracLEACH*MSLeachEF*NtoN2O*kgtoGg,"NO")</f>
        <v>1.9333864620707719E-6</v>
      </c>
      <c r="BA152" s="22">
        <f>IFERROR(('Activity data'!BA95*(1/Constants!$H$135))*ttokg*FracLEACH*MSLeachEF*NtoN2O*kgtoGg,"NO")</f>
        <v>1.9333864620707719E-6</v>
      </c>
      <c r="BB152" s="22">
        <f>IFERROR(('Activity data'!BB95*(1/Constants!$H$135))*ttokg*FracLEACH*MSLeachEF*NtoN2O*kgtoGg,"NO")</f>
        <v>1.9333864620707719E-6</v>
      </c>
      <c r="BC152" s="22">
        <f>IFERROR(('Activity data'!BC95*(1/Constants!$H$135))*ttokg*FracLEACH*MSLeachEF*NtoN2O*kgtoGg,"NO")</f>
        <v>1.9333864620707719E-6</v>
      </c>
      <c r="BD152" s="22">
        <f>IFERROR(('Activity data'!BD95*(1/Constants!$H$135))*ttokg*FracLEACH*MSLeachEF*NtoN2O*kgtoGg,"NO")</f>
        <v>1.9333864620707719E-6</v>
      </c>
      <c r="BE152" s="22">
        <f>IFERROR(('Activity data'!BE95*(1/Constants!$H$135))*ttokg*FracLEACH*MSLeachEF*NtoN2O*kgtoGg,"NO")</f>
        <v>1.9333864620707719E-6</v>
      </c>
      <c r="BF152" s="22">
        <f>IFERROR(('Activity data'!BF95*(1/Constants!$H$135))*ttokg*FracLEACH*MSLeachEF*NtoN2O*kgtoGg,"NO")</f>
        <v>1.9333864620707719E-6</v>
      </c>
      <c r="BG152" s="22">
        <f>IFERROR(('Activity data'!BG95*(1/Constants!$H$135))*ttokg*FracLEACH*MSLeachEF*NtoN2O*kgtoGg,"NO")</f>
        <v>1.9333864620707719E-6</v>
      </c>
      <c r="BH152" s="22">
        <f>IFERROR(('Activity data'!BH95*(1/Constants!$H$135))*ttokg*FracLEACH*MSLeachEF*NtoN2O*kgtoGg,"NO")</f>
        <v>1.9333864620707719E-6</v>
      </c>
      <c r="BI152" s="22">
        <f>IFERROR(('Activity data'!BI95*(1/Constants!$H$135))*ttokg*FracLEACH*MSLeachEF*NtoN2O*kgtoGg,"NO")</f>
        <v>1.9333864620707719E-6</v>
      </c>
      <c r="BJ152" s="22">
        <f>IFERROR(('Activity data'!BJ95*(1/Constants!$H$135))*ttokg*FracLEACH*MSLeachEF*NtoN2O*kgtoGg,"NO")</f>
        <v>1.9333864620707719E-6</v>
      </c>
      <c r="BK152" s="22">
        <f>IFERROR(('Activity data'!BK95*(1/Constants!$H$135))*ttokg*FracLEACH*MSLeachEF*NtoN2O*kgtoGg,"NO")</f>
        <v>1.9333864620707719E-6</v>
      </c>
      <c r="BL152" s="22">
        <f>IFERROR(('Activity data'!BL95*(1/Constants!$H$135))*ttokg*FracLEACH*MSLeachEF*NtoN2O*kgtoGg,"NO")</f>
        <v>1.9333864620707719E-6</v>
      </c>
      <c r="BM152" s="22">
        <f>IFERROR(('Activity data'!BM95*(1/Constants!$H$135))*ttokg*FracLEACH*MSLeachEF*NtoN2O*kgtoGg,"NO")</f>
        <v>1.9333864620707719E-6</v>
      </c>
      <c r="BN152" s="22">
        <f>IFERROR(('Activity data'!BN95*(1/Constants!$H$135))*ttokg*FracLEACH*MSLeachEF*NtoN2O*kgtoGg,"NO")</f>
        <v>1.9333864620707719E-6</v>
      </c>
      <c r="BO152" s="22">
        <f>IFERROR(('Activity data'!BO95*(1/Constants!$H$135))*ttokg*FracLEACH*MSLeachEF*NtoN2O*kgtoGg,"NO")</f>
        <v>1.9333864620707719E-6</v>
      </c>
      <c r="BP152" s="22">
        <f>IFERROR(('Activity data'!BP95*(1/Constants!$H$135))*ttokg*FracLEACH*MSLeachEF*NtoN2O*kgtoGg,"NO")</f>
        <v>1.9333864620707719E-6</v>
      </c>
    </row>
    <row r="153" spans="1:68" x14ac:dyDescent="0.25">
      <c r="A153" t="str">
        <f t="shared" si="58"/>
        <v>3C Aggregated and non-CO2 emissions on land</v>
      </c>
      <c r="B153" t="str">
        <f t="shared" si="59"/>
        <v>3C5 Indirect N2O from managed soils (N2O)</v>
      </c>
      <c r="C153" t="str">
        <f t="shared" si="54"/>
        <v>Leaching/runoff</v>
      </c>
      <c r="D153" t="str">
        <f>" - FSOM - "&amp;'Activity data'!D96</f>
        <v xml:space="preserve"> - FSOM - Land converted to settlements</v>
      </c>
      <c r="E153" t="str">
        <f t="shared" si="60"/>
        <v>Leaching/runoff - FSOM - Land converted to settlements</v>
      </c>
      <c r="F153" t="str">
        <f t="shared" si="47"/>
        <v>N2O</v>
      </c>
      <c r="G153" t="str">
        <f t="shared" si="48"/>
        <v>Gg N2O</v>
      </c>
      <c r="H153" s="22">
        <f>IFERROR(('Activity data'!H96*(1/Constants!$H$135))*ttokg*FracLEACH*MSLeachEF*NtoN2O*kgtoGg,"NO")</f>
        <v>0</v>
      </c>
      <c r="I153" s="22">
        <f>IFERROR(('Activity data'!I96*(1/Constants!$H$135))*ttokg*FracLEACH*MSLeachEF*NtoN2O*kgtoGg,"NO")</f>
        <v>2.1478724107376677E-4</v>
      </c>
      <c r="J153" s="22">
        <f>IFERROR(('Activity data'!J96*(1/Constants!$H$135))*ttokg*FracLEACH*MSLeachEF*NtoN2O*kgtoGg,"NO")</f>
        <v>2.1478724107376677E-4</v>
      </c>
      <c r="K153" s="22">
        <f>IFERROR(('Activity data'!K96*(1/Constants!$H$135))*ttokg*FracLEACH*MSLeachEF*NtoN2O*kgtoGg,"NO")</f>
        <v>2.1478724107376677E-4</v>
      </c>
      <c r="L153" s="22">
        <f>IFERROR(('Activity data'!L96*(1/Constants!$H$135))*ttokg*FracLEACH*MSLeachEF*NtoN2O*kgtoGg,"NO")</f>
        <v>2.1478724107376677E-4</v>
      </c>
      <c r="M153" s="22">
        <f>IFERROR(('Activity data'!M96*(1/Constants!$H$135))*ttokg*FracLEACH*MSLeachEF*NtoN2O*kgtoGg,"NO")</f>
        <v>2.1478724107376677E-4</v>
      </c>
      <c r="N153" s="22">
        <f>IFERROR(('Activity data'!N96*(1/Constants!$H$135))*ttokg*FracLEACH*MSLeachEF*NtoN2O*kgtoGg,"NO")</f>
        <v>2.1478724107376677E-4</v>
      </c>
      <c r="O153" s="22">
        <f>IFERROR(('Activity data'!O96*(1/Constants!$H$135))*ttokg*FracLEACH*MSLeachEF*NtoN2O*kgtoGg,"NO")</f>
        <v>2.1478724107376677E-4</v>
      </c>
      <c r="P153" s="22">
        <f>IFERROR(('Activity data'!P96*(1/Constants!$H$135))*ttokg*FracLEACH*MSLeachEF*NtoN2O*kgtoGg,"NO")</f>
        <v>2.1478724107376677E-4</v>
      </c>
      <c r="Q153" s="22">
        <f>IFERROR(('Activity data'!Q96*(1/Constants!$H$135))*ttokg*FracLEACH*MSLeachEF*NtoN2O*kgtoGg,"NO")</f>
        <v>2.1478724107376677E-4</v>
      </c>
      <c r="R153" s="22">
        <f>IFERROR(('Activity data'!R96*(1/Constants!$H$135))*ttokg*FracLEACH*MSLeachEF*NtoN2O*kgtoGg,"NO")</f>
        <v>2.1478724107376677E-4</v>
      </c>
      <c r="S153" s="22">
        <f>IFERROR(('Activity data'!S96*(1/Constants!$H$135))*ttokg*FracLEACH*MSLeachEF*NtoN2O*kgtoGg,"NO")</f>
        <v>2.1478724107376677E-4</v>
      </c>
      <c r="T153" s="22">
        <f>IFERROR(('Activity data'!T96*(1/Constants!$H$135))*ttokg*FracLEACH*MSLeachEF*NtoN2O*kgtoGg,"NO")</f>
        <v>2.1478724107376677E-4</v>
      </c>
      <c r="U153" s="22">
        <f>IFERROR(('Activity data'!U96*(1/Constants!$H$135))*ttokg*FracLEACH*MSLeachEF*NtoN2O*kgtoGg,"NO")</f>
        <v>2.1478724107376677E-4</v>
      </c>
      <c r="V153" s="22">
        <f>IFERROR(('Activity data'!V96*(1/Constants!$H$135))*ttokg*FracLEACH*MSLeachEF*NtoN2O*kgtoGg,"NO")</f>
        <v>2.1478724107376677E-4</v>
      </c>
      <c r="W153" s="22">
        <f>IFERROR(('Activity data'!W96*(1/Constants!$H$135))*ttokg*FracLEACH*MSLeachEF*NtoN2O*kgtoGg,"NO")</f>
        <v>2.1478724107376677E-4</v>
      </c>
      <c r="X153" s="22">
        <f>IFERROR(('Activity data'!X96*(1/Constants!$H$135))*ttokg*FracLEACH*MSLeachEF*NtoN2O*kgtoGg,"NO")</f>
        <v>2.1478724107376677E-4</v>
      </c>
      <c r="Y153" s="22">
        <f>IFERROR(('Activity data'!Y96*(1/Constants!$H$135))*ttokg*FracLEACH*MSLeachEF*NtoN2O*kgtoGg,"NO")</f>
        <v>2.1478724107376677E-4</v>
      </c>
      <c r="Z153" s="22">
        <f>IFERROR(('Activity data'!Z96*(1/Constants!$H$135))*ttokg*FracLEACH*MSLeachEF*NtoN2O*kgtoGg,"NO")</f>
        <v>2.1478724107376677E-4</v>
      </c>
      <c r="AA153" s="22">
        <f>IFERROR(('Activity data'!AA96*(1/Constants!$H$135))*ttokg*FracLEACH*MSLeachEF*NtoN2O*kgtoGg,"NO")</f>
        <v>2.1478724107376677E-4</v>
      </c>
      <c r="AB153" s="22">
        <f>IFERROR(('Activity data'!AB96*(1/Constants!$H$135))*ttokg*FracLEACH*MSLeachEF*NtoN2O*kgtoGg,"NO")</f>
        <v>2.1478724107376677E-4</v>
      </c>
      <c r="AC153" s="22">
        <f>IFERROR(('Activity data'!AC96*(1/Constants!$H$135))*ttokg*FracLEACH*MSLeachEF*NtoN2O*kgtoGg,"NO")</f>
        <v>2.1478724107376677E-4</v>
      </c>
      <c r="AD153" s="22">
        <f>IFERROR(('Activity data'!AD96*(1/Constants!$H$135))*ttokg*FracLEACH*MSLeachEF*NtoN2O*kgtoGg,"NO")</f>
        <v>2.1082459751876198E-3</v>
      </c>
      <c r="AE153" s="22">
        <f>IFERROR(('Activity data'!AE96*(1/Constants!$H$135))*ttokg*FracLEACH*MSLeachEF*NtoN2O*kgtoGg,"NO")</f>
        <v>2.1082459751876198E-3</v>
      </c>
      <c r="AF153" s="22">
        <f>IFERROR(('Activity data'!AF96*(1/Constants!$H$135))*ttokg*FracLEACH*MSLeachEF*NtoN2O*kgtoGg,"NO")</f>
        <v>2.1082459751876198E-3</v>
      </c>
      <c r="AG153" s="22">
        <f>IFERROR(('Activity data'!AG96*(1/Constants!$H$135))*ttokg*FracLEACH*MSLeachEF*NtoN2O*kgtoGg,"NO")</f>
        <v>2.1082459751876198E-3</v>
      </c>
      <c r="AH153" s="22">
        <f>IFERROR(('Activity data'!AH96*(1/Constants!$H$135))*ttokg*FracLEACH*MSLeachEF*NtoN2O*kgtoGg,"NO")</f>
        <v>2.1082459751876198E-3</v>
      </c>
      <c r="AI153" s="22">
        <f>IFERROR(('Activity data'!AI96*(1/Constants!$H$135))*ttokg*FracLEACH*MSLeachEF*NtoN2O*kgtoGg,"NO")</f>
        <v>2.1082459751876198E-3</v>
      </c>
      <c r="AJ153" s="22">
        <f>IFERROR(('Activity data'!AJ96*(1/Constants!$H$135))*ttokg*FracLEACH*MSLeachEF*NtoN2O*kgtoGg,"NO")</f>
        <v>2.1082459751876198E-3</v>
      </c>
      <c r="AK153" s="22">
        <f>IFERROR(('Activity data'!AK96*(1/Constants!$H$135))*ttokg*FracLEACH*MSLeachEF*NtoN2O*kgtoGg,"NO")</f>
        <v>2.1082459751876198E-3</v>
      </c>
      <c r="AL153" s="22">
        <f>IFERROR(('Activity data'!AL96*(1/Constants!$H$135))*ttokg*FracLEACH*MSLeachEF*NtoN2O*kgtoGg,"NO")</f>
        <v>2.1082459751876198E-3</v>
      </c>
      <c r="AM153" s="22">
        <f>IFERROR(('Activity data'!AM96*(1/Constants!$H$135))*ttokg*FracLEACH*MSLeachEF*NtoN2O*kgtoGg,"NO")</f>
        <v>2.1082459751876198E-3</v>
      </c>
      <c r="AN153" s="22">
        <f>IFERROR(('Activity data'!AN96*(1/Constants!$H$135))*ttokg*FracLEACH*MSLeachEF*NtoN2O*kgtoGg,"NO")</f>
        <v>2.1082459751876198E-3</v>
      </c>
      <c r="AO153" s="22">
        <f>IFERROR(('Activity data'!AO96*(1/Constants!$H$135))*ttokg*FracLEACH*MSLeachEF*NtoN2O*kgtoGg,"NO")</f>
        <v>2.1082459751876198E-3</v>
      </c>
      <c r="AP153" s="22">
        <f>IFERROR(('Activity data'!AP96*(1/Constants!$H$135))*ttokg*FracLEACH*MSLeachEF*NtoN2O*kgtoGg,"NO")</f>
        <v>2.1082459751876198E-3</v>
      </c>
      <c r="AQ153" s="22">
        <f>IFERROR(('Activity data'!AQ96*(1/Constants!$H$135))*ttokg*FracLEACH*MSLeachEF*NtoN2O*kgtoGg,"NO")</f>
        <v>2.1082459751876198E-3</v>
      </c>
      <c r="AR153" s="22">
        <f>IFERROR(('Activity data'!AR96*(1/Constants!$H$135))*ttokg*FracLEACH*MSLeachEF*NtoN2O*kgtoGg,"NO")</f>
        <v>2.1082459751876198E-3</v>
      </c>
      <c r="AS153" s="22">
        <f>IFERROR(('Activity data'!AS96*(1/Constants!$H$135))*ttokg*FracLEACH*MSLeachEF*NtoN2O*kgtoGg,"NO")</f>
        <v>2.1082459751876198E-3</v>
      </c>
      <c r="AT153" s="22">
        <f>IFERROR(('Activity data'!AT96*(1/Constants!$H$135))*ttokg*FracLEACH*MSLeachEF*NtoN2O*kgtoGg,"NO")</f>
        <v>2.1082459751876198E-3</v>
      </c>
      <c r="AU153" s="22">
        <f>IFERROR(('Activity data'!AU96*(1/Constants!$H$135))*ttokg*FracLEACH*MSLeachEF*NtoN2O*kgtoGg,"NO")</f>
        <v>2.1082459751876198E-3</v>
      </c>
      <c r="AV153" s="22">
        <f>IFERROR(('Activity data'!AV96*(1/Constants!$H$135))*ttokg*FracLEACH*MSLeachEF*NtoN2O*kgtoGg,"NO")</f>
        <v>2.1082459751876198E-3</v>
      </c>
      <c r="AW153" s="22">
        <f>IFERROR(('Activity data'!AW96*(1/Constants!$H$135))*ttokg*FracLEACH*MSLeachEF*NtoN2O*kgtoGg,"NO")</f>
        <v>2.1082459751876198E-3</v>
      </c>
      <c r="AX153" s="22">
        <f>IFERROR(('Activity data'!AX96*(1/Constants!$H$135))*ttokg*FracLEACH*MSLeachEF*NtoN2O*kgtoGg,"NO")</f>
        <v>2.1082459751876198E-3</v>
      </c>
      <c r="AY153" s="22">
        <f>IFERROR(('Activity data'!AY96*(1/Constants!$H$135))*ttokg*FracLEACH*MSLeachEF*NtoN2O*kgtoGg,"NO")</f>
        <v>2.1082459751876198E-3</v>
      </c>
      <c r="AZ153" s="22">
        <f>IFERROR(('Activity data'!AZ96*(1/Constants!$H$135))*ttokg*FracLEACH*MSLeachEF*NtoN2O*kgtoGg,"NO")</f>
        <v>2.1082459751876198E-3</v>
      </c>
      <c r="BA153" s="22">
        <f>IFERROR(('Activity data'!BA96*(1/Constants!$H$135))*ttokg*FracLEACH*MSLeachEF*NtoN2O*kgtoGg,"NO")</f>
        <v>2.1082459751876198E-3</v>
      </c>
      <c r="BB153" s="22">
        <f>IFERROR(('Activity data'!BB96*(1/Constants!$H$135))*ttokg*FracLEACH*MSLeachEF*NtoN2O*kgtoGg,"NO")</f>
        <v>2.1082459751876198E-3</v>
      </c>
      <c r="BC153" s="22">
        <f>IFERROR(('Activity data'!BC96*(1/Constants!$H$135))*ttokg*FracLEACH*MSLeachEF*NtoN2O*kgtoGg,"NO")</f>
        <v>2.1082459751876198E-3</v>
      </c>
      <c r="BD153" s="22">
        <f>IFERROR(('Activity data'!BD96*(1/Constants!$H$135))*ttokg*FracLEACH*MSLeachEF*NtoN2O*kgtoGg,"NO")</f>
        <v>2.1082459751876198E-3</v>
      </c>
      <c r="BE153" s="22">
        <f>IFERROR(('Activity data'!BE96*(1/Constants!$H$135))*ttokg*FracLEACH*MSLeachEF*NtoN2O*kgtoGg,"NO")</f>
        <v>2.1082459751876198E-3</v>
      </c>
      <c r="BF153" s="22">
        <f>IFERROR(('Activity data'!BF96*(1/Constants!$H$135))*ttokg*FracLEACH*MSLeachEF*NtoN2O*kgtoGg,"NO")</f>
        <v>2.1082459751876198E-3</v>
      </c>
      <c r="BG153" s="22">
        <f>IFERROR(('Activity data'!BG96*(1/Constants!$H$135))*ttokg*FracLEACH*MSLeachEF*NtoN2O*kgtoGg,"NO")</f>
        <v>2.1082459751876198E-3</v>
      </c>
      <c r="BH153" s="22">
        <f>IFERROR(('Activity data'!BH96*(1/Constants!$H$135))*ttokg*FracLEACH*MSLeachEF*NtoN2O*kgtoGg,"NO")</f>
        <v>2.1082459751876198E-3</v>
      </c>
      <c r="BI153" s="22">
        <f>IFERROR(('Activity data'!BI96*(1/Constants!$H$135))*ttokg*FracLEACH*MSLeachEF*NtoN2O*kgtoGg,"NO")</f>
        <v>2.1082459751876198E-3</v>
      </c>
      <c r="BJ153" s="22">
        <f>IFERROR(('Activity data'!BJ96*(1/Constants!$H$135))*ttokg*FracLEACH*MSLeachEF*NtoN2O*kgtoGg,"NO")</f>
        <v>2.1082459751876198E-3</v>
      </c>
      <c r="BK153" s="22">
        <f>IFERROR(('Activity data'!BK96*(1/Constants!$H$135))*ttokg*FracLEACH*MSLeachEF*NtoN2O*kgtoGg,"NO")</f>
        <v>2.1082459751876198E-3</v>
      </c>
      <c r="BL153" s="22">
        <f>IFERROR(('Activity data'!BL96*(1/Constants!$H$135))*ttokg*FracLEACH*MSLeachEF*NtoN2O*kgtoGg,"NO")</f>
        <v>2.1082459751876198E-3</v>
      </c>
      <c r="BM153" s="22">
        <f>IFERROR(('Activity data'!BM96*(1/Constants!$H$135))*ttokg*FracLEACH*MSLeachEF*NtoN2O*kgtoGg,"NO")</f>
        <v>2.1082459751876198E-3</v>
      </c>
      <c r="BN153" s="22">
        <f>IFERROR(('Activity data'!BN96*(1/Constants!$H$135))*ttokg*FracLEACH*MSLeachEF*NtoN2O*kgtoGg,"NO")</f>
        <v>2.1082459751876198E-3</v>
      </c>
      <c r="BO153" s="22">
        <f>IFERROR(('Activity data'!BO96*(1/Constants!$H$135))*ttokg*FracLEACH*MSLeachEF*NtoN2O*kgtoGg,"NO")</f>
        <v>2.1082459751876198E-3</v>
      </c>
      <c r="BP153" s="22">
        <f>IFERROR(('Activity data'!BP96*(1/Constants!$H$135))*ttokg*FracLEACH*MSLeachEF*NtoN2O*kgtoGg,"NO")</f>
        <v>2.1082459751876198E-3</v>
      </c>
    </row>
    <row r="154" spans="1:68" x14ac:dyDescent="0.25">
      <c r="A154" t="str">
        <f t="shared" si="58"/>
        <v>3C Aggregated and non-CO2 emissions on land</v>
      </c>
      <c r="B154" t="str">
        <f t="shared" si="59"/>
        <v>3C5 Indirect N2O from managed soils (N2O)</v>
      </c>
      <c r="C154" t="str">
        <f t="shared" si="54"/>
        <v>Leaching/runoff</v>
      </c>
      <c r="D154" t="str">
        <f>" - FSOM - "&amp;'Activity data'!D97</f>
        <v xml:space="preserve"> - FSOM - Other land remaining other land</v>
      </c>
      <c r="E154" t="str">
        <f t="shared" si="60"/>
        <v>Leaching/runoff - FSOM - Other land remaining other land</v>
      </c>
      <c r="F154" t="str">
        <f t="shared" si="47"/>
        <v>N2O</v>
      </c>
      <c r="G154" t="str">
        <f t="shared" si="48"/>
        <v>Gg N2O</v>
      </c>
      <c r="H154" s="22" t="str">
        <f>IFERROR(('Activity data'!H97*(1/Constants!$H$135))*ttokg*FracLEACH*MSLeachEF*NtoN2O*kgtoGg,"NO")</f>
        <v>NO</v>
      </c>
      <c r="I154" s="22" t="str">
        <f>IFERROR(('Activity data'!I97*(1/Constants!$H$135))*ttokg*FracLEACH*MSLeachEF*NtoN2O*kgtoGg,"NO")</f>
        <v>NO</v>
      </c>
      <c r="J154" s="22" t="str">
        <f>IFERROR(('Activity data'!J97*(1/Constants!$H$135))*ttokg*FracLEACH*MSLeachEF*NtoN2O*kgtoGg,"NO")</f>
        <v>NO</v>
      </c>
      <c r="K154" s="22" t="str">
        <f>IFERROR(('Activity data'!K97*(1/Constants!$H$135))*ttokg*FracLEACH*MSLeachEF*NtoN2O*kgtoGg,"NO")</f>
        <v>NO</v>
      </c>
      <c r="L154" s="22" t="str">
        <f>IFERROR(('Activity data'!L97*(1/Constants!$H$135))*ttokg*FracLEACH*MSLeachEF*NtoN2O*kgtoGg,"NO")</f>
        <v>NO</v>
      </c>
      <c r="M154" s="22" t="str">
        <f>IFERROR(('Activity data'!M97*(1/Constants!$H$135))*ttokg*FracLEACH*MSLeachEF*NtoN2O*kgtoGg,"NO")</f>
        <v>NO</v>
      </c>
      <c r="N154" s="22" t="str">
        <f>IFERROR(('Activity data'!N97*(1/Constants!$H$135))*ttokg*FracLEACH*MSLeachEF*NtoN2O*kgtoGg,"NO")</f>
        <v>NO</v>
      </c>
      <c r="O154" s="22" t="str">
        <f>IFERROR(('Activity data'!O97*(1/Constants!$H$135))*ttokg*FracLEACH*MSLeachEF*NtoN2O*kgtoGg,"NO")</f>
        <v>NO</v>
      </c>
      <c r="P154" s="22" t="str">
        <f>IFERROR(('Activity data'!P97*(1/Constants!$H$135))*ttokg*FracLEACH*MSLeachEF*NtoN2O*kgtoGg,"NO")</f>
        <v>NO</v>
      </c>
      <c r="Q154" s="22" t="str">
        <f>IFERROR(('Activity data'!Q97*(1/Constants!$H$135))*ttokg*FracLEACH*MSLeachEF*NtoN2O*kgtoGg,"NO")</f>
        <v>NO</v>
      </c>
      <c r="R154" s="22" t="str">
        <f>IFERROR(('Activity data'!R97*(1/Constants!$H$135))*ttokg*FracLEACH*MSLeachEF*NtoN2O*kgtoGg,"NO")</f>
        <v>NO</v>
      </c>
      <c r="S154" s="22" t="str">
        <f>IFERROR(('Activity data'!S97*(1/Constants!$H$135))*ttokg*FracLEACH*MSLeachEF*NtoN2O*kgtoGg,"NO")</f>
        <v>NO</v>
      </c>
      <c r="T154" s="22" t="str">
        <f>IFERROR(('Activity data'!T97*(1/Constants!$H$135))*ttokg*FracLEACH*MSLeachEF*NtoN2O*kgtoGg,"NO")</f>
        <v>NO</v>
      </c>
      <c r="U154" s="22" t="str">
        <f>IFERROR(('Activity data'!U97*(1/Constants!$H$135))*ttokg*FracLEACH*MSLeachEF*NtoN2O*kgtoGg,"NO")</f>
        <v>NO</v>
      </c>
      <c r="V154" s="22" t="str">
        <f>IFERROR(('Activity data'!V97*(1/Constants!$H$135))*ttokg*FracLEACH*MSLeachEF*NtoN2O*kgtoGg,"NO")</f>
        <v>NO</v>
      </c>
      <c r="W154" s="22" t="str">
        <f>IFERROR(('Activity data'!W97*(1/Constants!$H$135))*ttokg*FracLEACH*MSLeachEF*NtoN2O*kgtoGg,"NO")</f>
        <v>NO</v>
      </c>
      <c r="X154" s="22" t="str">
        <f>IFERROR(('Activity data'!X97*(1/Constants!$H$135))*ttokg*FracLEACH*MSLeachEF*NtoN2O*kgtoGg,"NO")</f>
        <v>NO</v>
      </c>
      <c r="Y154" s="22" t="str">
        <f>IFERROR(('Activity data'!Y97*(1/Constants!$H$135))*ttokg*FracLEACH*MSLeachEF*NtoN2O*kgtoGg,"NO")</f>
        <v>NO</v>
      </c>
      <c r="Z154" s="22" t="str">
        <f>IFERROR(('Activity data'!Z97*(1/Constants!$H$135))*ttokg*FracLEACH*MSLeachEF*NtoN2O*kgtoGg,"NO")</f>
        <v>NO</v>
      </c>
      <c r="AA154" s="22" t="str">
        <f>IFERROR(('Activity data'!AA97*(1/Constants!$H$135))*ttokg*FracLEACH*MSLeachEF*NtoN2O*kgtoGg,"NO")</f>
        <v>NO</v>
      </c>
      <c r="AB154" s="22" t="str">
        <f>IFERROR(('Activity data'!AB97*(1/Constants!$H$135))*ttokg*FracLEACH*MSLeachEF*NtoN2O*kgtoGg,"NO")</f>
        <v>NO</v>
      </c>
      <c r="AC154" s="22" t="str">
        <f>IFERROR(('Activity data'!AC97*(1/Constants!$H$135))*ttokg*FracLEACH*MSLeachEF*NtoN2O*kgtoGg,"NO")</f>
        <v>NO</v>
      </c>
      <c r="AD154" s="22" t="str">
        <f>IFERROR(('Activity data'!AD97*(1/Constants!$H$135))*ttokg*FracLEACH*MSLeachEF*NtoN2O*kgtoGg,"NO")</f>
        <v>NO</v>
      </c>
      <c r="AE154" s="22" t="str">
        <f>IFERROR(('Activity data'!AE97*(1/Constants!$H$135))*ttokg*FracLEACH*MSLeachEF*NtoN2O*kgtoGg,"NO")</f>
        <v>NO</v>
      </c>
      <c r="AF154" s="22" t="str">
        <f>IFERROR(('Activity data'!AF97*(1/Constants!$H$135))*ttokg*FracLEACH*MSLeachEF*NtoN2O*kgtoGg,"NO")</f>
        <v>NO</v>
      </c>
      <c r="AG154" s="22" t="str">
        <f>IFERROR(('Activity data'!AG97*(1/Constants!$H$135))*ttokg*FracLEACH*MSLeachEF*NtoN2O*kgtoGg,"NO")</f>
        <v>NO</v>
      </c>
      <c r="AH154" s="22" t="str">
        <f>IFERROR(('Activity data'!AH97*(1/Constants!$H$135))*ttokg*FracLEACH*MSLeachEF*NtoN2O*kgtoGg,"NO")</f>
        <v>NO</v>
      </c>
      <c r="AI154" s="22" t="str">
        <f>IFERROR(('Activity data'!AI97*(1/Constants!$H$135))*ttokg*FracLEACH*MSLeachEF*NtoN2O*kgtoGg,"NO")</f>
        <v>NO</v>
      </c>
      <c r="AJ154" s="22" t="str">
        <f>IFERROR(('Activity data'!AJ97*(1/Constants!$H$135))*ttokg*FracLEACH*MSLeachEF*NtoN2O*kgtoGg,"NO")</f>
        <v>NO</v>
      </c>
      <c r="AK154" s="22" t="str">
        <f>IFERROR(('Activity data'!AK97*(1/Constants!$H$135))*ttokg*FracLEACH*MSLeachEF*NtoN2O*kgtoGg,"NO")</f>
        <v>NO</v>
      </c>
      <c r="AL154" s="22" t="str">
        <f>IFERROR(('Activity data'!AL97*(1/Constants!$H$135))*ttokg*FracLEACH*MSLeachEF*NtoN2O*kgtoGg,"NO")</f>
        <v>NO</v>
      </c>
      <c r="AM154" s="22" t="str">
        <f>IFERROR(('Activity data'!AM97*(1/Constants!$H$135))*ttokg*FracLEACH*MSLeachEF*NtoN2O*kgtoGg,"NO")</f>
        <v>NO</v>
      </c>
      <c r="AN154" s="22" t="str">
        <f>IFERROR(('Activity data'!AN97*(1/Constants!$H$135))*ttokg*FracLEACH*MSLeachEF*NtoN2O*kgtoGg,"NO")</f>
        <v>NO</v>
      </c>
      <c r="AO154" s="22" t="str">
        <f>IFERROR(('Activity data'!AO97*(1/Constants!$H$135))*ttokg*FracLEACH*MSLeachEF*NtoN2O*kgtoGg,"NO")</f>
        <v>NO</v>
      </c>
      <c r="AP154" s="22" t="str">
        <f>IFERROR(('Activity data'!AP97*(1/Constants!$H$135))*ttokg*FracLEACH*MSLeachEF*NtoN2O*kgtoGg,"NO")</f>
        <v>NO</v>
      </c>
      <c r="AQ154" s="22" t="str">
        <f>IFERROR(('Activity data'!AQ97*(1/Constants!$H$135))*ttokg*FracLEACH*MSLeachEF*NtoN2O*kgtoGg,"NO")</f>
        <v>NO</v>
      </c>
      <c r="AR154" s="22" t="str">
        <f>IFERROR(('Activity data'!AR97*(1/Constants!$H$135))*ttokg*FracLEACH*MSLeachEF*NtoN2O*kgtoGg,"NO")</f>
        <v>NO</v>
      </c>
      <c r="AS154" s="22" t="str">
        <f>IFERROR(('Activity data'!AS97*(1/Constants!$H$135))*ttokg*FracLEACH*MSLeachEF*NtoN2O*kgtoGg,"NO")</f>
        <v>NO</v>
      </c>
      <c r="AT154" s="22" t="str">
        <f>IFERROR(('Activity data'!AT97*(1/Constants!$H$135))*ttokg*FracLEACH*MSLeachEF*NtoN2O*kgtoGg,"NO")</f>
        <v>NO</v>
      </c>
      <c r="AU154" s="22" t="str">
        <f>IFERROR(('Activity data'!AU97*(1/Constants!$H$135))*ttokg*FracLEACH*MSLeachEF*NtoN2O*kgtoGg,"NO")</f>
        <v>NO</v>
      </c>
      <c r="AV154" s="22" t="str">
        <f>IFERROR(('Activity data'!AV97*(1/Constants!$H$135))*ttokg*FracLEACH*MSLeachEF*NtoN2O*kgtoGg,"NO")</f>
        <v>NO</v>
      </c>
      <c r="AW154" s="22" t="str">
        <f>IFERROR(('Activity data'!AW97*(1/Constants!$H$135))*ttokg*FracLEACH*MSLeachEF*NtoN2O*kgtoGg,"NO")</f>
        <v>NO</v>
      </c>
      <c r="AX154" s="22" t="str">
        <f>IFERROR(('Activity data'!AX97*(1/Constants!$H$135))*ttokg*FracLEACH*MSLeachEF*NtoN2O*kgtoGg,"NO")</f>
        <v>NO</v>
      </c>
      <c r="AY154" s="22" t="str">
        <f>IFERROR(('Activity data'!AY97*(1/Constants!$H$135))*ttokg*FracLEACH*MSLeachEF*NtoN2O*kgtoGg,"NO")</f>
        <v>NO</v>
      </c>
      <c r="AZ154" s="22" t="str">
        <f>IFERROR(('Activity data'!AZ97*(1/Constants!$H$135))*ttokg*FracLEACH*MSLeachEF*NtoN2O*kgtoGg,"NO")</f>
        <v>NO</v>
      </c>
      <c r="BA154" s="22" t="str">
        <f>IFERROR(('Activity data'!BA97*(1/Constants!$H$135))*ttokg*FracLEACH*MSLeachEF*NtoN2O*kgtoGg,"NO")</f>
        <v>NO</v>
      </c>
      <c r="BB154" s="22" t="str">
        <f>IFERROR(('Activity data'!BB97*(1/Constants!$H$135))*ttokg*FracLEACH*MSLeachEF*NtoN2O*kgtoGg,"NO")</f>
        <v>NO</v>
      </c>
      <c r="BC154" s="22" t="str">
        <f>IFERROR(('Activity data'!BC97*(1/Constants!$H$135))*ttokg*FracLEACH*MSLeachEF*NtoN2O*kgtoGg,"NO")</f>
        <v>NO</v>
      </c>
      <c r="BD154" s="22" t="str">
        <f>IFERROR(('Activity data'!BD97*(1/Constants!$H$135))*ttokg*FracLEACH*MSLeachEF*NtoN2O*kgtoGg,"NO")</f>
        <v>NO</v>
      </c>
      <c r="BE154" s="22" t="str">
        <f>IFERROR(('Activity data'!BE97*(1/Constants!$H$135))*ttokg*FracLEACH*MSLeachEF*NtoN2O*kgtoGg,"NO")</f>
        <v>NO</v>
      </c>
      <c r="BF154" s="22" t="str">
        <f>IFERROR(('Activity data'!BF97*(1/Constants!$H$135))*ttokg*FracLEACH*MSLeachEF*NtoN2O*kgtoGg,"NO")</f>
        <v>NO</v>
      </c>
      <c r="BG154" s="22" t="str">
        <f>IFERROR(('Activity data'!BG97*(1/Constants!$H$135))*ttokg*FracLEACH*MSLeachEF*NtoN2O*kgtoGg,"NO")</f>
        <v>NO</v>
      </c>
      <c r="BH154" s="22" t="str">
        <f>IFERROR(('Activity data'!BH97*(1/Constants!$H$135))*ttokg*FracLEACH*MSLeachEF*NtoN2O*kgtoGg,"NO")</f>
        <v>NO</v>
      </c>
      <c r="BI154" s="22" t="str">
        <f>IFERROR(('Activity data'!BI97*(1/Constants!$H$135))*ttokg*FracLEACH*MSLeachEF*NtoN2O*kgtoGg,"NO")</f>
        <v>NO</v>
      </c>
      <c r="BJ154" s="22" t="str">
        <f>IFERROR(('Activity data'!BJ97*(1/Constants!$H$135))*ttokg*FracLEACH*MSLeachEF*NtoN2O*kgtoGg,"NO")</f>
        <v>NO</v>
      </c>
      <c r="BK154" s="22" t="str">
        <f>IFERROR(('Activity data'!BK97*(1/Constants!$H$135))*ttokg*FracLEACH*MSLeachEF*NtoN2O*kgtoGg,"NO")</f>
        <v>NO</v>
      </c>
      <c r="BL154" s="22" t="str">
        <f>IFERROR(('Activity data'!BL97*(1/Constants!$H$135))*ttokg*FracLEACH*MSLeachEF*NtoN2O*kgtoGg,"NO")</f>
        <v>NO</v>
      </c>
      <c r="BM154" s="22" t="str">
        <f>IFERROR(('Activity data'!BM97*(1/Constants!$H$135))*ttokg*FracLEACH*MSLeachEF*NtoN2O*kgtoGg,"NO")</f>
        <v>NO</v>
      </c>
      <c r="BN154" s="22" t="str">
        <f>IFERROR(('Activity data'!BN97*(1/Constants!$H$135))*ttokg*FracLEACH*MSLeachEF*NtoN2O*kgtoGg,"NO")</f>
        <v>NO</v>
      </c>
      <c r="BO154" s="22" t="str">
        <f>IFERROR(('Activity data'!BO97*(1/Constants!$H$135))*ttokg*FracLEACH*MSLeachEF*NtoN2O*kgtoGg,"NO")</f>
        <v>NO</v>
      </c>
      <c r="BP154" s="22" t="str">
        <f>IFERROR(('Activity data'!BP97*(1/Constants!$H$135))*ttokg*FracLEACH*MSLeachEF*NtoN2O*kgtoGg,"NO")</f>
        <v>NO</v>
      </c>
    </row>
    <row r="155" spans="1:68" x14ac:dyDescent="0.25">
      <c r="A155" t="str">
        <f t="shared" si="58"/>
        <v>3C Aggregated and non-CO2 emissions on land</v>
      </c>
      <c r="B155" t="str">
        <f t="shared" si="59"/>
        <v>3C5 Indirect N2O from managed soils (N2O)</v>
      </c>
      <c r="C155" t="str">
        <f t="shared" si="54"/>
        <v>Leaching/runoff</v>
      </c>
      <c r="D155" t="str">
        <f>" - FSOM - "&amp;'Activity data'!D98</f>
        <v xml:space="preserve"> - FSOM - Land converted to other lands</v>
      </c>
      <c r="E155" t="str">
        <f t="shared" si="60"/>
        <v>Leaching/runoff - FSOM - Land converted to other lands</v>
      </c>
      <c r="F155" t="str">
        <f t="shared" si="47"/>
        <v>N2O</v>
      </c>
      <c r="G155" t="str">
        <f t="shared" si="48"/>
        <v>Gg N2O</v>
      </c>
      <c r="H155" s="22">
        <f>IFERROR(('Activity data'!H98*(1/Constants!$H$135))*ttokg*FracLEACH*MSLeachEF*NtoN2O*kgtoGg,"NO")</f>
        <v>0</v>
      </c>
      <c r="I155" s="22">
        <f>IFERROR(('Activity data'!I98*(1/Constants!$H$135))*ttokg*FracLEACH*MSLeachEF*NtoN2O*kgtoGg,"NO")</f>
        <v>9.7559091197165892E-3</v>
      </c>
      <c r="J155" s="22">
        <f>IFERROR(('Activity data'!J98*(1/Constants!$H$135))*ttokg*FracLEACH*MSLeachEF*NtoN2O*kgtoGg,"NO")</f>
        <v>9.7559091197165892E-3</v>
      </c>
      <c r="K155" s="22">
        <f>IFERROR(('Activity data'!K98*(1/Constants!$H$135))*ttokg*FracLEACH*MSLeachEF*NtoN2O*kgtoGg,"NO")</f>
        <v>9.7559091197165892E-3</v>
      </c>
      <c r="L155" s="22">
        <f>IFERROR(('Activity data'!L98*(1/Constants!$H$135))*ttokg*FracLEACH*MSLeachEF*NtoN2O*kgtoGg,"NO")</f>
        <v>9.7559091197165892E-3</v>
      </c>
      <c r="M155" s="22">
        <f>IFERROR(('Activity data'!M98*(1/Constants!$H$135))*ttokg*FracLEACH*MSLeachEF*NtoN2O*kgtoGg,"NO")</f>
        <v>9.7559091197165892E-3</v>
      </c>
      <c r="N155" s="22">
        <f>IFERROR(('Activity data'!N98*(1/Constants!$H$135))*ttokg*FracLEACH*MSLeachEF*NtoN2O*kgtoGg,"NO")</f>
        <v>9.7559091197165892E-3</v>
      </c>
      <c r="O155" s="22">
        <f>IFERROR(('Activity data'!O98*(1/Constants!$H$135))*ttokg*FracLEACH*MSLeachEF*NtoN2O*kgtoGg,"NO")</f>
        <v>9.7559091197165892E-3</v>
      </c>
      <c r="P155" s="22">
        <f>IFERROR(('Activity data'!P98*(1/Constants!$H$135))*ttokg*FracLEACH*MSLeachEF*NtoN2O*kgtoGg,"NO")</f>
        <v>9.7559091197165892E-3</v>
      </c>
      <c r="Q155" s="22">
        <f>IFERROR(('Activity data'!Q98*(1/Constants!$H$135))*ttokg*FracLEACH*MSLeachEF*NtoN2O*kgtoGg,"NO")</f>
        <v>9.7559091197165892E-3</v>
      </c>
      <c r="R155" s="22">
        <f>IFERROR(('Activity data'!R98*(1/Constants!$H$135))*ttokg*FracLEACH*MSLeachEF*NtoN2O*kgtoGg,"NO")</f>
        <v>9.7559091197165892E-3</v>
      </c>
      <c r="S155" s="22">
        <f>IFERROR(('Activity data'!S98*(1/Constants!$H$135))*ttokg*FracLEACH*MSLeachEF*NtoN2O*kgtoGg,"NO")</f>
        <v>9.7559091197165892E-3</v>
      </c>
      <c r="T155" s="22">
        <f>IFERROR(('Activity data'!T98*(1/Constants!$H$135))*ttokg*FracLEACH*MSLeachEF*NtoN2O*kgtoGg,"NO")</f>
        <v>9.7559091197165892E-3</v>
      </c>
      <c r="U155" s="22">
        <f>IFERROR(('Activity data'!U98*(1/Constants!$H$135))*ttokg*FracLEACH*MSLeachEF*NtoN2O*kgtoGg,"NO")</f>
        <v>9.7559091197165892E-3</v>
      </c>
      <c r="V155" s="22">
        <f>IFERROR(('Activity data'!V98*(1/Constants!$H$135))*ttokg*FracLEACH*MSLeachEF*NtoN2O*kgtoGg,"NO")</f>
        <v>9.7559091197165892E-3</v>
      </c>
      <c r="W155" s="22">
        <f>IFERROR(('Activity data'!W98*(1/Constants!$H$135))*ttokg*FracLEACH*MSLeachEF*NtoN2O*kgtoGg,"NO")</f>
        <v>9.7559091197165892E-3</v>
      </c>
      <c r="X155" s="22">
        <f>IFERROR(('Activity data'!X98*(1/Constants!$H$135))*ttokg*FracLEACH*MSLeachEF*NtoN2O*kgtoGg,"NO")</f>
        <v>9.7559091197165892E-3</v>
      </c>
      <c r="Y155" s="22">
        <f>IFERROR(('Activity data'!Y98*(1/Constants!$H$135))*ttokg*FracLEACH*MSLeachEF*NtoN2O*kgtoGg,"NO")</f>
        <v>9.7559091197165892E-3</v>
      </c>
      <c r="Z155" s="22">
        <f>IFERROR(('Activity data'!Z98*(1/Constants!$H$135))*ttokg*FracLEACH*MSLeachEF*NtoN2O*kgtoGg,"NO")</f>
        <v>9.7559091197165892E-3</v>
      </c>
      <c r="AA155" s="22">
        <f>IFERROR(('Activity data'!AA98*(1/Constants!$H$135))*ttokg*FracLEACH*MSLeachEF*NtoN2O*kgtoGg,"NO")</f>
        <v>9.7559091197165892E-3</v>
      </c>
      <c r="AB155" s="22">
        <f>IFERROR(('Activity data'!AB98*(1/Constants!$H$135))*ttokg*FracLEACH*MSLeachEF*NtoN2O*kgtoGg,"NO")</f>
        <v>9.7559091197165892E-3</v>
      </c>
      <c r="AC155" s="22">
        <f>IFERROR(('Activity data'!AC98*(1/Constants!$H$135))*ttokg*FracLEACH*MSLeachEF*NtoN2O*kgtoGg,"NO")</f>
        <v>9.7559091197165892E-3</v>
      </c>
      <c r="AD155" s="22">
        <f>IFERROR(('Activity data'!AD98*(1/Constants!$H$135))*ttokg*FracLEACH*MSLeachEF*NtoN2O*kgtoGg,"NO")</f>
        <v>0.11026792439175388</v>
      </c>
      <c r="AE155" s="22">
        <f>IFERROR(('Activity data'!AE98*(1/Constants!$H$135))*ttokg*FracLEACH*MSLeachEF*NtoN2O*kgtoGg,"NO")</f>
        <v>0.11026792439175388</v>
      </c>
      <c r="AF155" s="22">
        <f>IFERROR(('Activity data'!AF98*(1/Constants!$H$135))*ttokg*FracLEACH*MSLeachEF*NtoN2O*kgtoGg,"NO")</f>
        <v>0.11026792439175388</v>
      </c>
      <c r="AG155" s="22">
        <f>IFERROR(('Activity data'!AG98*(1/Constants!$H$135))*ttokg*FracLEACH*MSLeachEF*NtoN2O*kgtoGg,"NO")</f>
        <v>0.11026792439175388</v>
      </c>
      <c r="AH155" s="22">
        <f>IFERROR(('Activity data'!AH98*(1/Constants!$H$135))*ttokg*FracLEACH*MSLeachEF*NtoN2O*kgtoGg,"NO")</f>
        <v>0.11026792439175388</v>
      </c>
      <c r="AI155" s="22">
        <f>IFERROR(('Activity data'!AI98*(1/Constants!$H$135))*ttokg*FracLEACH*MSLeachEF*NtoN2O*kgtoGg,"NO")</f>
        <v>0.11026792439175388</v>
      </c>
      <c r="AJ155" s="22">
        <f>IFERROR(('Activity data'!AJ98*(1/Constants!$H$135))*ttokg*FracLEACH*MSLeachEF*NtoN2O*kgtoGg,"NO")</f>
        <v>0.11026792439175388</v>
      </c>
      <c r="AK155" s="22">
        <f>IFERROR(('Activity data'!AK98*(1/Constants!$H$135))*ttokg*FracLEACH*MSLeachEF*NtoN2O*kgtoGg,"NO")</f>
        <v>0.11026792439175388</v>
      </c>
      <c r="AL155" s="22">
        <f>IFERROR(('Activity data'!AL98*(1/Constants!$H$135))*ttokg*FracLEACH*MSLeachEF*NtoN2O*kgtoGg,"NO")</f>
        <v>0.11026792439175388</v>
      </c>
      <c r="AM155" s="22">
        <f>IFERROR(('Activity data'!AM98*(1/Constants!$H$135))*ttokg*FracLEACH*MSLeachEF*NtoN2O*kgtoGg,"NO")</f>
        <v>0.11026792439175388</v>
      </c>
      <c r="AN155" s="22">
        <f>IFERROR(('Activity data'!AN98*(1/Constants!$H$135))*ttokg*FracLEACH*MSLeachEF*NtoN2O*kgtoGg,"NO")</f>
        <v>0.11026792439175388</v>
      </c>
      <c r="AO155" s="22">
        <f>IFERROR(('Activity data'!AO98*(1/Constants!$H$135))*ttokg*FracLEACH*MSLeachEF*NtoN2O*kgtoGg,"NO")</f>
        <v>0.11026792439175388</v>
      </c>
      <c r="AP155" s="22">
        <f>IFERROR(('Activity data'!AP98*(1/Constants!$H$135))*ttokg*FracLEACH*MSLeachEF*NtoN2O*kgtoGg,"NO")</f>
        <v>0.11026792439175388</v>
      </c>
      <c r="AQ155" s="22">
        <f>IFERROR(('Activity data'!AQ98*(1/Constants!$H$135))*ttokg*FracLEACH*MSLeachEF*NtoN2O*kgtoGg,"NO")</f>
        <v>0.11026792439175388</v>
      </c>
      <c r="AR155" s="22">
        <f>IFERROR(('Activity data'!AR98*(1/Constants!$H$135))*ttokg*FracLEACH*MSLeachEF*NtoN2O*kgtoGg,"NO")</f>
        <v>0.11026792439175388</v>
      </c>
      <c r="AS155" s="22">
        <f>IFERROR(('Activity data'!AS98*(1/Constants!$H$135))*ttokg*FracLEACH*MSLeachEF*NtoN2O*kgtoGg,"NO")</f>
        <v>0.11026792439175388</v>
      </c>
      <c r="AT155" s="22">
        <f>IFERROR(('Activity data'!AT98*(1/Constants!$H$135))*ttokg*FracLEACH*MSLeachEF*NtoN2O*kgtoGg,"NO")</f>
        <v>0.11026792439175388</v>
      </c>
      <c r="AU155" s="22">
        <f>IFERROR(('Activity data'!AU98*(1/Constants!$H$135))*ttokg*FracLEACH*MSLeachEF*NtoN2O*kgtoGg,"NO")</f>
        <v>0.11026792439175388</v>
      </c>
      <c r="AV155" s="22">
        <f>IFERROR(('Activity data'!AV98*(1/Constants!$H$135))*ttokg*FracLEACH*MSLeachEF*NtoN2O*kgtoGg,"NO")</f>
        <v>0.11026792439175388</v>
      </c>
      <c r="AW155" s="22">
        <f>IFERROR(('Activity data'!AW98*(1/Constants!$H$135))*ttokg*FracLEACH*MSLeachEF*NtoN2O*kgtoGg,"NO")</f>
        <v>0.11026792439175388</v>
      </c>
      <c r="AX155" s="22">
        <f>IFERROR(('Activity data'!AX98*(1/Constants!$H$135))*ttokg*FracLEACH*MSLeachEF*NtoN2O*kgtoGg,"NO")</f>
        <v>0.11026792439175388</v>
      </c>
      <c r="AY155" s="22">
        <f>IFERROR(('Activity data'!AY98*(1/Constants!$H$135))*ttokg*FracLEACH*MSLeachEF*NtoN2O*kgtoGg,"NO")</f>
        <v>0.11026792439175388</v>
      </c>
      <c r="AZ155" s="22">
        <f>IFERROR(('Activity data'!AZ98*(1/Constants!$H$135))*ttokg*FracLEACH*MSLeachEF*NtoN2O*kgtoGg,"NO")</f>
        <v>0.11026792439175388</v>
      </c>
      <c r="BA155" s="22">
        <f>IFERROR(('Activity data'!BA98*(1/Constants!$H$135))*ttokg*FracLEACH*MSLeachEF*NtoN2O*kgtoGg,"NO")</f>
        <v>0.11026792439175388</v>
      </c>
      <c r="BB155" s="22">
        <f>IFERROR(('Activity data'!BB98*(1/Constants!$H$135))*ttokg*FracLEACH*MSLeachEF*NtoN2O*kgtoGg,"NO")</f>
        <v>0.11026792439175388</v>
      </c>
      <c r="BC155" s="22">
        <f>IFERROR(('Activity data'!BC98*(1/Constants!$H$135))*ttokg*FracLEACH*MSLeachEF*NtoN2O*kgtoGg,"NO")</f>
        <v>0.11026792439175388</v>
      </c>
      <c r="BD155" s="22">
        <f>IFERROR(('Activity data'!BD98*(1/Constants!$H$135))*ttokg*FracLEACH*MSLeachEF*NtoN2O*kgtoGg,"NO")</f>
        <v>0.11026792439175388</v>
      </c>
      <c r="BE155" s="22">
        <f>IFERROR(('Activity data'!BE98*(1/Constants!$H$135))*ttokg*FracLEACH*MSLeachEF*NtoN2O*kgtoGg,"NO")</f>
        <v>0.11026792439175388</v>
      </c>
      <c r="BF155" s="22">
        <f>IFERROR(('Activity data'!BF98*(1/Constants!$H$135))*ttokg*FracLEACH*MSLeachEF*NtoN2O*kgtoGg,"NO")</f>
        <v>0.11026792439175388</v>
      </c>
      <c r="BG155" s="22">
        <f>IFERROR(('Activity data'!BG98*(1/Constants!$H$135))*ttokg*FracLEACH*MSLeachEF*NtoN2O*kgtoGg,"NO")</f>
        <v>0.11026792439175388</v>
      </c>
      <c r="BH155" s="22">
        <f>IFERROR(('Activity data'!BH98*(1/Constants!$H$135))*ttokg*FracLEACH*MSLeachEF*NtoN2O*kgtoGg,"NO")</f>
        <v>0.11026792439175388</v>
      </c>
      <c r="BI155" s="22">
        <f>IFERROR(('Activity data'!BI98*(1/Constants!$H$135))*ttokg*FracLEACH*MSLeachEF*NtoN2O*kgtoGg,"NO")</f>
        <v>0.11026792439175388</v>
      </c>
      <c r="BJ155" s="22">
        <f>IFERROR(('Activity data'!BJ98*(1/Constants!$H$135))*ttokg*FracLEACH*MSLeachEF*NtoN2O*kgtoGg,"NO")</f>
        <v>0.11026792439175388</v>
      </c>
      <c r="BK155" s="22">
        <f>IFERROR(('Activity data'!BK98*(1/Constants!$H$135))*ttokg*FracLEACH*MSLeachEF*NtoN2O*kgtoGg,"NO")</f>
        <v>0.11026792439175388</v>
      </c>
      <c r="BL155" s="22">
        <f>IFERROR(('Activity data'!BL98*(1/Constants!$H$135))*ttokg*FracLEACH*MSLeachEF*NtoN2O*kgtoGg,"NO")</f>
        <v>0.11026792439175388</v>
      </c>
      <c r="BM155" s="22">
        <f>IFERROR(('Activity data'!BM98*(1/Constants!$H$135))*ttokg*FracLEACH*MSLeachEF*NtoN2O*kgtoGg,"NO")</f>
        <v>0.11026792439175388</v>
      </c>
      <c r="BN155" s="22">
        <f>IFERROR(('Activity data'!BN98*(1/Constants!$H$135))*ttokg*FracLEACH*MSLeachEF*NtoN2O*kgtoGg,"NO")</f>
        <v>0.11026792439175388</v>
      </c>
      <c r="BO155" s="22">
        <f>IFERROR(('Activity data'!BO98*(1/Constants!$H$135))*ttokg*FracLEACH*MSLeachEF*NtoN2O*kgtoGg,"NO")</f>
        <v>0.11026792439175388</v>
      </c>
      <c r="BP155" s="22">
        <f>IFERROR(('Activity data'!BP98*(1/Constants!$H$135))*ttokg*FracLEACH*MSLeachEF*NtoN2O*kgtoGg,"NO")</f>
        <v>0.11026792439175388</v>
      </c>
    </row>
    <row r="156" spans="1:68" x14ac:dyDescent="0.25">
      <c r="A156" t="str">
        <f t="shared" si="58"/>
        <v>3C Aggregated and non-CO2 emissions on land</v>
      </c>
      <c r="B156" t="str">
        <f>'IPCC Categories'!B80</f>
        <v>3C6 Indirect N2O from manure management (N2O)</v>
      </c>
      <c r="C156" t="str">
        <f>'IPCC Categories'!C80</f>
        <v>Volatilisation</v>
      </c>
      <c r="D156" t="str">
        <f>'Activity data'!D66</f>
        <v xml:space="preserve"> - TMR</v>
      </c>
      <c r="E156" t="str">
        <f t="shared" ref="E156:E171" si="61">C156&amp;D156</f>
        <v>Volatilisation - TMR</v>
      </c>
      <c r="F156" t="str">
        <f t="shared" si="47"/>
        <v>N2O</v>
      </c>
      <c r="G156" t="str">
        <f t="shared" si="48"/>
        <v>Gg N2O</v>
      </c>
      <c r="H156" s="22">
        <f>Constants!$H63*'Activity data'!H5*Constants!$H81*EF!$H206*MMVolatEF*NtoN2O*kgtoGg</f>
        <v>0.32741583539331282</v>
      </c>
      <c r="I156" s="22">
        <f>Constants!$H63*'Activity data'!I5*Constants!$H81*EF!$H206*MMVolatEF*NtoN2O*kgtoGg</f>
        <v>0.3769406717199888</v>
      </c>
      <c r="J156" s="22">
        <f>Constants!$H63*'Activity data'!J5*Constants!$H81*EF!$H206*MMVolatEF*NtoN2O*kgtoGg</f>
        <v>0.32610245326188425</v>
      </c>
      <c r="K156" s="22">
        <f>Constants!$H63*'Activity data'!K5*Constants!$H81*EF!$H206*MMVolatEF*NtoN2O*kgtoGg</f>
        <v>0.3458622136437135</v>
      </c>
      <c r="L156" s="22">
        <f>Constants!$H63*'Activity data'!L5*Constants!$H81*EF!$H206*MMVolatEF*NtoN2O*kgtoGg</f>
        <v>0.32084892473617016</v>
      </c>
      <c r="M156" s="22">
        <f>Constants!$H63*'Activity data'!M5*Constants!$H81*EF!$H206*MMVolatEF*NtoN2O*kgtoGg</f>
        <v>0.34323544938085654</v>
      </c>
      <c r="N156" s="22">
        <f>Constants!$H63*'Activity data'!N5*Constants!$H81*EF!$H206*MMVolatEF*NtoN2O*kgtoGg</f>
        <v>0.34454883151228505</v>
      </c>
      <c r="O156" s="22">
        <f>Constants!$H63*'Activity data'!O5*Constants!$H81*EF!$H206*MMVolatEF*NtoN2O*kgtoGg</f>
        <v>0.33216762243061609</v>
      </c>
      <c r="P156" s="22">
        <f>Constants!$H63*'Activity data'!P5*Constants!$H81*EF!$H206*MMVolatEF*NtoN2O*kgtoGg</f>
        <v>0.32822747603633051</v>
      </c>
      <c r="Q156" s="22">
        <f>Constants!$H63*'Activity data'!Q5*Constants!$H81*EF!$H206*MMVolatEF*NtoN2O*kgtoGg</f>
        <v>0.32241317761180416</v>
      </c>
      <c r="R156" s="22">
        <f>Constants!$H63*'Activity data'!R5*Constants!$H81*EF!$H206*MMVolatEF*NtoN2O*kgtoGg</f>
        <v>0.41514681035221879</v>
      </c>
      <c r="S156" s="22">
        <f>Constants!$H63*'Activity data'!S5*Constants!$H81*EF!$H206*MMVolatEF*NtoN2O*kgtoGg</f>
        <v>0.41383342822079017</v>
      </c>
      <c r="T156" s="22">
        <f>Constants!$H63*'Activity data'!T5*Constants!$H81*EF!$H206*MMVolatEF*NtoN2O*kgtoGg</f>
        <v>0.36087018698823964</v>
      </c>
      <c r="U156" s="22">
        <f>Constants!$H63*'Activity data'!U5*Constants!$H81*EF!$H206*MMVolatEF*NtoN2O*kgtoGg</f>
        <v>0.32822747603633051</v>
      </c>
      <c r="V156" s="22">
        <f>Constants!$H63*'Activity data'!V5*Constants!$H81*EF!$H206*MMVolatEF*NtoN2O*kgtoGg</f>
        <v>0.31690877834188452</v>
      </c>
      <c r="W156" s="22">
        <f>Constants!$H63*'Activity data'!W5*Constants!$H81*EF!$H206*MMVolatEF*NtoN2O*kgtoGg</f>
        <v>0.33929530298657085</v>
      </c>
      <c r="X156" s="22">
        <f>Constants!$H63*'Activity data'!X5*Constants!$H81*EF!$H206*MMVolatEF*NtoN2O*kgtoGg</f>
        <v>0.33191675168641066</v>
      </c>
      <c r="Y156" s="22">
        <f>Constants!$H63*'Activity data'!Y5*Constants!$H81*EF!$H206*MMVolatEF*NtoN2O*kgtoGg</f>
        <v>0.32954085816775908</v>
      </c>
      <c r="Z156" s="22">
        <f>Constants!$H63*'Activity data'!Z5*Constants!$H81*EF!$H206*MMVolatEF*NtoN2O*kgtoGg</f>
        <v>0.40357724191356736</v>
      </c>
      <c r="AA156" s="22">
        <f>Constants!$H63*'Activity data'!AA5*Constants!$H81*EF!$H206*MMVolatEF*NtoN2O*kgtoGg</f>
        <v>0.41358255747658468</v>
      </c>
      <c r="AB156" s="22">
        <f>Constants!$H63*'Activity data'!AB5*Constants!$H81*EF!$H206*MMVolatEF*NtoN2O*kgtoGg</f>
        <v>0.41358255747658468</v>
      </c>
      <c r="AC156" s="22">
        <f>Constants!$H63*'Activity data'!AC5*Constants!$H81*EF!$H206*MMVolatEF*NtoN2O*kgtoGg</f>
        <v>0.39857458413205865</v>
      </c>
      <c r="AD156" s="22">
        <f>Constants!$H63*'Activity data'!AD5*Constants!$H81*EF!$H206*MMVolatEF*NtoN2O*kgtoGg</f>
        <v>0.39651775147130591</v>
      </c>
      <c r="AE156" s="22">
        <f>Constants!$H63*'Activity data'!AE5*Constants!$H81*EF!$H206*MMVolatEF*NtoN2O*kgtoGg</f>
        <v>0.3993923595453463</v>
      </c>
      <c r="AF156" s="22">
        <f>Constants!$H63*'Activity data'!AF5*Constants!$H81*EF!$H206*MMVolatEF*NtoN2O*kgtoGg</f>
        <v>0.40123236211199104</v>
      </c>
      <c r="AG156" s="22">
        <f>Constants!$H63*'Activity data'!AG5*Constants!$H81*EF!$H206*MMVolatEF*NtoN2O*kgtoGg</f>
        <v>0.40225878205667553</v>
      </c>
      <c r="AH156" s="22">
        <f>Constants!$H63*'Activity data'!AH5*Constants!$H81*EF!$H206*MMVolatEF*NtoN2O*kgtoGg</f>
        <v>0.40281987080262172</v>
      </c>
      <c r="AI156" s="22">
        <f>Constants!$H63*'Activity data'!AI5*Constants!$H81*EF!$H206*MMVolatEF*NtoN2O*kgtoGg</f>
        <v>0.40402809181621457</v>
      </c>
      <c r="AJ156" s="22">
        <f>Constants!$H63*'Activity data'!AJ5*Constants!$H81*EF!$H206*MMVolatEF*NtoN2O*kgtoGg</f>
        <v>0.40563019293761809</v>
      </c>
      <c r="AK156" s="22">
        <f>Constants!$H63*'Activity data'!AK5*Constants!$H81*EF!$H206*MMVolatEF*NtoN2O*kgtoGg</f>
        <v>0.40727396921636677</v>
      </c>
      <c r="AL156" s="22">
        <f>Constants!$H63*'Activity data'!AL5*Constants!$H81*EF!$H206*MMVolatEF*NtoN2O*kgtoGg</f>
        <v>0.39399378936573315</v>
      </c>
      <c r="AM156" s="22">
        <f>Constants!$H63*'Activity data'!AM5*Constants!$H81*EF!$H206*MMVolatEF*NtoN2O*kgtoGg</f>
        <v>0.3970643882091931</v>
      </c>
      <c r="AN156" s="22">
        <f>Constants!$H63*'Activity data'!AN5*Constants!$H81*EF!$H206*MMVolatEF*NtoN2O*kgtoGg</f>
        <v>0.40008970084848072</v>
      </c>
      <c r="AO156" s="22">
        <f>Constants!$H63*'Activity data'!AO5*Constants!$H81*EF!$H206*MMVolatEF*NtoN2O*kgtoGg</f>
        <v>0.40337226006296573</v>
      </c>
      <c r="AP156" s="22">
        <f>Constants!$H63*'Activity data'!AP5*Constants!$H81*EF!$H206*MMVolatEF*NtoN2O*kgtoGg</f>
        <v>0.40688585925423026</v>
      </c>
      <c r="AQ156" s="22">
        <f>Constants!$H63*'Activity data'!AQ5*Constants!$H81*EF!$H206*MMVolatEF*NtoN2O*kgtoGg</f>
        <v>0.41034835534001352</v>
      </c>
      <c r="AR156" s="22">
        <f>Constants!$H63*'Activity data'!AR5*Constants!$H81*EF!$H206*MMVolatEF*NtoN2O*kgtoGg</f>
        <v>0.4143463267146541</v>
      </c>
      <c r="AS156" s="22">
        <f>Constants!$H63*'Activity data'!AS5*Constants!$H81*EF!$H206*MMVolatEF*NtoN2O*kgtoGg</f>
        <v>0.41848017607325982</v>
      </c>
      <c r="AT156" s="22">
        <f>Constants!$H63*'Activity data'!AT5*Constants!$H81*EF!$H206*MMVolatEF*NtoN2O*kgtoGg</f>
        <v>0.42282629084795753</v>
      </c>
      <c r="AU156" s="22">
        <f>Constants!$H63*'Activity data'!AU5*Constants!$H81*EF!$H206*MMVolatEF*NtoN2O*kgtoGg</f>
        <v>0.42730548637178545</v>
      </c>
      <c r="AV156" s="22">
        <f>Constants!$H63*'Activity data'!AV5*Constants!$H81*EF!$H206*MMVolatEF*NtoN2O*kgtoGg</f>
        <v>0.43105360025826756</v>
      </c>
      <c r="AW156" s="22">
        <f>Constants!$H63*'Activity data'!AW5*Constants!$H81*EF!$H206*MMVolatEF*NtoN2O*kgtoGg</f>
        <v>0.43580019130622505</v>
      </c>
      <c r="AX156" s="22">
        <f>Constants!$H63*'Activity data'!AX5*Constants!$H81*EF!$H206*MMVolatEF*NtoN2O*kgtoGg</f>
        <v>0.44062955336767845</v>
      </c>
      <c r="AY156" s="22">
        <f>Constants!$H63*'Activity data'!AY5*Constants!$H81*EF!$H206*MMVolatEF*NtoN2O*kgtoGg</f>
        <v>0.44557138840042715</v>
      </c>
      <c r="AZ156" s="22">
        <f>Constants!$H63*'Activity data'!AZ5*Constants!$H81*EF!$H206*MMVolatEF*NtoN2O*kgtoGg</f>
        <v>0.4502810945203698</v>
      </c>
      <c r="BA156" s="22">
        <f>Constants!$H63*'Activity data'!BA5*Constants!$H81*EF!$H206*MMVolatEF*NtoN2O*kgtoGg</f>
        <v>0.45524266108559852</v>
      </c>
      <c r="BB156" s="22">
        <f>Constants!$H63*'Activity data'!BB5*Constants!$H81*EF!$H206*MMVolatEF*NtoN2O*kgtoGg</f>
        <v>0.46046038978424142</v>
      </c>
      <c r="BC156" s="22">
        <f>Constants!$H63*'Activity data'!BC5*Constants!$H81*EF!$H206*MMVolatEF*NtoN2O*kgtoGg</f>
        <v>0.46583872645384183</v>
      </c>
      <c r="BD156" s="22">
        <f>Constants!$H63*'Activity data'!BD5*Constants!$H81*EF!$H206*MMVolatEF*NtoN2O*kgtoGg</f>
        <v>0.4711253366659035</v>
      </c>
      <c r="BE156" s="22">
        <f>Constants!$H63*'Activity data'!BE5*Constants!$H81*EF!$H206*MMVolatEF*NtoN2O*kgtoGg</f>
        <v>0.4765748829384755</v>
      </c>
      <c r="BF156" s="22">
        <f>Constants!$H63*'Activity data'!BF5*Constants!$H81*EF!$H206*MMVolatEF*NtoN2O*kgtoGg</f>
        <v>0.4823381823539109</v>
      </c>
      <c r="BG156" s="22">
        <f>Constants!$H63*'Activity data'!BG5*Constants!$H81*EF!$H206*MMVolatEF*NtoN2O*kgtoGg</f>
        <v>0.48834299632596473</v>
      </c>
      <c r="BH156" s="22">
        <f>Constants!$H63*'Activity data'!BH5*Constants!$H81*EF!$H206*MMVolatEF*NtoN2O*kgtoGg</f>
        <v>0.49456573721441827</v>
      </c>
      <c r="BI156" s="22">
        <f>Constants!$H63*'Activity data'!BI5*Constants!$H81*EF!$H206*MMVolatEF*NtoN2O*kgtoGg</f>
        <v>0.50101554770064261</v>
      </c>
      <c r="BJ156" s="22">
        <f>Constants!$H63*'Activity data'!BJ5*Constants!$H81*EF!$H206*MMVolatEF*NtoN2O*kgtoGg</f>
        <v>0.50769329633807203</v>
      </c>
      <c r="BK156" s="22">
        <f>Constants!$H63*'Activity data'!BK5*Constants!$H81*EF!$H206*MMVolatEF*NtoN2O*kgtoGg</f>
        <v>0.51465898881241467</v>
      </c>
      <c r="BL156" s="22">
        <f>Constants!$H63*'Activity data'!BL5*Constants!$H81*EF!$H206*MMVolatEF*NtoN2O*kgtoGg</f>
        <v>0.52116491309691593</v>
      </c>
      <c r="BM156" s="22">
        <f>Constants!$H63*'Activity data'!BM5*Constants!$H81*EF!$H206*MMVolatEF*NtoN2O*kgtoGg</f>
        <v>0.52792678648435643</v>
      </c>
      <c r="BN156" s="22">
        <f>Constants!$H63*'Activity data'!BN5*Constants!$H81*EF!$H206*MMVolatEF*NtoN2O*kgtoGg</f>
        <v>0.53500047394649386</v>
      </c>
      <c r="BO156" s="22">
        <f>Constants!$H63*'Activity data'!BO5*Constants!$H81*EF!$H206*MMVolatEF*NtoN2O*kgtoGg</f>
        <v>0.54241454255567034</v>
      </c>
      <c r="BP156" s="22">
        <f>Constants!$H63*'Activity data'!BP5*Constants!$H81*EF!$H206*MMVolatEF*NtoN2O*kgtoGg</f>
        <v>0.5503449648769364</v>
      </c>
    </row>
    <row r="157" spans="1:68" x14ac:dyDescent="0.25">
      <c r="A157" t="str">
        <f t="shared" si="58"/>
        <v>3C Aggregated and non-CO2 emissions on land</v>
      </c>
      <c r="B157" t="str">
        <f>B156</f>
        <v>3C6 Indirect N2O from manure management (N2O)</v>
      </c>
      <c r="C157" t="str">
        <f>C156</f>
        <v>Volatilisation</v>
      </c>
      <c r="D157" t="str">
        <f>'Activity data'!D67</f>
        <v xml:space="preserve"> - Pasture</v>
      </c>
      <c r="E157" t="str">
        <f t="shared" si="61"/>
        <v>Volatilisation - Pasture</v>
      </c>
      <c r="F157" t="str">
        <f t="shared" si="47"/>
        <v>N2O</v>
      </c>
      <c r="G157" t="str">
        <f t="shared" si="48"/>
        <v>Gg N2O</v>
      </c>
      <c r="H157" s="22">
        <f>Constants!$H64*'Activity data'!H6*Constants!$H82*EF!$H207*MMVolatEF*NtoN2O*kgtoGg</f>
        <v>2.5550081296947576E-2</v>
      </c>
      <c r="I157" s="22">
        <f>Constants!$H64*'Activity data'!I6*Constants!$H82*EF!$H207*MMVolatEF*NtoN2O*kgtoGg</f>
        <v>2.9414780122050389E-2</v>
      </c>
      <c r="J157" s="22">
        <f>Constants!$H64*'Activity data'!J6*Constants!$H82*EF!$H207*MMVolatEF*NtoN2O*kgtoGg</f>
        <v>2.5447590773874224E-2</v>
      </c>
      <c r="K157" s="22">
        <f>Constants!$H64*'Activity data'!K6*Constants!$H82*EF!$H207*MMVolatEF*NtoN2O*kgtoGg</f>
        <v>2.6989554935618165E-2</v>
      </c>
      <c r="L157" s="22">
        <f>Constants!$H64*'Activity data'!L6*Constants!$H82*EF!$H207*MMVolatEF*NtoN2O*kgtoGg</f>
        <v>2.5037628681580843E-2</v>
      </c>
      <c r="M157" s="22">
        <f>Constants!$H64*'Activity data'!M6*Constants!$H82*EF!$H207*MMVolatEF*NtoN2O*kgtoGg</f>
        <v>2.6784573889471471E-2</v>
      </c>
      <c r="N157" s="22">
        <f>Constants!$H64*'Activity data'!N6*Constants!$H82*EF!$H207*MMVolatEF*NtoN2O*kgtoGg</f>
        <v>2.6887064412544823E-2</v>
      </c>
      <c r="O157" s="22">
        <f>Constants!$H64*'Activity data'!O6*Constants!$H82*EF!$H207*MMVolatEF*NtoN2O*kgtoGg</f>
        <v>2.5920889706269115E-2</v>
      </c>
      <c r="P157" s="22">
        <f>Constants!$H64*'Activity data'!P6*Constants!$H82*EF!$H207*MMVolatEF*NtoN2O*kgtoGg</f>
        <v>2.5613418137049079E-2</v>
      </c>
      <c r="Q157" s="22">
        <f>Constants!$H64*'Activity data'!Q6*Constants!$H82*EF!$H207*MMVolatEF*NtoN2O*kgtoGg</f>
        <v>2.5159696046140104E-2</v>
      </c>
      <c r="R157" s="22">
        <f>Constants!$H64*'Activity data'!R6*Constants!$H82*EF!$H207*MMVolatEF*NtoN2O*kgtoGg</f>
        <v>3.2396217922464922E-2</v>
      </c>
      <c r="S157" s="22">
        <f>Constants!$H64*'Activity data'!S6*Constants!$H82*EF!$H207*MMVolatEF*NtoN2O*kgtoGg</f>
        <v>3.2293727399391577E-2</v>
      </c>
      <c r="T157" s="22">
        <f>Constants!$H64*'Activity data'!T6*Constants!$H82*EF!$H207*MMVolatEF*NtoN2O*kgtoGg</f>
        <v>2.8160710688040554E-2</v>
      </c>
      <c r="U157" s="22">
        <f>Constants!$H64*'Activity data'!U6*Constants!$H82*EF!$H207*MMVolatEF*NtoN2O*kgtoGg</f>
        <v>2.5613418137049079E-2</v>
      </c>
      <c r="V157" s="22">
        <f>Constants!$H64*'Activity data'!V6*Constants!$H82*EF!$H207*MMVolatEF*NtoN2O*kgtoGg</f>
        <v>2.47301571123608E-2</v>
      </c>
      <c r="W157" s="22">
        <f>Constants!$H64*'Activity data'!W6*Constants!$H82*EF!$H207*MMVolatEF*NtoN2O*kgtoGg</f>
        <v>2.6477102320251435E-2</v>
      </c>
      <c r="X157" s="22">
        <f>Constants!$H64*'Activity data'!X6*Constants!$H82*EF!$H207*MMVolatEF*NtoN2O*kgtoGg</f>
        <v>2.5901312864783189E-2</v>
      </c>
      <c r="Y157" s="22">
        <f>Constants!$H64*'Activity data'!Y6*Constants!$H82*EF!$H207*MMVolatEF*NtoN2O*kgtoGg</f>
        <v>2.5715908660122428E-2</v>
      </c>
      <c r="Z157" s="22">
        <f>Constants!$H64*'Activity data'!Z6*Constants!$H82*EF!$H207*MMVolatEF*NtoN2O*kgtoGg</f>
        <v>3.1493380056290717E-2</v>
      </c>
      <c r="AA157" s="22">
        <f>Constants!$H64*'Activity data'!AA6*Constants!$H82*EF!$H207*MMVolatEF*NtoN2O*kgtoGg</f>
        <v>3.2274150557905647E-2</v>
      </c>
      <c r="AB157" s="22">
        <f>Constants!$H64*'Activity data'!AB6*Constants!$H82*EF!$H207*MMVolatEF*NtoN2O*kgtoGg</f>
        <v>3.2274150557905647E-2</v>
      </c>
      <c r="AC157" s="22">
        <f>Constants!$H64*'Activity data'!AC6*Constants!$H82*EF!$H207*MMVolatEF*NtoN2O*kgtoGg</f>
        <v>3.1102994805483251E-2</v>
      </c>
      <c r="AD157" s="22">
        <f>Constants!$H64*'Activity data'!AD6*Constants!$H82*EF!$H207*MMVolatEF*NtoN2O*kgtoGg</f>
        <v>3.128297961330509E-2</v>
      </c>
      <c r="AE157" s="22">
        <f>Constants!$H64*'Activity data'!AE6*Constants!$H82*EF!$H207*MMVolatEF*NtoN2O*kgtoGg</f>
        <v>3.1509769726591995E-2</v>
      </c>
      <c r="AF157" s="22">
        <f>Constants!$H64*'Activity data'!AF6*Constants!$H82*EF!$H207*MMVolatEF*NtoN2O*kgtoGg</f>
        <v>3.1654935390845851E-2</v>
      </c>
      <c r="AG157" s="22">
        <f>Constants!$H64*'Activity data'!AG6*Constants!$H82*EF!$H207*MMVolatEF*NtoN2O*kgtoGg</f>
        <v>3.1735914045862207E-2</v>
      </c>
      <c r="AH157" s="22">
        <f>Constants!$H64*'Activity data'!AH6*Constants!$H82*EF!$H207*MMVolatEF*NtoN2O*kgtoGg</f>
        <v>3.1780180734391435E-2</v>
      </c>
      <c r="AI157" s="22">
        <f>Constants!$H64*'Activity data'!AI6*Constants!$H82*EF!$H207*MMVolatEF*NtoN2O*kgtoGg</f>
        <v>3.1875502452514623E-2</v>
      </c>
      <c r="AJ157" s="22">
        <f>Constants!$H64*'Activity data'!AJ6*Constants!$H82*EF!$H207*MMVolatEF*NtoN2O*kgtoGg</f>
        <v>3.2001899055272898E-2</v>
      </c>
      <c r="AK157" s="22">
        <f>Constants!$H64*'Activity data'!AK6*Constants!$H82*EF!$H207*MMVolatEF*NtoN2O*kgtoGg</f>
        <v>3.2131583589259397E-2</v>
      </c>
      <c r="AL157" s="22">
        <f>Constants!$H64*'Activity data'!AL6*Constants!$H82*EF!$H207*MMVolatEF*NtoN2O*kgtoGg</f>
        <v>3.1083853458674149E-2</v>
      </c>
      <c r="AM157" s="22">
        <f>Constants!$H64*'Activity data'!AM6*Constants!$H82*EF!$H207*MMVolatEF*NtoN2O*kgtoGg</f>
        <v>3.1326106121169511E-2</v>
      </c>
      <c r="AN157" s="22">
        <f>Constants!$H64*'Activity data'!AN6*Constants!$H82*EF!$H207*MMVolatEF*NtoN2O*kgtoGg</f>
        <v>3.1564785961523539E-2</v>
      </c>
      <c r="AO157" s="22">
        <f>Constants!$H64*'Activity data'!AO6*Constants!$H82*EF!$H207*MMVolatEF*NtoN2O*kgtoGg</f>
        <v>3.1823761083331251E-2</v>
      </c>
      <c r="AP157" s="22">
        <f>Constants!$H64*'Activity data'!AP6*Constants!$H82*EF!$H207*MMVolatEF*NtoN2O*kgtoGg</f>
        <v>3.2100963936070634E-2</v>
      </c>
      <c r="AQ157" s="22">
        <f>Constants!$H64*'Activity data'!AQ6*Constants!$H82*EF!$H207*MMVolatEF*NtoN2O*kgtoGg</f>
        <v>3.2374135046470569E-2</v>
      </c>
      <c r="AR157" s="22">
        <f>Constants!$H64*'Activity data'!AR6*Constants!$H82*EF!$H207*MMVolatEF*NtoN2O*kgtoGg</f>
        <v>3.2689552090331503E-2</v>
      </c>
      <c r="AS157" s="22">
        <f>Constants!$H64*'Activity data'!AS6*Constants!$H82*EF!$H207*MMVolatEF*NtoN2O*kgtoGg</f>
        <v>3.3015689128912722E-2</v>
      </c>
      <c r="AT157" s="22">
        <f>Constants!$H64*'Activity data'!AT6*Constants!$H82*EF!$H207*MMVolatEF*NtoN2O*kgtoGg</f>
        <v>3.3358572693114985E-2</v>
      </c>
      <c r="AU157" s="22">
        <f>Constants!$H64*'Activity data'!AU6*Constants!$H82*EF!$H207*MMVolatEF*NtoN2O*kgtoGg</f>
        <v>3.3711955566229711E-2</v>
      </c>
      <c r="AV157" s="22">
        <f>Constants!$H64*'Activity data'!AV6*Constants!$H82*EF!$H207*MMVolatEF*NtoN2O*kgtoGg</f>
        <v>3.4007660285284763E-2</v>
      </c>
      <c r="AW157" s="22">
        <f>Constants!$H64*'Activity data'!AW6*Constants!$H82*EF!$H207*MMVolatEF*NtoN2O*kgtoGg</f>
        <v>3.4382139133797798E-2</v>
      </c>
      <c r="AX157" s="22">
        <f>Constants!$H64*'Activity data'!AX6*Constants!$H82*EF!$H207*MMVolatEF*NtoN2O*kgtoGg</f>
        <v>3.4763148141220897E-2</v>
      </c>
      <c r="AY157" s="22">
        <f>Constants!$H64*'Activity data'!AY6*Constants!$H82*EF!$H207*MMVolatEF*NtoN2O*kgtoGg</f>
        <v>3.5153030621912239E-2</v>
      </c>
      <c r="AZ157" s="22">
        <f>Constants!$H64*'Activity data'!AZ6*Constants!$H82*EF!$H207*MMVolatEF*NtoN2O*kgtoGg</f>
        <v>3.5524599460856114E-2</v>
      </c>
      <c r="BA157" s="22">
        <f>Constants!$H64*'Activity data'!BA6*Constants!$H82*EF!$H207*MMVolatEF*NtoN2O*kgtoGg</f>
        <v>3.5916038646451647E-2</v>
      </c>
      <c r="BB157" s="22">
        <f>Constants!$H64*'Activity data'!BB6*Constants!$H82*EF!$H207*MMVolatEF*NtoN2O*kgtoGg</f>
        <v>3.6327687557255128E-2</v>
      </c>
      <c r="BC157" s="22">
        <f>Constants!$H64*'Activity data'!BC6*Constants!$H82*EF!$H207*MMVolatEF*NtoN2O*kgtoGg</f>
        <v>3.6752007517116436E-2</v>
      </c>
      <c r="BD157" s="22">
        <f>Constants!$H64*'Activity data'!BD6*Constants!$H82*EF!$H207*MMVolatEF*NtoN2O*kgtoGg</f>
        <v>3.7169090784823257E-2</v>
      </c>
      <c r="BE157" s="22">
        <f>Constants!$H64*'Activity data'!BE6*Constants!$H82*EF!$H207*MMVolatEF*NtoN2O*kgtoGg</f>
        <v>3.7599028774519982E-2</v>
      </c>
      <c r="BF157" s="22">
        <f>Constants!$H64*'Activity data'!BF6*Constants!$H82*EF!$H207*MMVolatEF*NtoN2O*kgtoGg</f>
        <v>3.8053720090228914E-2</v>
      </c>
      <c r="BG157" s="22">
        <f>Constants!$H64*'Activity data'!BG6*Constants!$H82*EF!$H207*MMVolatEF*NtoN2O*kgtoGg</f>
        <v>3.8527465521227718E-2</v>
      </c>
      <c r="BH157" s="22">
        <f>Constants!$H64*'Activity data'!BH6*Constants!$H82*EF!$H207*MMVolatEF*NtoN2O*kgtoGg</f>
        <v>3.9018404137796711E-2</v>
      </c>
      <c r="BI157" s="22">
        <f>Constants!$H64*'Activity data'!BI6*Constants!$H82*EF!$H207*MMVolatEF*NtoN2O*kgtoGg</f>
        <v>3.9527257245133167E-2</v>
      </c>
      <c r="BJ157" s="22">
        <f>Constants!$H64*'Activity data'!BJ6*Constants!$H82*EF!$H207*MMVolatEF*NtoN2O*kgtoGg</f>
        <v>4.005409336712857E-2</v>
      </c>
      <c r="BK157" s="22">
        <f>Constants!$H64*'Activity data'!BK6*Constants!$H82*EF!$H207*MMVolatEF*NtoN2O*kgtoGg</f>
        <v>4.0603646608714468E-2</v>
      </c>
      <c r="BL157" s="22">
        <f>Constants!$H64*'Activity data'!BL6*Constants!$H82*EF!$H207*MMVolatEF*NtoN2O*kgtoGg</f>
        <v>4.1116926773354184E-2</v>
      </c>
      <c r="BM157" s="22">
        <f>Constants!$H64*'Activity data'!BM6*Constants!$H82*EF!$H207*MMVolatEF*NtoN2O*kgtoGg</f>
        <v>4.1650399856317431E-2</v>
      </c>
      <c r="BN157" s="22">
        <f>Constants!$H64*'Activity data'!BN6*Constants!$H82*EF!$H207*MMVolatEF*NtoN2O*kgtoGg</f>
        <v>4.2208473283920203E-2</v>
      </c>
      <c r="BO157" s="22">
        <f>Constants!$H64*'Activity data'!BO6*Constants!$H82*EF!$H207*MMVolatEF*NtoN2O*kgtoGg</f>
        <v>4.2793400834557981E-2</v>
      </c>
      <c r="BP157" s="22">
        <f>Constants!$H64*'Activity data'!BP6*Constants!$H82*EF!$H207*MMVolatEF*NtoN2O*kgtoGg</f>
        <v>4.3419065735764859E-2</v>
      </c>
    </row>
    <row r="158" spans="1:68" x14ac:dyDescent="0.25">
      <c r="A158" t="str">
        <f t="shared" si="58"/>
        <v>3C Aggregated and non-CO2 emissions on land</v>
      </c>
      <c r="B158" t="str">
        <f t="shared" ref="B158:B171" si="62">B157</f>
        <v>3C6 Indirect N2O from manure management (N2O)</v>
      </c>
      <c r="C158" t="str">
        <f t="shared" ref="C158:C171" si="63">C157</f>
        <v>Volatilisation</v>
      </c>
      <c r="D158" t="str">
        <f>'Activity data'!D68</f>
        <v xml:space="preserve"> - Non-lactating</v>
      </c>
      <c r="E158" t="str">
        <f t="shared" si="61"/>
        <v>Volatilisation - Non-lactating</v>
      </c>
      <c r="F158" t="str">
        <f t="shared" si="47"/>
        <v>N2O</v>
      </c>
      <c r="G158" t="str">
        <f t="shared" si="48"/>
        <v>Gg N2O</v>
      </c>
      <c r="H158" s="22">
        <f>Constants!$H65*'Activity data'!H7*Constants!$H83*EF!$H208*MMVolatEF*NtoN2O*kgtoGg</f>
        <v>2.7959029796178987E-4</v>
      </c>
      <c r="I158" s="22">
        <f>Constants!$H65*'Activity data'!I7*Constants!$H83*EF!$H208*MMVolatEF*NtoN2O*kgtoGg</f>
        <v>3.1779900416957193E-4</v>
      </c>
      <c r="J158" s="22">
        <f>Constants!$H65*'Activity data'!J7*Constants!$H83*EF!$H208*MMVolatEF*NtoN2O*kgtoGg</f>
        <v>2.7489696617153677E-4</v>
      </c>
      <c r="K158" s="22">
        <f>Constants!$H65*'Activity data'!K7*Constants!$H83*EF!$H208*MMVolatEF*NtoN2O*kgtoGg</f>
        <v>2.8768837256461081E-4</v>
      </c>
      <c r="L158" s="22">
        <f>Constants!$H65*'Activity data'!L7*Constants!$H83*EF!$H208*MMVolatEF*NtoN2O*kgtoGg</f>
        <v>2.5612363901052502E-4</v>
      </c>
      <c r="M158" s="22">
        <f>Constants!$H65*'Activity data'!M7*Constants!$H83*EF!$H208*MMVolatEF*NtoN2O*kgtoGg</f>
        <v>2.7830170898410472E-4</v>
      </c>
      <c r="N158" s="22">
        <f>Constants!$H65*'Activity data'!N7*Constants!$H83*EF!$H208*MMVolatEF*NtoN2O*kgtoGg</f>
        <v>2.8299504077435766E-4</v>
      </c>
      <c r="O158" s="22">
        <f>Constants!$H65*'Activity data'!O7*Constants!$H83*EF!$H208*MMVolatEF*NtoN2O*kgtoGg</f>
        <v>2.7344286422241221E-4</v>
      </c>
      <c r="P158" s="22">
        <f>Constants!$H65*'Activity data'!P7*Constants!$H83*EF!$H208*MMVolatEF*NtoN2O*kgtoGg</f>
        <v>2.5936286885165324E-4</v>
      </c>
      <c r="Q158" s="22">
        <f>Constants!$H65*'Activity data'!Q7*Constants!$H83*EF!$H208*MMVolatEF*NtoN2O*kgtoGg</f>
        <v>2.7327735125097269E-4</v>
      </c>
      <c r="R158" s="22">
        <f>Constants!$H65*'Activity data'!R7*Constants!$H83*EF!$H208*MMVolatEF*NtoN2O*kgtoGg</f>
        <v>3.3868848516546658E-4</v>
      </c>
      <c r="S158" s="22">
        <f>Constants!$H65*'Activity data'!S7*Constants!$H83*EF!$H208*MMVolatEF*NtoN2O*kgtoGg</f>
        <v>3.3399515337521364E-4</v>
      </c>
      <c r="T158" s="22">
        <f>Constants!$H65*'Activity data'!T7*Constants!$H83*EF!$H208*MMVolatEF*NtoN2O*kgtoGg</f>
        <v>3.0662721269706218E-4</v>
      </c>
      <c r="U158" s="22">
        <f>Constants!$H65*'Activity data'!U7*Constants!$H83*EF!$H208*MMVolatEF*NtoN2O*kgtoGg</f>
        <v>2.5936286885165324E-4</v>
      </c>
      <c r="V158" s="22">
        <f>Constants!$H65*'Activity data'!V7*Constants!$H83*EF!$H208*MMVolatEF*NtoN2O*kgtoGg</f>
        <v>2.4204364363976597E-4</v>
      </c>
      <c r="W158" s="22">
        <f>Constants!$H65*'Activity data'!W7*Constants!$H83*EF!$H208*MMVolatEF*NtoN2O*kgtoGg</f>
        <v>2.6422171361334585E-4</v>
      </c>
      <c r="X158" s="22">
        <f>Constants!$H65*'Activity data'!X7*Constants!$H83*EF!$H208*MMVolatEF*NtoN2O*kgtoGg</f>
        <v>2.6098248377221742E-4</v>
      </c>
      <c r="Y158" s="22">
        <f>Constants!$H65*'Activity data'!Y7*Constants!$H83*EF!$H208*MMVolatEF*NtoN2O*kgtoGg</f>
        <v>2.6405620064190628E-4</v>
      </c>
      <c r="Z158" s="22">
        <f>Constants!$H65*'Activity data'!Z7*Constants!$H83*EF!$H208*MMVolatEF*NtoN2O*kgtoGg</f>
        <v>3.0890887950338466E-4</v>
      </c>
      <c r="AA158" s="22">
        <f>Constants!$H65*'Activity data'!AA7*Constants!$H83*EF!$H208*MMVolatEF*NtoN2O*kgtoGg</f>
        <v>3.2153477292501886E-4</v>
      </c>
      <c r="AB158" s="22">
        <f>Constants!$H65*'Activity data'!AB7*Constants!$H83*EF!$H208*MMVolatEF*NtoN2O*kgtoGg</f>
        <v>3.2153477292501886E-4</v>
      </c>
      <c r="AC158" s="22">
        <f>Constants!$H65*'Activity data'!AC7*Constants!$H83*EF!$H208*MMVolatEF*NtoN2O*kgtoGg</f>
        <v>3.0259593279256748E-4</v>
      </c>
      <c r="AD158" s="22">
        <f>Constants!$H65*'Activity data'!AD7*Constants!$H83*EF!$H208*MMVolatEF*NtoN2O*kgtoGg</f>
        <v>2.899808052298456E-4</v>
      </c>
      <c r="AE158" s="22">
        <f>Constants!$H65*'Activity data'!AE7*Constants!$H83*EF!$H208*MMVolatEF*NtoN2O*kgtoGg</f>
        <v>2.9208305957013019E-4</v>
      </c>
      <c r="AF158" s="22">
        <f>Constants!$H65*'Activity data'!AF7*Constants!$H83*EF!$H208*MMVolatEF*NtoN2O*kgtoGg</f>
        <v>2.9342868766350257E-4</v>
      </c>
      <c r="AG158" s="22">
        <f>Constants!$H65*'Activity data'!AG7*Constants!$H83*EF!$H208*MMVolatEF*NtoN2O*kgtoGg</f>
        <v>2.9417932765618679E-4</v>
      </c>
      <c r="AH158" s="22">
        <f>Constants!$H65*'Activity data'!AH7*Constants!$H83*EF!$H208*MMVolatEF*NtoN2O*kgtoGg</f>
        <v>2.9458966229001118E-4</v>
      </c>
      <c r="AI158" s="22">
        <f>Constants!$H65*'Activity data'!AI7*Constants!$H83*EF!$H208*MMVolatEF*NtoN2O*kgtoGg</f>
        <v>2.9547325678513095E-4</v>
      </c>
      <c r="AJ158" s="22">
        <f>Constants!$H65*'Activity data'!AJ7*Constants!$H83*EF!$H208*MMVolatEF*NtoN2O*kgtoGg</f>
        <v>2.9664490312762226E-4</v>
      </c>
      <c r="AK158" s="22">
        <f>Constants!$H65*'Activity data'!AK7*Constants!$H83*EF!$H208*MMVolatEF*NtoN2O*kgtoGg</f>
        <v>2.9784702728766443E-4</v>
      </c>
      <c r="AL158" s="22">
        <f>Constants!$H65*'Activity data'!AL7*Constants!$H83*EF!$H208*MMVolatEF*NtoN2O*kgtoGg</f>
        <v>2.8813498480685608E-4</v>
      </c>
      <c r="AM158" s="22">
        <f>Constants!$H65*'Activity data'!AM7*Constants!$H83*EF!$H208*MMVolatEF*NtoN2O*kgtoGg</f>
        <v>2.9038057084142932E-4</v>
      </c>
      <c r="AN158" s="22">
        <f>Constants!$H65*'Activity data'!AN7*Constants!$H83*EF!$H208*MMVolatEF*NtoN2O*kgtoGg</f>
        <v>2.925930382327566E-4</v>
      </c>
      <c r="AO158" s="22">
        <f>Constants!$H65*'Activity data'!AO7*Constants!$H83*EF!$H208*MMVolatEF*NtoN2O*kgtoGg</f>
        <v>2.9499363482824072E-4</v>
      </c>
      <c r="AP158" s="22">
        <f>Constants!$H65*'Activity data'!AP7*Constants!$H83*EF!$H208*MMVolatEF*NtoN2O*kgtoGg</f>
        <v>2.9756319525512493E-4</v>
      </c>
      <c r="AQ158" s="22">
        <f>Constants!$H65*'Activity data'!AQ7*Constants!$H83*EF!$H208*MMVolatEF*NtoN2O*kgtoGg</f>
        <v>3.0009538303066573E-4</v>
      </c>
      <c r="AR158" s="22">
        <f>Constants!$H65*'Activity data'!AR7*Constants!$H83*EF!$H208*MMVolatEF*NtoN2O*kgtoGg</f>
        <v>3.0301917384255853E-4</v>
      </c>
      <c r="AS158" s="22">
        <f>Constants!$H65*'Activity data'!AS7*Constants!$H83*EF!$H208*MMVolatEF*NtoN2O*kgtoGg</f>
        <v>3.0604233475088963E-4</v>
      </c>
      <c r="AT158" s="22">
        <f>Constants!$H65*'Activity data'!AT7*Constants!$H83*EF!$H208*MMVolatEF*NtoN2O*kgtoGg</f>
        <v>3.0922072930526144E-4</v>
      </c>
      <c r="AU158" s="22">
        <f>Constants!$H65*'Activity data'!AU7*Constants!$H83*EF!$H208*MMVolatEF*NtoN2O*kgtoGg</f>
        <v>3.1249644828621988E-4</v>
      </c>
      <c r="AV158" s="22">
        <f>Constants!$H65*'Activity data'!AV7*Constants!$H83*EF!$H208*MMVolatEF*NtoN2O*kgtoGg</f>
        <v>3.1523751367071355E-4</v>
      </c>
      <c r="AW158" s="22">
        <f>Constants!$H65*'Activity data'!AW7*Constants!$H83*EF!$H208*MMVolatEF*NtoN2O*kgtoGg</f>
        <v>3.187087839709112E-4</v>
      </c>
      <c r="AX158" s="22">
        <f>Constants!$H65*'Activity data'!AX7*Constants!$H83*EF!$H208*MMVolatEF*NtoN2O*kgtoGg</f>
        <v>3.2224058625247458E-4</v>
      </c>
      <c r="AY158" s="22">
        <f>Constants!$H65*'Activity data'!AY7*Constants!$H83*EF!$H208*MMVolatEF*NtoN2O*kgtoGg</f>
        <v>3.2585464210947495E-4</v>
      </c>
      <c r="AZ158" s="22">
        <f>Constants!$H65*'Activity data'!AZ7*Constants!$H83*EF!$H208*MMVolatEF*NtoN2O*kgtoGg</f>
        <v>3.2929893777590939E-4</v>
      </c>
      <c r="BA158" s="22">
        <f>Constants!$H65*'Activity data'!BA7*Constants!$H83*EF!$H208*MMVolatEF*NtoN2O*kgtoGg</f>
        <v>3.3292742366953669E-4</v>
      </c>
      <c r="BB158" s="22">
        <f>Constants!$H65*'Activity data'!BB7*Constants!$H83*EF!$H208*MMVolatEF*NtoN2O*kgtoGg</f>
        <v>3.3674324569487891E-4</v>
      </c>
      <c r="BC158" s="22">
        <f>Constants!$H65*'Activity data'!BC7*Constants!$H83*EF!$H208*MMVolatEF*NtoN2O*kgtoGg</f>
        <v>3.4067652331602164E-4</v>
      </c>
      <c r="BD158" s="22">
        <f>Constants!$H65*'Activity data'!BD7*Constants!$H83*EF!$H208*MMVolatEF*NtoN2O*kgtoGg</f>
        <v>3.4454271967303621E-4</v>
      </c>
      <c r="BE158" s="22">
        <f>Constants!$H65*'Activity data'!BE7*Constants!$H83*EF!$H208*MMVolatEF*NtoN2O*kgtoGg</f>
        <v>3.4852807420103423E-4</v>
      </c>
      <c r="BF158" s="22">
        <f>Constants!$H65*'Activity data'!BF7*Constants!$H83*EF!$H208*MMVolatEF*NtoN2O*kgtoGg</f>
        <v>3.5274288223691001E-4</v>
      </c>
      <c r="BG158" s="22">
        <f>Constants!$H65*'Activity data'!BG7*Constants!$H83*EF!$H208*MMVolatEF*NtoN2O*kgtoGg</f>
        <v>3.5713431435920577E-4</v>
      </c>
      <c r="BH158" s="22">
        <f>Constants!$H65*'Activity data'!BH7*Constants!$H83*EF!$H208*MMVolatEF*NtoN2O*kgtoGg</f>
        <v>3.6168512048799766E-4</v>
      </c>
      <c r="BI158" s="22">
        <f>Constants!$H65*'Activity data'!BI7*Constants!$H83*EF!$H208*MMVolatEF*NtoN2O*kgtoGg</f>
        <v>3.6640198683618853E-4</v>
      </c>
      <c r="BJ158" s="22">
        <f>Constants!$H65*'Activity data'!BJ7*Constants!$H83*EF!$H208*MMVolatEF*NtoN2O*kgtoGg</f>
        <v>3.712855485930557E-4</v>
      </c>
      <c r="BK158" s="22">
        <f>Constants!$H65*'Activity data'!BK7*Constants!$H83*EF!$H208*MMVolatEF*NtoN2O*kgtoGg</f>
        <v>3.763796890324139E-4</v>
      </c>
      <c r="BL158" s="22">
        <f>Constants!$H65*'Activity data'!BL7*Constants!$H83*EF!$H208*MMVolatEF*NtoN2O*kgtoGg</f>
        <v>3.8113759244476754E-4</v>
      </c>
      <c r="BM158" s="22">
        <f>Constants!$H65*'Activity data'!BM7*Constants!$H83*EF!$H208*MMVolatEF*NtoN2O*kgtoGg</f>
        <v>3.8608267619568782E-4</v>
      </c>
      <c r="BN158" s="22">
        <f>Constants!$H65*'Activity data'!BN7*Constants!$H83*EF!$H208*MMVolatEF*NtoN2O*kgtoGg</f>
        <v>3.9125579537787746E-4</v>
      </c>
      <c r="BO158" s="22">
        <f>Constants!$H65*'Activity data'!BO7*Constants!$H83*EF!$H208*MMVolatEF*NtoN2O*kgtoGg</f>
        <v>3.9667784162256831E-4</v>
      </c>
      <c r="BP158" s="22">
        <f>Constants!$H65*'Activity data'!BP7*Constants!$H83*EF!$H208*MMVolatEF*NtoN2O*kgtoGg</f>
        <v>4.0247750693893917E-4</v>
      </c>
    </row>
    <row r="159" spans="1:68" x14ac:dyDescent="0.25">
      <c r="A159" t="str">
        <f t="shared" si="58"/>
        <v>3C Aggregated and non-CO2 emissions on land</v>
      </c>
      <c r="B159" t="str">
        <f t="shared" si="62"/>
        <v>3C6 Indirect N2O from manure management (N2O)</v>
      </c>
      <c r="C159" t="str">
        <f t="shared" si="63"/>
        <v>Volatilisation</v>
      </c>
      <c r="D159" t="str">
        <f>'Activity data'!D69</f>
        <v xml:space="preserve"> - Commercial cattle</v>
      </c>
      <c r="E159" t="str">
        <f t="shared" si="61"/>
        <v>Volatilisation - Commercial cattle</v>
      </c>
      <c r="F159" t="str">
        <f t="shared" si="47"/>
        <v>N2O</v>
      </c>
      <c r="G159" t="str">
        <f t="shared" si="48"/>
        <v>Gg N2O</v>
      </c>
      <c r="H159" s="22">
        <f>Constants!$H66*'Activity data'!H8*Constants!$H84*EF!$H209*MMVolatEF*NtoN2O*kgtoGg</f>
        <v>3.7003362848044533E-3</v>
      </c>
      <c r="I159" s="22">
        <f>Constants!$H66*'Activity data'!I8*Constants!$H84*EF!$H209*MMVolatEF*NtoN2O*kgtoGg</f>
        <v>3.5406221910635866E-3</v>
      </c>
      <c r="J159" s="22">
        <f>Constants!$H66*'Activity data'!J8*Constants!$H84*EF!$H209*MMVolatEF*NtoN2O*kgtoGg</f>
        <v>3.5393357500556814E-3</v>
      </c>
      <c r="K159" s="22">
        <f>Constants!$H66*'Activity data'!K8*Constants!$H84*EF!$H209*MMVolatEF*NtoN2O*kgtoGg</f>
        <v>3.3111743098604807E-3</v>
      </c>
      <c r="L159" s="22">
        <f>Constants!$H66*'Activity data'!L8*Constants!$H84*EF!$H209*MMVolatEF*NtoN2O*kgtoGg</f>
        <v>3.4109956184485233E-3</v>
      </c>
      <c r="M159" s="22">
        <f>Constants!$H66*'Activity data'!M8*Constants!$H84*EF!$H209*MMVolatEF*NtoN2O*kgtoGg</f>
        <v>3.4885511843596667E-3</v>
      </c>
      <c r="N159" s="22">
        <f>Constants!$H66*'Activity data'!N8*Constants!$H84*EF!$H209*MMVolatEF*NtoN2O*kgtoGg</f>
        <v>3.6332676557172408E-3</v>
      </c>
      <c r="O159" s="22">
        <f>Constants!$H66*'Activity data'!O8*Constants!$H84*EF!$H209*MMVolatEF*NtoN2O*kgtoGg</f>
        <v>3.7709005594996426E-3</v>
      </c>
      <c r="P159" s="22">
        <f>Constants!$H66*'Activity data'!P8*Constants!$H84*EF!$H209*MMVolatEF*NtoN2O*kgtoGg</f>
        <v>3.8035609626412554E-3</v>
      </c>
      <c r="Q159" s="22">
        <f>Constants!$H66*'Activity data'!Q8*Constants!$H84*EF!$H209*MMVolatEF*NtoN2O*kgtoGg</f>
        <v>3.742012631043659E-3</v>
      </c>
      <c r="R159" s="22">
        <f>Constants!$H66*'Activity data'!R8*Constants!$H84*EF!$H209*MMVolatEF*NtoN2O*kgtoGg</f>
        <v>3.4878129734859328E-3</v>
      </c>
      <c r="S159" s="22">
        <f>Constants!$H66*'Activity data'!S8*Constants!$H84*EF!$H209*MMVolatEF*NtoN2O*kgtoGg</f>
        <v>3.5059371360403354E-3</v>
      </c>
      <c r="T159" s="22">
        <f>Constants!$H66*'Activity data'!T8*Constants!$H84*EF!$H209*MMVolatEF*NtoN2O*kgtoGg</f>
        <v>3.267565588098854E-3</v>
      </c>
      <c r="U159" s="22">
        <f>Constants!$H66*'Activity data'!U8*Constants!$H84*EF!$H209*MMVolatEF*NtoN2O*kgtoGg</f>
        <v>3.3530352088181202E-3</v>
      </c>
      <c r="V159" s="22">
        <f>Constants!$H66*'Activity data'!V8*Constants!$H84*EF!$H209*MMVolatEF*NtoN2O*kgtoGg</f>
        <v>3.3839477891557434E-3</v>
      </c>
      <c r="W159" s="22">
        <f>Constants!$H66*'Activity data'!W8*Constants!$H84*EF!$H209*MMVolatEF*NtoN2O*kgtoGg</f>
        <v>3.4126511648932944E-3</v>
      </c>
      <c r="X159" s="22">
        <f>Constants!$H66*'Activity data'!X8*Constants!$H84*EF!$H209*MMVolatEF*NtoN2O*kgtoGg</f>
        <v>3.3349110462637175E-3</v>
      </c>
      <c r="Y159" s="22">
        <f>Constants!$H66*'Activity data'!Y8*Constants!$H84*EF!$H209*MMVolatEF*NtoN2O*kgtoGg</f>
        <v>3.4326154266109024E-3</v>
      </c>
      <c r="Z159" s="22">
        <f>Constants!$H66*'Activity data'!Z8*Constants!$H84*EF!$H209*MMVolatEF*NtoN2O*kgtoGg</f>
        <v>3.3372300325911516E-3</v>
      </c>
      <c r="AA159" s="22">
        <f>Constants!$H66*'Activity data'!AA8*Constants!$H84*EF!$H209*MMVolatEF*NtoN2O*kgtoGg</f>
        <v>3.281195665791852E-3</v>
      </c>
      <c r="AB159" s="22">
        <f>Constants!$H66*'Activity data'!AB8*Constants!$H84*EF!$H209*MMVolatEF*NtoN2O*kgtoGg</f>
        <v>3.2708808424712636E-3</v>
      </c>
      <c r="AC159" s="22">
        <f>Constants!$H66*'Activity data'!AC8*Constants!$H84*EF!$H209*MMVolatEF*NtoN2O*kgtoGg</f>
        <v>3.2591357808163246E-3</v>
      </c>
      <c r="AD159" s="22">
        <f>Constants!$H66*'Activity data'!AD8*Constants!$H84*EF!$H209*MMVolatEF*NtoN2O*kgtoGg</f>
        <v>3.2500607176186511E-3</v>
      </c>
      <c r="AE159" s="22">
        <f>Constants!$H66*'Activity data'!AE8*Constants!$H84*EF!$H209*MMVolatEF*NtoN2O*kgtoGg</f>
        <v>3.2385484222238283E-3</v>
      </c>
      <c r="AF159" s="22">
        <f>Constants!$H66*'Activity data'!AF8*Constants!$H84*EF!$H209*MMVolatEF*NtoN2O*kgtoGg</f>
        <v>3.1961863145587967E-3</v>
      </c>
      <c r="AG159" s="22">
        <f>Constants!$H66*'Activity data'!AG8*Constants!$H84*EF!$H209*MMVolatEF*NtoN2O*kgtoGg</f>
        <v>3.1306631735273354E-3</v>
      </c>
      <c r="AH159" s="22">
        <f>Constants!$H66*'Activity data'!AH8*Constants!$H84*EF!$H209*MMVolatEF*NtoN2O*kgtoGg</f>
        <v>3.0518684903853479E-3</v>
      </c>
      <c r="AI159" s="22">
        <f>Constants!$H66*'Activity data'!AI8*Constants!$H84*EF!$H209*MMVolatEF*NtoN2O*kgtoGg</f>
        <v>2.9858052302971978E-3</v>
      </c>
      <c r="AJ159" s="22">
        <f>Constants!$H66*'Activity data'!AJ8*Constants!$H84*EF!$H209*MMVolatEF*NtoN2O*kgtoGg</f>
        <v>2.9274077748104041E-3</v>
      </c>
      <c r="AK159" s="22">
        <f>Constants!$H66*'Activity data'!AK8*Constants!$H84*EF!$H209*MMVolatEF*NtoN2O*kgtoGg</f>
        <v>2.8685862967313559E-3</v>
      </c>
      <c r="AL159" s="22">
        <f>Constants!$H66*'Activity data'!AL8*Constants!$H84*EF!$H209*MMVolatEF*NtoN2O*kgtoGg</f>
        <v>2.5006483562307852E-3</v>
      </c>
      <c r="AM159" s="22">
        <f>Constants!$H66*'Activity data'!AM8*Constants!$H84*EF!$H209*MMVolatEF*NtoN2O*kgtoGg</f>
        <v>2.5149427980751655E-3</v>
      </c>
      <c r="AN159" s="22">
        <f>Constants!$H66*'Activity data'!AN8*Constants!$H84*EF!$H209*MMVolatEF*NtoN2O*kgtoGg</f>
        <v>2.529231150781539E-3</v>
      </c>
      <c r="AO159" s="22">
        <f>Constants!$H66*'Activity data'!AO8*Constants!$H84*EF!$H209*MMVolatEF*NtoN2O*kgtoGg</f>
        <v>2.5495876918044144E-3</v>
      </c>
      <c r="AP159" s="22">
        <f>Constants!$H66*'Activity data'!AP8*Constants!$H84*EF!$H209*MMVolatEF*NtoN2O*kgtoGg</f>
        <v>2.5734241785127579E-3</v>
      </c>
      <c r="AQ159" s="22">
        <f>Constants!$H66*'Activity data'!AQ8*Constants!$H84*EF!$H209*MMVolatEF*NtoN2O*kgtoGg</f>
        <v>2.5952287729328603E-3</v>
      </c>
      <c r="AR159" s="22">
        <f>Constants!$H66*'Activity data'!AR8*Constants!$H84*EF!$H209*MMVolatEF*NtoN2O*kgtoGg</f>
        <v>2.6261989337916652E-3</v>
      </c>
      <c r="AS159" s="22">
        <f>Constants!$H66*'Activity data'!AS8*Constants!$H84*EF!$H209*MMVolatEF*NtoN2O*kgtoGg</f>
        <v>2.6585334328264559E-3</v>
      </c>
      <c r="AT159" s="22">
        <f>Constants!$H66*'Activity data'!AT8*Constants!$H84*EF!$H209*MMVolatEF*NtoN2O*kgtoGg</f>
        <v>2.6935943392650402E-3</v>
      </c>
      <c r="AU159" s="22">
        <f>Constants!$H66*'Activity data'!AU8*Constants!$H84*EF!$H209*MMVolatEF*NtoN2O*kgtoGg</f>
        <v>2.729631442708008E-3</v>
      </c>
      <c r="AV159" s="22">
        <f>Constants!$H66*'Activity data'!AV8*Constants!$H84*EF!$H209*MMVolatEF*NtoN2O*kgtoGg</f>
        <v>2.7512176211192552E-3</v>
      </c>
      <c r="AW159" s="22">
        <f>Constants!$H66*'Activity data'!AW8*Constants!$H84*EF!$H209*MMVolatEF*NtoN2O*kgtoGg</f>
        <v>2.7658964547108821E-3</v>
      </c>
      <c r="AX159" s="22">
        <f>Constants!$H66*'Activity data'!AX8*Constants!$H84*EF!$H209*MMVolatEF*NtoN2O*kgtoGg</f>
        <v>2.779514532182439E-3</v>
      </c>
      <c r="AY159" s="22">
        <f>Constants!$H66*'Activity data'!AY8*Constants!$H84*EF!$H209*MMVolatEF*NtoN2O*kgtoGg</f>
        <v>2.792531948904583E-3</v>
      </c>
      <c r="AZ159" s="22">
        <f>Constants!$H66*'Activity data'!AZ8*Constants!$H84*EF!$H209*MMVolatEF*NtoN2O*kgtoGg</f>
        <v>2.7992287868145744E-3</v>
      </c>
      <c r="BA159" s="22">
        <f>Constants!$H66*'Activity data'!BA8*Constants!$H84*EF!$H209*MMVolatEF*NtoN2O*kgtoGg</f>
        <v>2.80759945644548E-3</v>
      </c>
      <c r="BB159" s="22">
        <f>Constants!$H66*'Activity data'!BB8*Constants!$H84*EF!$H209*MMVolatEF*NtoN2O*kgtoGg</f>
        <v>2.8174754321339053E-3</v>
      </c>
      <c r="BC159" s="22">
        <f>Constants!$H66*'Activity data'!BC8*Constants!$H84*EF!$H209*MMVolatEF*NtoN2O*kgtoGg</f>
        <v>2.8271765217608171E-3</v>
      </c>
      <c r="BD159" s="22">
        <f>Constants!$H66*'Activity data'!BD8*Constants!$H84*EF!$H209*MMVolatEF*NtoN2O*kgtoGg</f>
        <v>2.8328556151495025E-3</v>
      </c>
      <c r="BE159" s="22">
        <f>Constants!$H66*'Activity data'!BE8*Constants!$H84*EF!$H209*MMVolatEF*NtoN2O*kgtoGg</f>
        <v>2.8382658611000536E-3</v>
      </c>
      <c r="BF159" s="22">
        <f>Constants!$H66*'Activity data'!BF8*Constants!$H84*EF!$H209*MMVolatEF*NtoN2O*kgtoGg</f>
        <v>2.8453894501540259E-3</v>
      </c>
      <c r="BG159" s="22">
        <f>Constants!$H66*'Activity data'!BG8*Constants!$H84*EF!$H209*MMVolatEF*NtoN2O*kgtoGg</f>
        <v>2.8675048169706317E-3</v>
      </c>
      <c r="BH159" s="22">
        <f>Constants!$H66*'Activity data'!BH8*Constants!$H84*EF!$H209*MMVolatEF*NtoN2O*kgtoGg</f>
        <v>2.8902160172248935E-3</v>
      </c>
      <c r="BI159" s="22">
        <f>Constants!$H66*'Activity data'!BI8*Constants!$H84*EF!$H209*MMVolatEF*NtoN2O*kgtoGg</f>
        <v>2.91349943130806E-3</v>
      </c>
      <c r="BJ159" s="22">
        <f>Constants!$H66*'Activity data'!BJ8*Constants!$H84*EF!$H209*MMVolatEF*NtoN2O*kgtoGg</f>
        <v>2.9372143301445424E-3</v>
      </c>
      <c r="BK159" s="22">
        <f>Constants!$H66*'Activity data'!BK8*Constants!$H84*EF!$H209*MMVolatEF*NtoN2O*kgtoGg</f>
        <v>2.9619693973564013E-3</v>
      </c>
      <c r="BL159" s="22">
        <f>Constants!$H66*'Activity data'!BL8*Constants!$H84*EF!$H209*MMVolatEF*NtoN2O*kgtoGg</f>
        <v>2.9783294572983143E-3</v>
      </c>
      <c r="BM159" s="22">
        <f>Constants!$H66*'Activity data'!BM8*Constants!$H84*EF!$H209*MMVolatEF*NtoN2O*kgtoGg</f>
        <v>2.995351176666538E-3</v>
      </c>
      <c r="BN159" s="22">
        <f>Constants!$H66*'Activity data'!BN8*Constants!$H84*EF!$H209*MMVolatEF*NtoN2O*kgtoGg</f>
        <v>3.013524223579615E-3</v>
      </c>
      <c r="BO159" s="22">
        <f>Constants!$H66*'Activity data'!BO8*Constants!$H84*EF!$H209*MMVolatEF*NtoN2O*kgtoGg</f>
        <v>3.032972453257338E-3</v>
      </c>
      <c r="BP159" s="22">
        <f>Constants!$H66*'Activity data'!BP8*Constants!$H84*EF!$H209*MMVolatEF*NtoN2O*kgtoGg</f>
        <v>3.0554553870712083E-3</v>
      </c>
    </row>
    <row r="160" spans="1:68" x14ac:dyDescent="0.25">
      <c r="A160" t="str">
        <f t="shared" si="58"/>
        <v>3C Aggregated and non-CO2 emissions on land</v>
      </c>
      <c r="B160" t="str">
        <f t="shared" si="62"/>
        <v>3C6 Indirect N2O from manure management (N2O)</v>
      </c>
      <c r="C160" t="str">
        <f t="shared" si="63"/>
        <v>Volatilisation</v>
      </c>
      <c r="D160" t="str">
        <f>'Activity data'!D70</f>
        <v xml:space="preserve"> - Subsistence cattle</v>
      </c>
      <c r="E160" t="str">
        <f t="shared" si="61"/>
        <v>Volatilisation - Subsistence cattle</v>
      </c>
      <c r="F160" t="str">
        <f t="shared" si="47"/>
        <v>N2O</v>
      </c>
      <c r="G160" t="str">
        <f t="shared" si="48"/>
        <v>Gg N2O</v>
      </c>
      <c r="H160" s="22">
        <f>Constants!$H67*'Activity data'!H9*Constants!$H85*EF!$H210*MMVolatEF*NtoN2O*kgtoGg</f>
        <v>1.3985811709424438E-2</v>
      </c>
      <c r="I160" s="22">
        <f>Constants!$H67*'Activity data'!I9*Constants!$H85*EF!$H210*MMVolatEF*NtoN2O*kgtoGg</f>
        <v>1.4838976693877345E-2</v>
      </c>
      <c r="J160" s="22">
        <f>Constants!$H67*'Activity data'!J9*Constants!$H85*EF!$H210*MMVolatEF*NtoN2O*kgtoGg</f>
        <v>1.5539790788249377E-2</v>
      </c>
      <c r="K160" s="22">
        <f>Constants!$H67*'Activity data'!K9*Constants!$H85*EF!$H210*MMVolatEF*NtoN2O*kgtoGg</f>
        <v>1.5356969720152323E-2</v>
      </c>
      <c r="L160" s="22">
        <f>Constants!$H67*'Activity data'!L9*Constants!$H85*EF!$H210*MMVolatEF*NtoN2O*kgtoGg</f>
        <v>1.3376408149100934E-2</v>
      </c>
      <c r="M160" s="22">
        <f>Constants!$H67*'Activity data'!M9*Constants!$H85*EF!$H210*MMVolatEF*NtoN2O*kgtoGg</f>
        <v>1.2919355478858304E-2</v>
      </c>
      <c r="N160" s="22">
        <f>Constants!$H67*'Activity data'!N9*Constants!$H85*EF!$H210*MMVolatEF*NtoN2O*kgtoGg</f>
        <v>1.3284997615052406E-2</v>
      </c>
      <c r="O160" s="22">
        <f>Constants!$H67*'Activity data'!O9*Constants!$H85*EF!$H210*MMVolatEF*NtoN2O*kgtoGg</f>
        <v>1.3894401175375911E-2</v>
      </c>
      <c r="P160" s="22">
        <f>Constants!$H67*'Activity data'!P9*Constants!$H85*EF!$H210*MMVolatEF*NtoN2O*kgtoGg</f>
        <v>1.4747566159828822E-2</v>
      </c>
      <c r="Q160" s="22">
        <f>Constants!$H67*'Activity data'!Q9*Constants!$H85*EF!$H210*MMVolatEF*NtoN2O*kgtoGg</f>
        <v>1.5356969720152323E-2</v>
      </c>
      <c r="R160" s="22">
        <f>Constants!$H67*'Activity data'!R9*Constants!$H85*EF!$H210*MMVolatEF*NtoN2O*kgtoGg</f>
        <v>1.4991327583958221E-2</v>
      </c>
      <c r="S160" s="22">
        <f>Constants!$H67*'Activity data'!S9*Constants!$H85*EF!$H210*MMVolatEF*NtoN2O*kgtoGg</f>
        <v>1.4625685447764119E-2</v>
      </c>
      <c r="T160" s="22">
        <f>Constants!$H67*'Activity data'!T9*Constants!$H85*EF!$H210*MMVolatEF*NtoN2O*kgtoGg</f>
        <v>1.657577684079933E-2</v>
      </c>
      <c r="U160" s="22">
        <f>Constants!$H67*'Activity data'!U9*Constants!$H85*EF!$H210*MMVolatEF*NtoN2O*kgtoGg</f>
        <v>1.6971889155009613E-2</v>
      </c>
      <c r="V160" s="22">
        <f>Constants!$H67*'Activity data'!V9*Constants!$H85*EF!$H210*MMVolatEF*NtoN2O*kgtoGg</f>
        <v>1.6697657552864033E-2</v>
      </c>
      <c r="W160" s="22">
        <f>Constants!$H67*'Activity data'!W9*Constants!$H85*EF!$H210*MMVolatEF*NtoN2O*kgtoGg</f>
        <v>1.6210134704605229E-2</v>
      </c>
      <c r="X160" s="22">
        <f>Constants!$H67*'Activity data'!X9*Constants!$H85*EF!$H210*MMVolatEF*NtoN2O*kgtoGg</f>
        <v>1.6728127730880213E-2</v>
      </c>
      <c r="Y160" s="22">
        <f>Constants!$H67*'Activity data'!Y9*Constants!$H85*EF!$H210*MMVolatEF*NtoN2O*kgtoGg</f>
        <v>1.7398471647236066E-2</v>
      </c>
      <c r="Z160" s="22">
        <f>Constants!$H67*'Activity data'!Z9*Constants!$H85*EF!$H210*MMVolatEF*NtoN2O*kgtoGg</f>
        <v>1.7124240045090489E-2</v>
      </c>
      <c r="AA160" s="22">
        <f>Constants!$H67*'Activity data'!AA9*Constants!$H85*EF!$H210*MMVolatEF*NtoN2O*kgtoGg</f>
        <v>1.6941418976993437E-2</v>
      </c>
      <c r="AB160" s="22">
        <f>Constants!$H67*'Activity data'!AB9*Constants!$H85*EF!$H210*MMVolatEF*NtoN2O*kgtoGg</f>
        <v>1.6697657552864033E-2</v>
      </c>
      <c r="AC160" s="22">
        <f>Constants!$H67*'Activity data'!AC9*Constants!$H85*EF!$H210*MMVolatEF*NtoN2O*kgtoGg</f>
        <v>1.6819538264928734E-2</v>
      </c>
      <c r="AD160" s="22">
        <f>Constants!$H67*'Activity data'!AD9*Constants!$H85*EF!$H210*MMVolatEF*NtoN2O*kgtoGg</f>
        <v>1.617882303753013E-2</v>
      </c>
      <c r="AE160" s="22">
        <f>Constants!$H67*'Activity data'!AE9*Constants!$H85*EF!$H210*MMVolatEF*NtoN2O*kgtoGg</f>
        <v>1.6121514757429727E-2</v>
      </c>
      <c r="AF160" s="22">
        <f>Constants!$H67*'Activity data'!AF9*Constants!$H85*EF!$H210*MMVolatEF*NtoN2O*kgtoGg</f>
        <v>1.5910635914553359E-2</v>
      </c>
      <c r="AG160" s="22">
        <f>Constants!$H67*'Activity data'!AG9*Constants!$H85*EF!$H210*MMVolatEF*NtoN2O*kgtoGg</f>
        <v>1.5584461299456358E-2</v>
      </c>
      <c r="AH160" s="22">
        <f>Constants!$H67*'Activity data'!AH9*Constants!$H85*EF!$H210*MMVolatEF*NtoN2O*kgtoGg</f>
        <v>1.5192220862857216E-2</v>
      </c>
      <c r="AI160" s="22">
        <f>Constants!$H67*'Activity data'!AI9*Constants!$H85*EF!$H210*MMVolatEF*NtoN2O*kgtoGg</f>
        <v>1.4863357531641778E-2</v>
      </c>
      <c r="AJ160" s="22">
        <f>Constants!$H67*'Activity data'!AJ9*Constants!$H85*EF!$H210*MMVolatEF*NtoN2O*kgtoGg</f>
        <v>1.4572654624757271E-2</v>
      </c>
      <c r="AK160" s="22">
        <f>Constants!$H67*'Activity data'!AK9*Constants!$H85*EF!$H210*MMVolatEF*NtoN2O*kgtoGg</f>
        <v>1.4279840930696763E-2</v>
      </c>
      <c r="AL160" s="22">
        <f>Constants!$H67*'Activity data'!AL9*Constants!$H85*EF!$H210*MMVolatEF*NtoN2O*kgtoGg</f>
        <v>1.2448243509798819E-2</v>
      </c>
      <c r="AM160" s="22">
        <f>Constants!$H67*'Activity data'!AM9*Constants!$H85*EF!$H210*MMVolatEF*NtoN2O*kgtoGg</f>
        <v>1.2519401332717879E-2</v>
      </c>
      <c r="AN160" s="22">
        <f>Constants!$H67*'Activity data'!AN9*Constants!$H85*EF!$H210*MMVolatEF*NtoN2O*kgtoGg</f>
        <v>1.2590528843868997E-2</v>
      </c>
      <c r="AO160" s="22">
        <f>Constants!$H67*'Activity data'!AO9*Constants!$H85*EF!$H210*MMVolatEF*NtoN2O*kgtoGg</f>
        <v>1.2691863835267755E-2</v>
      </c>
      <c r="AP160" s="22">
        <f>Constants!$H67*'Activity data'!AP9*Constants!$H85*EF!$H210*MMVolatEF*NtoN2O*kgtoGg</f>
        <v>1.2810522018544183E-2</v>
      </c>
      <c r="AQ160" s="22">
        <f>Constants!$H67*'Activity data'!AQ9*Constants!$H85*EF!$H210*MMVolatEF*NtoN2O*kgtoGg</f>
        <v>1.2919065429015124E-2</v>
      </c>
      <c r="AR160" s="22">
        <f>Constants!$H67*'Activity data'!AR9*Constants!$H85*EF!$H210*MMVolatEF*NtoN2O*kgtoGg</f>
        <v>1.3073235087834782E-2</v>
      </c>
      <c r="AS160" s="22">
        <f>Constants!$H67*'Activity data'!AS9*Constants!$H85*EF!$H210*MMVolatEF*NtoN2O*kgtoGg</f>
        <v>1.3234196430819904E-2</v>
      </c>
      <c r="AT160" s="22">
        <f>Constants!$H67*'Activity data'!AT9*Constants!$H85*EF!$H210*MMVolatEF*NtoN2O*kgtoGg</f>
        <v>1.340872984729739E-2</v>
      </c>
      <c r="AU160" s="22">
        <f>Constants!$H67*'Activity data'!AU9*Constants!$H85*EF!$H210*MMVolatEF*NtoN2O*kgtoGg</f>
        <v>1.3588122778705802E-2</v>
      </c>
      <c r="AV160" s="22">
        <f>Constants!$H67*'Activity data'!AV9*Constants!$H85*EF!$H210*MMVolatEF*NtoN2O*kgtoGg</f>
        <v>1.3695578912887817E-2</v>
      </c>
      <c r="AW160" s="22">
        <f>Constants!$H67*'Activity data'!AW9*Constants!$H85*EF!$H210*MMVolatEF*NtoN2O*kgtoGg</f>
        <v>1.3768650240382979E-2</v>
      </c>
      <c r="AX160" s="22">
        <f>Constants!$H67*'Activity data'!AX9*Constants!$H85*EF!$H210*MMVolatEF*NtoN2O*kgtoGg</f>
        <v>1.383644111712855E-2</v>
      </c>
      <c r="AY160" s="22">
        <f>Constants!$H67*'Activity data'!AY9*Constants!$H85*EF!$H210*MMVolatEF*NtoN2O*kgtoGg</f>
        <v>1.3901241900822111E-2</v>
      </c>
      <c r="AZ160" s="22">
        <f>Constants!$H67*'Activity data'!AZ9*Constants!$H85*EF!$H210*MMVolatEF*NtoN2O*kgtoGg</f>
        <v>1.3934578802766566E-2</v>
      </c>
      <c r="BA160" s="22">
        <f>Constants!$H67*'Activity data'!BA9*Constants!$H85*EF!$H210*MMVolatEF*NtoN2O*kgtoGg</f>
        <v>1.3976248049722443E-2</v>
      </c>
      <c r="BB160" s="22">
        <f>Constants!$H67*'Activity data'!BB9*Constants!$H85*EF!$H210*MMVolatEF*NtoN2O*kgtoGg</f>
        <v>1.4025410719859587E-2</v>
      </c>
      <c r="BC160" s="22">
        <f>Constants!$H67*'Activity data'!BC9*Constants!$H85*EF!$H210*MMVolatEF*NtoN2O*kgtoGg</f>
        <v>1.4073702806064067E-2</v>
      </c>
      <c r="BD160" s="22">
        <f>Constants!$H67*'Activity data'!BD9*Constants!$H85*EF!$H210*MMVolatEF*NtoN2O*kgtoGg</f>
        <v>1.4101973369272646E-2</v>
      </c>
      <c r="BE160" s="22">
        <f>Constants!$H67*'Activity data'!BE9*Constants!$H85*EF!$H210*MMVolatEF*NtoN2O*kgtoGg</f>
        <v>1.4128905608214821E-2</v>
      </c>
      <c r="BF160" s="22">
        <f>Constants!$H67*'Activity data'!BF9*Constants!$H85*EF!$H210*MMVolatEF*NtoN2O*kgtoGg</f>
        <v>1.4164366880083221E-2</v>
      </c>
      <c r="BG160" s="22">
        <f>Constants!$H67*'Activity data'!BG9*Constants!$H85*EF!$H210*MMVolatEF*NtoN2O*kgtoGg</f>
        <v>1.427445731753145E-2</v>
      </c>
      <c r="BH160" s="22">
        <f>Constants!$H67*'Activity data'!BH9*Constants!$H85*EF!$H210*MMVolatEF*NtoN2O*kgtoGg</f>
        <v>1.4387513817642883E-2</v>
      </c>
      <c r="BI160" s="22">
        <f>Constants!$H67*'Activity data'!BI9*Constants!$H85*EF!$H210*MMVolatEF*NtoN2O*kgtoGg</f>
        <v>1.4503418801854094E-2</v>
      </c>
      <c r="BJ160" s="22">
        <f>Constants!$H67*'Activity data'!BJ9*Constants!$H85*EF!$H210*MMVolatEF*NtoN2O*kgtoGg</f>
        <v>1.462147171992681E-2</v>
      </c>
      <c r="BK160" s="22">
        <f>Constants!$H67*'Activity data'!BK9*Constants!$H85*EF!$H210*MMVolatEF*NtoN2O*kgtoGg</f>
        <v>1.474470260282437E-2</v>
      </c>
      <c r="BL160" s="22">
        <f>Constants!$H67*'Activity data'!BL9*Constants!$H85*EF!$H210*MMVolatEF*NtoN2O*kgtoGg</f>
        <v>1.4826143085843272E-2</v>
      </c>
      <c r="BM160" s="22">
        <f>Constants!$H67*'Activity data'!BM9*Constants!$H85*EF!$H210*MMVolatEF*NtoN2O*kgtoGg</f>
        <v>1.4910877313717869E-2</v>
      </c>
      <c r="BN160" s="22">
        <f>Constants!$H67*'Activity data'!BN9*Constants!$H85*EF!$H210*MMVolatEF*NtoN2O*kgtoGg</f>
        <v>1.5001342857473872E-2</v>
      </c>
      <c r="BO160" s="22">
        <f>Constants!$H67*'Activity data'!BO9*Constants!$H85*EF!$H210*MMVolatEF*NtoN2O*kgtoGg</f>
        <v>1.5098156269187504E-2</v>
      </c>
      <c r="BP160" s="22">
        <f>Constants!$H67*'Activity data'!BP9*Constants!$H85*EF!$H210*MMVolatEF*NtoN2O*kgtoGg</f>
        <v>1.5210076457498825E-2</v>
      </c>
    </row>
    <row r="161" spans="1:68" x14ac:dyDescent="0.25">
      <c r="A161" t="str">
        <f t="shared" si="58"/>
        <v>3C Aggregated and non-CO2 emissions on land</v>
      </c>
      <c r="B161" t="str">
        <f t="shared" si="62"/>
        <v>3C6 Indirect N2O from manure management (N2O)</v>
      </c>
      <c r="C161" t="str">
        <f t="shared" si="63"/>
        <v>Volatilisation</v>
      </c>
      <c r="D161" t="str">
        <f>'Activity data'!D71</f>
        <v xml:space="preserve"> - Feedlot</v>
      </c>
      <c r="E161" t="str">
        <f t="shared" si="61"/>
        <v>Volatilisation - Feedlot</v>
      </c>
      <c r="F161" t="str">
        <f t="shared" si="47"/>
        <v>N2O</v>
      </c>
      <c r="G161" t="str">
        <f t="shared" si="48"/>
        <v>Gg N2O</v>
      </c>
      <c r="H161" s="22">
        <f>Constants!$H68*'Activity data'!H10*Constants!$H86*EF!$H211*MMVolatEF*NtoN2O*kgtoGg</f>
        <v>0.12283717445999996</v>
      </c>
      <c r="I161" s="22">
        <f>Constants!$H68*'Activity data'!I10*Constants!$H86*EF!$H211*MMVolatEF*NtoN2O*kgtoGg</f>
        <v>0.12283717445999996</v>
      </c>
      <c r="J161" s="22">
        <f>Constants!$H68*'Activity data'!J10*Constants!$H86*EF!$H211*MMVolatEF*NtoN2O*kgtoGg</f>
        <v>0.12283717445999996</v>
      </c>
      <c r="K161" s="22">
        <f>Constants!$H68*'Activity data'!K10*Constants!$H86*EF!$H211*MMVolatEF*NtoN2O*kgtoGg</f>
        <v>0.12283717445999996</v>
      </c>
      <c r="L161" s="22">
        <f>Constants!$H68*'Activity data'!L10*Constants!$H86*EF!$H211*MMVolatEF*NtoN2O*kgtoGg</f>
        <v>0.12283717445999996</v>
      </c>
      <c r="M161" s="22">
        <f>Constants!$H68*'Activity data'!M10*Constants!$H86*EF!$H211*MMVolatEF*NtoN2O*kgtoGg</f>
        <v>0.12283717445999996</v>
      </c>
      <c r="N161" s="22">
        <f>Constants!$H68*'Activity data'!N10*Constants!$H86*EF!$H211*MMVolatEF*NtoN2O*kgtoGg</f>
        <v>0.12283717445999996</v>
      </c>
      <c r="O161" s="22">
        <f>Constants!$H68*'Activity data'!O10*Constants!$H86*EF!$H211*MMVolatEF*NtoN2O*kgtoGg</f>
        <v>0.12283717445999996</v>
      </c>
      <c r="P161" s="22">
        <f>Constants!$H68*'Activity data'!P10*Constants!$H86*EF!$H211*MMVolatEF*NtoN2O*kgtoGg</f>
        <v>0.12283717445999996</v>
      </c>
      <c r="Q161" s="22">
        <f>Constants!$H68*'Activity data'!Q10*Constants!$H86*EF!$H211*MMVolatEF*NtoN2O*kgtoGg</f>
        <v>0.12283717445999996</v>
      </c>
      <c r="R161" s="22">
        <f>Constants!$H68*'Activity data'!R10*Constants!$H86*EF!$H211*MMVolatEF*NtoN2O*kgtoGg</f>
        <v>0.12283717445999996</v>
      </c>
      <c r="S161" s="22">
        <f>Constants!$H68*'Activity data'!S10*Constants!$H86*EF!$H211*MMVolatEF*NtoN2O*kgtoGg</f>
        <v>0.12283717445999996</v>
      </c>
      <c r="T161" s="22">
        <f>Constants!$H68*'Activity data'!T10*Constants!$H86*EF!$H211*MMVolatEF*NtoN2O*kgtoGg</f>
        <v>0.12283717445999996</v>
      </c>
      <c r="U161" s="22">
        <f>Constants!$H68*'Activity data'!U10*Constants!$H86*EF!$H211*MMVolatEF*NtoN2O*kgtoGg</f>
        <v>0.12283717445999996</v>
      </c>
      <c r="V161" s="22">
        <f>Constants!$H68*'Activity data'!V10*Constants!$H86*EF!$H211*MMVolatEF*NtoN2O*kgtoGg</f>
        <v>0.12283717445999996</v>
      </c>
      <c r="W161" s="22">
        <f>Constants!$H68*'Activity data'!W10*Constants!$H86*EF!$H211*MMVolatEF*NtoN2O*kgtoGg</f>
        <v>0.12283717445999996</v>
      </c>
      <c r="X161" s="22">
        <f>Constants!$H68*'Activity data'!X10*Constants!$H86*EF!$H211*MMVolatEF*NtoN2O*kgtoGg</f>
        <v>0.12283717445999996</v>
      </c>
      <c r="Y161" s="22">
        <f>Constants!$H68*'Activity data'!Y10*Constants!$H86*EF!$H211*MMVolatEF*NtoN2O*kgtoGg</f>
        <v>0.12283717445999996</v>
      </c>
      <c r="Z161" s="22">
        <f>Constants!$H68*'Activity data'!Z10*Constants!$H86*EF!$H211*MMVolatEF*NtoN2O*kgtoGg</f>
        <v>0.11439877239615821</v>
      </c>
      <c r="AA161" s="22">
        <f>Constants!$H68*'Activity data'!AA10*Constants!$H86*EF!$H211*MMVolatEF*NtoN2O*kgtoGg</f>
        <v>0.11722743955247324</v>
      </c>
      <c r="AB161" s="22">
        <f>Constants!$H68*'Activity data'!AB10*Constants!$H86*EF!$H211*MMVolatEF*NtoN2O*kgtoGg</f>
        <v>0.116935823125407</v>
      </c>
      <c r="AC161" s="22">
        <f>Constants!$H68*'Activity data'!AC10*Constants!$H86*EF!$H211*MMVolatEF*NtoN2O*kgtoGg</f>
        <v>0.13506244675831047</v>
      </c>
      <c r="AD161" s="22">
        <f>Constants!$H68*'Activity data'!AD10*Constants!$H86*EF!$H211*MMVolatEF*NtoN2O*kgtoGg</f>
        <v>0.15888522055603649</v>
      </c>
      <c r="AE161" s="22">
        <f>Constants!$H68*'Activity data'!AE10*Constants!$H86*EF!$H211*MMVolatEF*NtoN2O*kgtoGg</f>
        <v>0.16506769704404931</v>
      </c>
      <c r="AF161" s="22">
        <f>Constants!$H68*'Activity data'!AF10*Constants!$H86*EF!$H211*MMVolatEF*NtoN2O*kgtoGg</f>
        <v>0.16975599881973211</v>
      </c>
      <c r="AG161" s="22">
        <f>Constants!$H68*'Activity data'!AG10*Constants!$H86*EF!$H211*MMVolatEF*NtoN2O*kgtoGg</f>
        <v>0.17318605844892471</v>
      </c>
      <c r="AH161" s="22">
        <f>Constants!$H68*'Activity data'!AH10*Constants!$H86*EF!$H211*MMVolatEF*NtoN2O*kgtoGg</f>
        <v>0.17577753038546004</v>
      </c>
      <c r="AI161" s="22">
        <f>Constants!$H68*'Activity data'!AI10*Constants!$H86*EF!$H211*MMVolatEF*NtoN2O*kgtoGg</f>
        <v>0.17899810413316908</v>
      </c>
      <c r="AJ161" s="22">
        <f>Constants!$H68*'Activity data'!AJ10*Constants!$H86*EF!$H211*MMVolatEF*NtoN2O*kgtoGg</f>
        <v>0.18262311440380555</v>
      </c>
      <c r="AK161" s="22">
        <f>Constants!$H68*'Activity data'!AK10*Constants!$H86*EF!$H211*MMVolatEF*NtoN2O*kgtoGg</f>
        <v>0.18618607157651293</v>
      </c>
      <c r="AL161" s="22">
        <f>Constants!$H68*'Activity data'!AL10*Constants!$H86*EF!$H211*MMVolatEF*NtoN2O*kgtoGg</f>
        <v>0.16884286138892682</v>
      </c>
      <c r="AM161" s="22">
        <f>Constants!$H68*'Activity data'!AM10*Constants!$H86*EF!$H211*MMVolatEF*NtoN2O*kgtoGg</f>
        <v>0.17387707774401301</v>
      </c>
      <c r="AN161" s="22">
        <f>Constants!$H68*'Activity data'!AN10*Constants!$H86*EF!$H211*MMVolatEF*NtoN2O*kgtoGg</f>
        <v>0.17899768117970755</v>
      </c>
      <c r="AO161" s="22">
        <f>Constants!$H68*'Activity data'!AO10*Constants!$H86*EF!$H211*MMVolatEF*NtoN2O*kgtoGg</f>
        <v>0.18464865317578377</v>
      </c>
      <c r="AP161" s="22">
        <f>Constants!$H68*'Activity data'!AP10*Constants!$H86*EF!$H211*MMVolatEF*NtoN2O*kgtoGg</f>
        <v>0.19067265138998374</v>
      </c>
      <c r="AQ161" s="22">
        <f>Constants!$H68*'Activity data'!AQ10*Constants!$H86*EF!$H211*MMVolatEF*NtoN2O*kgtoGg</f>
        <v>0.19667396086394645</v>
      </c>
      <c r="AR161" s="22">
        <f>Constants!$H68*'Activity data'!AR10*Constants!$H86*EF!$H211*MMVolatEF*NtoN2O*kgtoGg</f>
        <v>0.20351446079030541</v>
      </c>
      <c r="AS161" s="22">
        <f>Constants!$H68*'Activity data'!AS10*Constants!$H86*EF!$H211*MMVolatEF*NtoN2O*kgtoGg</f>
        <v>0.21062822249051566</v>
      </c>
      <c r="AT161" s="22">
        <f>Constants!$H68*'Activity data'!AT10*Constants!$H86*EF!$H211*MMVolatEF*NtoN2O*kgtoGg</f>
        <v>0.21813791641098426</v>
      </c>
      <c r="AU161" s="22">
        <f>Constants!$H68*'Activity data'!AU10*Constants!$H86*EF!$H211*MMVolatEF*NtoN2O*kgtoGg</f>
        <v>0.22591863613468724</v>
      </c>
      <c r="AV161" s="22">
        <f>Constants!$H68*'Activity data'!AV10*Constants!$H86*EF!$H211*MMVolatEF*NtoN2O*kgtoGg</f>
        <v>0.23267668269942399</v>
      </c>
      <c r="AW161" s="22">
        <f>Constants!$H68*'Activity data'!AW10*Constants!$H86*EF!$H211*MMVolatEF*NtoN2O*kgtoGg</f>
        <v>0.24164823775912753</v>
      </c>
      <c r="AX161" s="22">
        <f>Constants!$H68*'Activity data'!AX10*Constants!$H86*EF!$H211*MMVolatEF*NtoN2O*kgtoGg</f>
        <v>0.25087859057128725</v>
      </c>
      <c r="AY161" s="22">
        <f>Constants!$H68*'Activity data'!AY10*Constants!$H86*EF!$H211*MMVolatEF*NtoN2O*kgtoGg</f>
        <v>0.26042087899375249</v>
      </c>
      <c r="AZ161" s="22">
        <f>Constants!$H68*'Activity data'!AZ10*Constants!$H86*EF!$H211*MMVolatEF*NtoN2O*kgtoGg</f>
        <v>0.2697391016334526</v>
      </c>
      <c r="BA161" s="22">
        <f>Constants!$H68*'Activity data'!BA10*Constants!$H86*EF!$H211*MMVolatEF*NtoN2O*kgtoGg</f>
        <v>0.27959031560741154</v>
      </c>
      <c r="BB161" s="22">
        <f>Constants!$H68*'Activity data'!BB10*Constants!$H86*EF!$H211*MMVolatEF*NtoN2O*kgtoGg</f>
        <v>0.28999526235210821</v>
      </c>
      <c r="BC161" s="22">
        <f>Constants!$H68*'Activity data'!BC10*Constants!$H86*EF!$H211*MMVolatEF*NtoN2O*kgtoGg</f>
        <v>0.30081435996990424</v>
      </c>
      <c r="BD161" s="22">
        <f>Constants!$H68*'Activity data'!BD10*Constants!$H86*EF!$H211*MMVolatEF*NtoN2O*kgtoGg</f>
        <v>0.31164837687052938</v>
      </c>
      <c r="BE161" s="22">
        <f>Constants!$H68*'Activity data'!BE10*Constants!$H86*EF!$H211*MMVolatEF*NtoN2O*kgtoGg</f>
        <v>0.32290678212710594</v>
      </c>
      <c r="BF161" s="22">
        <f>Constants!$H68*'Activity data'!BF10*Constants!$H86*EF!$H211*MMVolatEF*NtoN2O*kgtoGg</f>
        <v>0.3348478161845726</v>
      </c>
      <c r="BG161" s="22">
        <f>Constants!$H68*'Activity data'!BG10*Constants!$H86*EF!$H211*MMVolatEF*NtoN2O*kgtoGg</f>
        <v>0.34693510408450334</v>
      </c>
      <c r="BH161" s="22">
        <f>Constants!$H68*'Activity data'!BH10*Constants!$H86*EF!$H211*MMVolatEF*NtoN2O*kgtoGg</f>
        <v>0.35954574459549199</v>
      </c>
      <c r="BI161" s="22">
        <f>Constants!$H68*'Activity data'!BI10*Constants!$H86*EF!$H211*MMVolatEF*NtoN2O*kgtoGg</f>
        <v>0.37270509977585065</v>
      </c>
      <c r="BJ161" s="22">
        <f>Constants!$H68*'Activity data'!BJ10*Constants!$H86*EF!$H211*MMVolatEF*NtoN2O*kgtoGg</f>
        <v>0.38642458782566019</v>
      </c>
      <c r="BK161" s="22">
        <f>Constants!$H68*'Activity data'!BK10*Constants!$H86*EF!$H211*MMVolatEF*NtoN2O*kgtoGg</f>
        <v>0.40081686149900803</v>
      </c>
      <c r="BL161" s="22">
        <f>Constants!$H68*'Activity data'!BL10*Constants!$H86*EF!$H211*MMVolatEF*NtoN2O*kgtoGg</f>
        <v>0.41460784472006396</v>
      </c>
      <c r="BM161" s="22">
        <f>Constants!$H68*'Activity data'!BM10*Constants!$H86*EF!$H211*MMVolatEF*NtoN2O*kgtoGg</f>
        <v>0.42902292430573186</v>
      </c>
      <c r="BN161" s="22">
        <f>Constants!$H68*'Activity data'!BN10*Constants!$H86*EF!$H211*MMVolatEF*NtoN2O*kgtoGg</f>
        <v>0.44417046151852435</v>
      </c>
      <c r="BO161" s="22">
        <f>Constants!$H68*'Activity data'!BO10*Constants!$H86*EF!$H211*MMVolatEF*NtoN2O*kgtoGg</f>
        <v>0.46011428146323202</v>
      </c>
      <c r="BP161" s="22">
        <f>Constants!$H68*'Activity data'!BP10*Constants!$H86*EF!$H211*MMVolatEF*NtoN2O*kgtoGg</f>
        <v>0.47717906965336637</v>
      </c>
    </row>
    <row r="162" spans="1:68" x14ac:dyDescent="0.25">
      <c r="A162" t="str">
        <f t="shared" si="58"/>
        <v>3C Aggregated and non-CO2 emissions on land</v>
      </c>
      <c r="B162" t="str">
        <f t="shared" si="62"/>
        <v>3C6 Indirect N2O from manure management (N2O)</v>
      </c>
      <c r="C162" t="str">
        <f t="shared" si="63"/>
        <v>Volatilisation</v>
      </c>
      <c r="D162" t="str">
        <f>'Activity data'!D72</f>
        <v xml:space="preserve"> - Commercial sheep</v>
      </c>
      <c r="E162" t="str">
        <f t="shared" si="61"/>
        <v>Volatilisation - Commercial sheep</v>
      </c>
      <c r="F162" t="str">
        <f t="shared" si="47"/>
        <v>N2O</v>
      </c>
      <c r="G162" t="str">
        <f t="shared" si="48"/>
        <v>Gg N2O</v>
      </c>
      <c r="H162" s="22">
        <f>Constants!$H69*'Activity data'!H11*Constants!$H87*EF!$H212*MMVolatEF*NtoN2O*kgtoGg</f>
        <v>1.8472261121735457E-4</v>
      </c>
      <c r="I162" s="22">
        <f>Constants!$H69*'Activity data'!I11*Constants!$H87*EF!$H212*MMVolatEF*NtoN2O*kgtoGg</f>
        <v>1.7641659434150834E-4</v>
      </c>
      <c r="J162" s="22">
        <f>Constants!$H69*'Activity data'!J11*Constants!$H87*EF!$H212*MMVolatEF*NtoN2O*kgtoGg</f>
        <v>1.6912726350758691E-4</v>
      </c>
      <c r="K162" s="22">
        <f>Constants!$H69*'Activity data'!K11*Constants!$H87*EF!$H212*MMVolatEF*NtoN2O*kgtoGg</f>
        <v>1.5817170118914879E-4</v>
      </c>
      <c r="L162" s="22">
        <f>Constants!$H69*'Activity data'!L11*Constants!$H87*EF!$H212*MMVolatEF*NtoN2O*kgtoGg</f>
        <v>1.5928697496847238E-4</v>
      </c>
      <c r="M162" s="22">
        <f>Constants!$H69*'Activity data'!M11*Constants!$H87*EF!$H212*MMVolatEF*NtoN2O*kgtoGg</f>
        <v>1.5700713354112583E-4</v>
      </c>
      <c r="N162" s="22">
        <f>Constants!$H69*'Activity data'!N11*Constants!$H87*EF!$H212*MMVolatEF*NtoN2O*kgtoGg</f>
        <v>1.575308808960568E-4</v>
      </c>
      <c r="O162" s="22">
        <f>Constants!$H69*'Activity data'!O11*Constants!$H87*EF!$H212*MMVolatEF*NtoN2O*kgtoGg</f>
        <v>1.541049570214496E-4</v>
      </c>
      <c r="P162" s="22">
        <f>Constants!$H69*'Activity data'!P11*Constants!$H87*EF!$H212*MMVolatEF*NtoN2O*kgtoGg</f>
        <v>1.5453011663898181E-4</v>
      </c>
      <c r="Q162" s="22">
        <f>Constants!$H69*'Activity data'!Q11*Constants!$H87*EF!$H212*MMVolatEF*NtoN2O*kgtoGg</f>
        <v>1.5073448874912916E-4</v>
      </c>
      <c r="R162" s="22">
        <f>Constants!$H69*'Activity data'!R11*Constants!$H87*EF!$H212*MMVolatEF*NtoN2O*kgtoGg</f>
        <v>1.4533064839295922E-4</v>
      </c>
      <c r="S162" s="22">
        <f>Constants!$H69*'Activity data'!S11*Constants!$H87*EF!$H212*MMVolatEF*NtoN2O*kgtoGg</f>
        <v>1.4170754904355447E-4</v>
      </c>
      <c r="T162" s="22">
        <f>Constants!$H69*'Activity data'!T11*Constants!$H87*EF!$H212*MMVolatEF*NtoN2O*kgtoGg</f>
        <v>1.3934144334598408E-4</v>
      </c>
      <c r="U162" s="22">
        <f>Constants!$H69*'Activity data'!U11*Constants!$H87*EF!$H212*MMVolatEF*NtoN2O*kgtoGg</f>
        <v>1.3982822029939045E-4</v>
      </c>
      <c r="V162" s="22">
        <f>Constants!$H69*'Activity data'!V11*Constants!$H87*EF!$H212*MMVolatEF*NtoN2O*kgtoGg</f>
        <v>1.3733887993007157E-4</v>
      </c>
      <c r="W162" s="22">
        <f>Constants!$H69*'Activity data'!W11*Constants!$H87*EF!$H212*MMVolatEF*NtoN2O*kgtoGg</f>
        <v>1.3701230804993817E-4</v>
      </c>
      <c r="X162" s="22">
        <f>Constants!$H69*'Activity data'!X11*Constants!$H87*EF!$H212*MMVolatEF*NtoN2O*kgtoGg</f>
        <v>1.3521924357599806E-4</v>
      </c>
      <c r="Y162" s="22">
        <f>Constants!$H69*'Activity data'!Y11*Constants!$H87*EF!$H212*MMVolatEF*NtoN2O*kgtoGg</f>
        <v>1.3508984717066217E-4</v>
      </c>
      <c r="Z162" s="22">
        <f>Constants!$H69*'Activity data'!Z11*Constants!$H87*EF!$H212*MMVolatEF*NtoN2O*kgtoGg</f>
        <v>1.3552733025536923E-4</v>
      </c>
      <c r="AA162" s="22">
        <f>Constants!$H69*'Activity data'!AA11*Constants!$H87*EF!$H212*MMVolatEF*NtoN2O*kgtoGg</f>
        <v>1.3504671503555021E-4</v>
      </c>
      <c r="AB162" s="22">
        <f>Constants!$H69*'Activity data'!AB11*Constants!$H87*EF!$H212*MMVolatEF*NtoN2O*kgtoGg</f>
        <v>1.3243413999448287E-4</v>
      </c>
      <c r="AC162" s="22">
        <f>Constants!$H69*'Activity data'!AC11*Constants!$H87*EF!$H212*MMVolatEF*NtoN2O*kgtoGg</f>
        <v>1.3139896875179576E-4</v>
      </c>
      <c r="AD162" s="22">
        <f>Constants!$H69*'Activity data'!AD11*Constants!$H87*EF!$H212*MMVolatEF*NtoN2O*kgtoGg</f>
        <v>1.171834654004459E-4</v>
      </c>
      <c r="AE162" s="22">
        <f>Constants!$H69*'Activity data'!AE11*Constants!$H87*EF!$H212*MMVolatEF*NtoN2O*kgtoGg</f>
        <v>1.1724935341088503E-4</v>
      </c>
      <c r="AF162" s="22">
        <f>Constants!$H69*'Activity data'!AF11*Constants!$H87*EF!$H212*MMVolatEF*NtoN2O*kgtoGg</f>
        <v>1.1739332070459192E-4</v>
      </c>
      <c r="AG162" s="22">
        <f>Constants!$H69*'Activity data'!AG11*Constants!$H87*EF!$H212*MMVolatEF*NtoN2O*kgtoGg</f>
        <v>1.1761152026943933E-4</v>
      </c>
      <c r="AH162" s="22">
        <f>Constants!$H69*'Activity data'!AH11*Constants!$H87*EF!$H212*MMVolatEF*NtoN2O*kgtoGg</f>
        <v>1.1790178372045702E-4</v>
      </c>
      <c r="AI162" s="22">
        <f>Constants!$H69*'Activity data'!AI11*Constants!$H87*EF!$H212*MMVolatEF*NtoN2O*kgtoGg</f>
        <v>1.1826655684729252E-4</v>
      </c>
      <c r="AJ162" s="22">
        <f>Constants!$H69*'Activity data'!AJ11*Constants!$H87*EF!$H212*MMVolatEF*NtoN2O*kgtoGg</f>
        <v>1.1867348553546305E-4</v>
      </c>
      <c r="AK162" s="22">
        <f>Constants!$H69*'Activity data'!AK11*Constants!$H87*EF!$H212*MMVolatEF*NtoN2O*kgtoGg</f>
        <v>1.1912145027806178E-4</v>
      </c>
      <c r="AL162" s="22">
        <f>Constants!$H69*'Activity data'!AL11*Constants!$H87*EF!$H212*MMVolatEF*NtoN2O*kgtoGg</f>
        <v>1.1953443470206677E-4</v>
      </c>
      <c r="AM162" s="22">
        <f>Constants!$H69*'Activity data'!AM11*Constants!$H87*EF!$H212*MMVolatEF*NtoN2O*kgtoGg</f>
        <v>1.1984463634001582E-4</v>
      </c>
      <c r="AN162" s="22">
        <f>Constants!$H69*'Activity data'!AN11*Constants!$H87*EF!$H212*MMVolatEF*NtoN2O*kgtoGg</f>
        <v>1.2011360441441001E-4</v>
      </c>
      <c r="AO162" s="22">
        <f>Constants!$H69*'Activity data'!AO11*Constants!$H87*EF!$H212*MMVolatEF*NtoN2O*kgtoGg</f>
        <v>1.2033968293331431E-4</v>
      </c>
      <c r="AP162" s="22">
        <f>Constants!$H69*'Activity data'!AP11*Constants!$H87*EF!$H212*MMVolatEF*NtoN2O*kgtoGg</f>
        <v>1.2056668209576496E-4</v>
      </c>
      <c r="AQ162" s="22">
        <f>Constants!$H69*'Activity data'!AQ11*Constants!$H87*EF!$H212*MMVolatEF*NtoN2O*kgtoGg</f>
        <v>1.2079138742247059E-4</v>
      </c>
      <c r="AR162" s="22">
        <f>Constants!$H69*'Activity data'!AR11*Constants!$H87*EF!$H212*MMVolatEF*NtoN2O*kgtoGg</f>
        <v>1.2101500837546533E-4</v>
      </c>
      <c r="AS162" s="22">
        <f>Constants!$H69*'Activity data'!AS11*Constants!$H87*EF!$H212*MMVolatEF*NtoN2O*kgtoGg</f>
        <v>1.2123403750840747E-4</v>
      </c>
      <c r="AT162" s="22">
        <f>Constants!$H69*'Activity data'!AT11*Constants!$H87*EF!$H212*MMVolatEF*NtoN2O*kgtoGg</f>
        <v>1.2144742584278887E-4</v>
      </c>
      <c r="AU162" s="22">
        <f>Constants!$H69*'Activity data'!AU11*Constants!$H87*EF!$H212*MMVolatEF*NtoN2O*kgtoGg</f>
        <v>1.216591763669525E-4</v>
      </c>
      <c r="AV162" s="22">
        <f>Constants!$H69*'Activity data'!AV11*Constants!$H87*EF!$H212*MMVolatEF*NtoN2O*kgtoGg</f>
        <v>1.2186389863299046E-4</v>
      </c>
      <c r="AW162" s="22">
        <f>Constants!$H69*'Activity data'!AW11*Constants!$H87*EF!$H212*MMVolatEF*NtoN2O*kgtoGg</f>
        <v>1.2206902270524183E-4</v>
      </c>
      <c r="AX162" s="22">
        <f>Constants!$H69*'Activity data'!AX11*Constants!$H87*EF!$H212*MMVolatEF*NtoN2O*kgtoGg</f>
        <v>1.2226905539389416E-4</v>
      </c>
      <c r="AY162" s="22">
        <f>Constants!$H69*'Activity data'!AY11*Constants!$H87*EF!$H212*MMVolatEF*NtoN2O*kgtoGg</f>
        <v>1.2246321278248644E-4</v>
      </c>
      <c r="AZ162" s="22">
        <f>Constants!$H69*'Activity data'!AZ11*Constants!$H87*EF!$H212*MMVolatEF*NtoN2O*kgtoGg</f>
        <v>1.2265056013066581E-4</v>
      </c>
      <c r="BA162" s="22">
        <f>Constants!$H69*'Activity data'!BA11*Constants!$H87*EF!$H212*MMVolatEF*NtoN2O*kgtoGg</f>
        <v>1.2283267532206264E-4</v>
      </c>
      <c r="BB162" s="22">
        <f>Constants!$H69*'Activity data'!BB11*Constants!$H87*EF!$H212*MMVolatEF*NtoN2O*kgtoGg</f>
        <v>1.2300882915585094E-4</v>
      </c>
      <c r="BC162" s="22">
        <f>Constants!$H69*'Activity data'!BC11*Constants!$H87*EF!$H212*MMVolatEF*NtoN2O*kgtoGg</f>
        <v>1.2317784688713532E-4</v>
      </c>
      <c r="BD162" s="22">
        <f>Constants!$H69*'Activity data'!BD11*Constants!$H87*EF!$H212*MMVolatEF*NtoN2O*kgtoGg</f>
        <v>1.2333782622692732E-4</v>
      </c>
      <c r="BE162" s="22">
        <f>Constants!$H69*'Activity data'!BE11*Constants!$H87*EF!$H212*MMVolatEF*NtoN2O*kgtoGg</f>
        <v>1.2349111176674594E-4</v>
      </c>
      <c r="BF162" s="22">
        <f>Constants!$H69*'Activity data'!BF11*Constants!$H87*EF!$H212*MMVolatEF*NtoN2O*kgtoGg</f>
        <v>1.2363786800908332E-4</v>
      </c>
      <c r="BG162" s="22">
        <f>Constants!$H69*'Activity data'!BG11*Constants!$H87*EF!$H212*MMVolatEF*NtoN2O*kgtoGg</f>
        <v>1.2377719752281797E-4</v>
      </c>
      <c r="BH162" s="22">
        <f>Constants!$H69*'Activity data'!BH11*Constants!$H87*EF!$H212*MMVolatEF*NtoN2O*kgtoGg</f>
        <v>1.2390847141586513E-4</v>
      </c>
      <c r="BI162" s="22">
        <f>Constants!$H69*'Activity data'!BI11*Constants!$H87*EF!$H212*MMVolatEF*NtoN2O*kgtoGg</f>
        <v>1.2403124937547083E-4</v>
      </c>
      <c r="BJ162" s="22">
        <f>Constants!$H69*'Activity data'!BJ11*Constants!$H87*EF!$H212*MMVolatEF*NtoN2O*kgtoGg</f>
        <v>1.2414514741148475E-4</v>
      </c>
      <c r="BK162" s="22">
        <f>Constants!$H69*'Activity data'!BK11*Constants!$H87*EF!$H212*MMVolatEF*NtoN2O*kgtoGg</f>
        <v>1.2425002666284756E-4</v>
      </c>
      <c r="BL162" s="22">
        <f>Constants!$H69*'Activity data'!BL11*Constants!$H87*EF!$H212*MMVolatEF*NtoN2O*kgtoGg</f>
        <v>1.2434181663999874E-4</v>
      </c>
      <c r="BM162" s="22">
        <f>Constants!$H69*'Activity data'!BM11*Constants!$H87*EF!$H212*MMVolatEF*NtoN2O*kgtoGg</f>
        <v>1.2442363751411363E-4</v>
      </c>
      <c r="BN162" s="22">
        <f>Constants!$H69*'Activity data'!BN11*Constants!$H87*EF!$H212*MMVolatEF*NtoN2O*kgtoGg</f>
        <v>1.2449539887116545E-4</v>
      </c>
      <c r="BO162" s="22">
        <f>Constants!$H69*'Activity data'!BO11*Constants!$H87*EF!$H212*MMVolatEF*NtoN2O*kgtoGg</f>
        <v>1.2455666583000686E-4</v>
      </c>
      <c r="BP162" s="22">
        <f>Constants!$H69*'Activity data'!BP11*Constants!$H87*EF!$H212*MMVolatEF*NtoN2O*kgtoGg</f>
        <v>1.2460797598831414E-4</v>
      </c>
    </row>
    <row r="163" spans="1:68" x14ac:dyDescent="0.25">
      <c r="A163" t="str">
        <f t="shared" si="58"/>
        <v>3C Aggregated and non-CO2 emissions on land</v>
      </c>
      <c r="B163" t="str">
        <f t="shared" si="62"/>
        <v>3C6 Indirect N2O from manure management (N2O)</v>
      </c>
      <c r="C163" t="str">
        <f t="shared" si="63"/>
        <v>Volatilisation</v>
      </c>
      <c r="D163" t="str">
        <f>'Activity data'!D73</f>
        <v xml:space="preserve"> - Subsistence sheep</v>
      </c>
      <c r="E163" t="str">
        <f t="shared" si="61"/>
        <v>Volatilisation - Subsistence sheep</v>
      </c>
      <c r="F163" t="str">
        <f t="shared" si="47"/>
        <v>N2O</v>
      </c>
      <c r="G163" t="str">
        <f t="shared" si="48"/>
        <v>Gg N2O</v>
      </c>
      <c r="H163" s="22">
        <f>Constants!$H70*'Activity data'!H12*Constants!$H88*EF!$H213*MMVolatEF*NtoN2O*kgtoGg</f>
        <v>1.1839669160909449E-3</v>
      </c>
      <c r="I163" s="22">
        <f>Constants!$H70*'Activity data'!I12*Constants!$H88*EF!$H213*MMVolatEF*NtoN2O*kgtoGg</f>
        <v>1.1307300702024701E-3</v>
      </c>
      <c r="J163" s="22">
        <f>Constants!$H70*'Activity data'!J12*Constants!$H88*EF!$H213*MMVolatEF*NtoN2O*kgtoGg</f>
        <v>1.0840096038181478E-3</v>
      </c>
      <c r="K163" s="22">
        <f>Constants!$H70*'Activity data'!K12*Constants!$H88*EF!$H213*MMVolatEF*NtoN2O*kgtoGg</f>
        <v>1.0137906780097589E-3</v>
      </c>
      <c r="L163" s="22">
        <f>Constants!$H70*'Activity data'!L12*Constants!$H88*EF!$H213*MMVolatEF*NtoN2O*kgtoGg</f>
        <v>1.0209389488597691E-3</v>
      </c>
      <c r="M163" s="22">
        <f>Constants!$H70*'Activity data'!M12*Constants!$H88*EF!$H213*MMVolatEF*NtoN2O*kgtoGg</f>
        <v>1.0063264614868198E-3</v>
      </c>
      <c r="N163" s="22">
        <f>Constants!$H70*'Activity data'!N12*Constants!$H88*EF!$H213*MMVolatEF*NtoN2O*kgtoGg</f>
        <v>1.0096833842616864E-3</v>
      </c>
      <c r="O163" s="22">
        <f>Constants!$H70*'Activity data'!O12*Constants!$H88*EF!$H213*MMVolatEF*NtoN2O*kgtoGg</f>
        <v>9.877251599931464E-4</v>
      </c>
      <c r="P163" s="22">
        <f>Constants!$H70*'Activity data'!P12*Constants!$H88*EF!$H213*MMVolatEF*NtoN2O*kgtoGg</f>
        <v>9.9045019142215908E-4</v>
      </c>
      <c r="Q163" s="22">
        <f>Constants!$H70*'Activity data'!Q12*Constants!$H88*EF!$H213*MMVolatEF*NtoN2O*kgtoGg</f>
        <v>9.66122374606654E-4</v>
      </c>
      <c r="R163" s="22">
        <f>Constants!$H70*'Activity data'!R12*Constants!$H88*EF!$H213*MMVolatEF*NtoN2O*kgtoGg</f>
        <v>9.3148683021185221E-4</v>
      </c>
      <c r="S163" s="22">
        <f>Constants!$H70*'Activity data'!S12*Constants!$H88*EF!$H213*MMVolatEF*NtoN2O*kgtoGg</f>
        <v>9.0826482325159742E-4</v>
      </c>
      <c r="T163" s="22">
        <f>Constants!$H70*'Activity data'!T12*Constants!$H88*EF!$H213*MMVolatEF*NtoN2O*kgtoGg</f>
        <v>8.9309943095102287E-4</v>
      </c>
      <c r="U163" s="22">
        <f>Constants!$H70*'Activity data'!U12*Constants!$H88*EF!$H213*MMVolatEF*NtoN2O*kgtoGg</f>
        <v>8.962193944711932E-4</v>
      </c>
      <c r="V163" s="22">
        <f>Constants!$H70*'Activity data'!V12*Constants!$H88*EF!$H213*MMVolatEF*NtoN2O*kgtoGg</f>
        <v>8.8026413798829686E-4</v>
      </c>
      <c r="W163" s="22">
        <f>Constants!$H70*'Activity data'!W12*Constants!$H88*EF!$H213*MMVolatEF*NtoN2O*kgtoGg</f>
        <v>8.7817099790514486E-4</v>
      </c>
      <c r="X163" s="22">
        <f>Constants!$H70*'Activity data'!X12*Constants!$H88*EF!$H213*MMVolatEF*NtoN2O*kgtoGg</f>
        <v>8.6667847405236557E-4</v>
      </c>
      <c r="Y163" s="22">
        <f>Constants!$H70*'Activity data'!Y12*Constants!$H88*EF!$H213*MMVolatEF*NtoN2O*kgtoGg</f>
        <v>8.658491166609279E-4</v>
      </c>
      <c r="Z163" s="22">
        <f>Constants!$H70*'Activity data'!Z12*Constants!$H88*EF!$H213*MMVolatEF*NtoN2O*kgtoGg</f>
        <v>8.6865313450816973E-4</v>
      </c>
      <c r="AA163" s="22">
        <f>Constants!$H70*'Activity data'!AA12*Constants!$H88*EF!$H213*MMVolatEF*NtoN2O*kgtoGg</f>
        <v>8.6557266419711528E-4</v>
      </c>
      <c r="AB163" s="22">
        <f>Constants!$H70*'Activity data'!AB12*Constants!$H88*EF!$H213*MMVolatEF*NtoN2O*kgtoGg</f>
        <v>8.4882754353189779E-4</v>
      </c>
      <c r="AC163" s="22">
        <f>Constants!$H70*'Activity data'!AC12*Constants!$H88*EF!$H213*MMVolatEF*NtoN2O*kgtoGg</f>
        <v>8.4219268440039634E-4</v>
      </c>
      <c r="AD163" s="22">
        <f>Constants!$H70*'Activity data'!AD12*Constants!$H88*EF!$H213*MMVolatEF*NtoN2O*kgtoGg</f>
        <v>8.0417331143013899E-4</v>
      </c>
      <c r="AE163" s="22">
        <f>Constants!$H70*'Activity data'!AE12*Constants!$H88*EF!$H213*MMVolatEF*NtoN2O*kgtoGg</f>
        <v>8.0462546890267407E-4</v>
      </c>
      <c r="AF163" s="22">
        <f>Constants!$H70*'Activity data'!AF12*Constants!$H88*EF!$H213*MMVolatEF*NtoN2O*kgtoGg</f>
        <v>8.0561344664272709E-4</v>
      </c>
      <c r="AG163" s="22">
        <f>Constants!$H70*'Activity data'!AG12*Constants!$H88*EF!$H213*MMVolatEF*NtoN2O*kgtoGg</f>
        <v>8.0711084447113515E-4</v>
      </c>
      <c r="AH163" s="22">
        <f>Constants!$H70*'Activity data'!AH12*Constants!$H88*EF!$H213*MMVolatEF*NtoN2O*kgtoGg</f>
        <v>8.0910278181310039E-4</v>
      </c>
      <c r="AI163" s="22">
        <f>Constants!$H70*'Activity data'!AI12*Constants!$H88*EF!$H213*MMVolatEF*NtoN2O*kgtoGg</f>
        <v>8.1160604293723242E-4</v>
      </c>
      <c r="AJ163" s="22">
        <f>Constants!$H70*'Activity data'!AJ12*Constants!$H88*EF!$H213*MMVolatEF*NtoN2O*kgtoGg</f>
        <v>8.1439859724140621E-4</v>
      </c>
      <c r="AK163" s="22">
        <f>Constants!$H70*'Activity data'!AK12*Constants!$H88*EF!$H213*MMVolatEF*NtoN2O*kgtoGg</f>
        <v>8.1747276209246733E-4</v>
      </c>
      <c r="AL163" s="22">
        <f>Constants!$H70*'Activity data'!AL12*Constants!$H88*EF!$H213*MMVolatEF*NtoN2O*kgtoGg</f>
        <v>8.2030687397579693E-4</v>
      </c>
      <c r="AM163" s="22">
        <f>Constants!$H70*'Activity data'!AM12*Constants!$H88*EF!$H213*MMVolatEF*NtoN2O*kgtoGg</f>
        <v>8.2243563742845729E-4</v>
      </c>
      <c r="AN163" s="22">
        <f>Constants!$H70*'Activity data'!AN12*Constants!$H88*EF!$H213*MMVolatEF*NtoN2O*kgtoGg</f>
        <v>8.2428143492484826E-4</v>
      </c>
      <c r="AO163" s="22">
        <f>Constants!$H70*'Activity data'!AO12*Constants!$H88*EF!$H213*MMVolatEF*NtoN2O*kgtoGg</f>
        <v>8.2583290219515992E-4</v>
      </c>
      <c r="AP163" s="22">
        <f>Constants!$H70*'Activity data'!AP12*Constants!$H88*EF!$H213*MMVolatEF*NtoN2O*kgtoGg</f>
        <v>8.2739068739579361E-4</v>
      </c>
      <c r="AQ163" s="22">
        <f>Constants!$H70*'Activity data'!AQ12*Constants!$H88*EF!$H213*MMVolatEF*NtoN2O*kgtoGg</f>
        <v>8.2893273111378203E-4</v>
      </c>
      <c r="AR163" s="22">
        <f>Constants!$H70*'Activity data'!AR12*Constants!$H88*EF!$H213*MMVolatEF*NtoN2O*kgtoGg</f>
        <v>8.3046733330070668E-4</v>
      </c>
      <c r="AS163" s="22">
        <f>Constants!$H70*'Activity data'!AS12*Constants!$H88*EF!$H213*MMVolatEF*NtoN2O*kgtoGg</f>
        <v>8.3197042405276699E-4</v>
      </c>
      <c r="AT163" s="22">
        <f>Constants!$H70*'Activity data'!AT12*Constants!$H88*EF!$H213*MMVolatEF*NtoN2O*kgtoGg</f>
        <v>8.3343480473901509E-4</v>
      </c>
      <c r="AU163" s="22">
        <f>Constants!$H70*'Activity data'!AU12*Constants!$H88*EF!$H213*MMVolatEF*NtoN2O*kgtoGg</f>
        <v>8.3488794592776383E-4</v>
      </c>
      <c r="AV163" s="22">
        <f>Constants!$H70*'Activity data'!AV12*Constants!$H88*EF!$H213*MMVolatEF*NtoN2O*kgtoGg</f>
        <v>8.3629285558836045E-4</v>
      </c>
      <c r="AW163" s="22">
        <f>Constants!$H70*'Activity data'!AW12*Constants!$H88*EF!$H213*MMVolatEF*NtoN2O*kgtoGg</f>
        <v>8.3770052265019974E-4</v>
      </c>
      <c r="AX163" s="22">
        <f>Constants!$H70*'Activity data'!AX12*Constants!$H88*EF!$H213*MMVolatEF*NtoN2O*kgtoGg</f>
        <v>8.3907325001474845E-4</v>
      </c>
      <c r="AY163" s="22">
        <f>Constants!$H70*'Activity data'!AY12*Constants!$H88*EF!$H213*MMVolatEF*NtoN2O*kgtoGg</f>
        <v>8.4040565804338369E-4</v>
      </c>
      <c r="AZ163" s="22">
        <f>Constants!$H70*'Activity data'!AZ12*Constants!$H88*EF!$H213*MMVolatEF*NtoN2O*kgtoGg</f>
        <v>8.4169133206623539E-4</v>
      </c>
      <c r="BA163" s="22">
        <f>Constants!$H70*'Activity data'!BA12*Constants!$H88*EF!$H213*MMVolatEF*NtoN2O*kgtoGg</f>
        <v>8.4294110033368542E-4</v>
      </c>
      <c r="BB163" s="22">
        <f>Constants!$H70*'Activity data'!BB12*Constants!$H88*EF!$H213*MMVolatEF*NtoN2O*kgtoGg</f>
        <v>8.4414995869398887E-4</v>
      </c>
      <c r="BC163" s="22">
        <f>Constants!$H70*'Activity data'!BC12*Constants!$H88*EF!$H213*MMVolatEF*NtoN2O*kgtoGg</f>
        <v>8.4530984544245534E-4</v>
      </c>
      <c r="BD163" s="22">
        <f>Constants!$H70*'Activity data'!BD12*Constants!$H88*EF!$H213*MMVolatEF*NtoN2O*kgtoGg</f>
        <v>8.4640770609200429E-4</v>
      </c>
      <c r="BE163" s="22">
        <f>Constants!$H70*'Activity data'!BE12*Constants!$H88*EF!$H213*MMVolatEF*NtoN2O*kgtoGg</f>
        <v>8.4745963043755118E-4</v>
      </c>
      <c r="BF163" s="22">
        <f>Constants!$H70*'Activity data'!BF12*Constants!$H88*EF!$H213*MMVolatEF*NtoN2O*kgtoGg</f>
        <v>8.4846674737994784E-4</v>
      </c>
      <c r="BG163" s="22">
        <f>Constants!$H70*'Activity data'!BG12*Constants!$H88*EF!$H213*MMVolatEF*NtoN2O*kgtoGg</f>
        <v>8.494228982844895E-4</v>
      </c>
      <c r="BH163" s="22">
        <f>Constants!$H70*'Activity data'!BH12*Constants!$H88*EF!$H213*MMVolatEF*NtoN2O*kgtoGg</f>
        <v>8.5032376736969085E-4</v>
      </c>
      <c r="BI163" s="22">
        <f>Constants!$H70*'Activity data'!BI12*Constants!$H88*EF!$H213*MMVolatEF*NtoN2O*kgtoGg</f>
        <v>8.5116633298258962E-4</v>
      </c>
      <c r="BJ163" s="22">
        <f>Constants!$H70*'Activity data'!BJ12*Constants!$H88*EF!$H213*MMVolatEF*NtoN2O*kgtoGg</f>
        <v>8.5194795998494617E-4</v>
      </c>
      <c r="BK163" s="22">
        <f>Constants!$H70*'Activity data'!BK12*Constants!$H88*EF!$H213*MMVolatEF*NtoN2O*kgtoGg</f>
        <v>8.5266769544063128E-4</v>
      </c>
      <c r="BL163" s="22">
        <f>Constants!$H70*'Activity data'!BL12*Constants!$H88*EF!$H213*MMVolatEF*NtoN2O*kgtoGg</f>
        <v>8.5329760555320159E-4</v>
      </c>
      <c r="BM163" s="22">
        <f>Constants!$H70*'Activity data'!BM12*Constants!$H88*EF!$H213*MMVolatEF*NtoN2O*kgtoGg</f>
        <v>8.5385910254474602E-4</v>
      </c>
      <c r="BN163" s="22">
        <f>Constants!$H70*'Activity data'!BN12*Constants!$H88*EF!$H213*MMVolatEF*NtoN2O*kgtoGg</f>
        <v>8.5435156594763201E-4</v>
      </c>
      <c r="BO163" s="22">
        <f>Constants!$H70*'Activity data'!BO12*Constants!$H88*EF!$H213*MMVolatEF*NtoN2O*kgtoGg</f>
        <v>8.5477201138337987E-4</v>
      </c>
      <c r="BP163" s="22">
        <f>Constants!$H70*'Activity data'!BP12*Constants!$H88*EF!$H213*MMVolatEF*NtoN2O*kgtoGg</f>
        <v>8.5512412812420978E-4</v>
      </c>
    </row>
    <row r="164" spans="1:68" x14ac:dyDescent="0.25">
      <c r="A164" t="str">
        <f t="shared" si="58"/>
        <v>3C Aggregated and non-CO2 emissions on land</v>
      </c>
      <c r="B164" t="str">
        <f t="shared" si="62"/>
        <v>3C6 Indirect N2O from manure management (N2O)</v>
      </c>
      <c r="C164" t="str">
        <f t="shared" si="63"/>
        <v>Volatilisation</v>
      </c>
      <c r="D164" t="str">
        <f>'Activity data'!D74</f>
        <v xml:space="preserve"> - Commercial goats</v>
      </c>
      <c r="E164" t="str">
        <f t="shared" si="61"/>
        <v>Volatilisation - Commercial goats</v>
      </c>
      <c r="F164" t="str">
        <f t="shared" si="47"/>
        <v>N2O</v>
      </c>
      <c r="G164" t="str">
        <f t="shared" si="48"/>
        <v>Gg N2O</v>
      </c>
      <c r="H164" s="22">
        <f>Constants!$H71*'Activity data'!H13*Constants!$H89*EF!$H214*MMVolatEF*NtoN2O*kgtoGg</f>
        <v>1.9430751682320126E-5</v>
      </c>
      <c r="I164" s="22">
        <f>Constants!$H71*'Activity data'!I13*Constants!$H89*EF!$H214*MMVolatEF*NtoN2O*kgtoGg</f>
        <v>1.7182276091107166E-5</v>
      </c>
      <c r="J164" s="22">
        <f>Constants!$H71*'Activity data'!J13*Constants!$H89*EF!$H214*MMVolatEF*NtoN2O*kgtoGg</f>
        <v>1.6005503819070468E-5</v>
      </c>
      <c r="K164" s="22">
        <f>Constants!$H71*'Activity data'!K13*Constants!$H89*EF!$H214*MMVolatEF*NtoN2O*kgtoGg</f>
        <v>1.5122924615042945E-5</v>
      </c>
      <c r="L164" s="22">
        <f>Constants!$H71*'Activity data'!L13*Constants!$H89*EF!$H214*MMVolatEF*NtoN2O*kgtoGg</f>
        <v>1.6369742855653251E-5</v>
      </c>
      <c r="M164" s="22">
        <f>Constants!$H71*'Activity data'!M13*Constants!$H89*EF!$H214*MMVolatEF*NtoN2O*kgtoGg</f>
        <v>1.6593889955088815E-5</v>
      </c>
      <c r="N164" s="22">
        <f>Constants!$H71*'Activity data'!N13*Constants!$H89*EF!$H214*MMVolatEF*NtoN2O*kgtoGg</f>
        <v>1.6853060038811182E-5</v>
      </c>
      <c r="O164" s="22">
        <f>Constants!$H71*'Activity data'!O13*Constants!$H89*EF!$H214*MMVolatEF*NtoN2O*kgtoGg</f>
        <v>1.6769004876522849E-5</v>
      </c>
      <c r="P164" s="22">
        <f>Constants!$H71*'Activity data'!P13*Constants!$H89*EF!$H214*MMVolatEF*NtoN2O*kgtoGg</f>
        <v>1.6530848583372566E-5</v>
      </c>
      <c r="Q164" s="22">
        <f>Constants!$H71*'Activity data'!Q13*Constants!$H89*EF!$H214*MMVolatEF*NtoN2O*kgtoGg</f>
        <v>1.6285687693364925E-5</v>
      </c>
      <c r="R164" s="22">
        <f>Constants!$H71*'Activity data'!R13*Constants!$H89*EF!$H214*MMVolatEF*NtoN2O*kgtoGg</f>
        <v>1.6495825599085754E-5</v>
      </c>
      <c r="S164" s="22">
        <f>Constants!$H71*'Activity data'!S13*Constants!$H89*EF!$H214*MMVolatEF*NtoN2O*kgtoGg</f>
        <v>1.7000156572815771E-5</v>
      </c>
      <c r="T164" s="22">
        <f>Constants!$H71*'Activity data'!T13*Constants!$H89*EF!$H214*MMVolatEF*NtoN2O*kgtoGg</f>
        <v>1.5522186635912543E-5</v>
      </c>
      <c r="U164" s="22">
        <f>Constants!$H71*'Activity data'!U13*Constants!$H89*EF!$H214*MMVolatEF*NtoN2O*kgtoGg</f>
        <v>1.5129929211900313E-5</v>
      </c>
      <c r="V164" s="22">
        <f>Constants!$H71*'Activity data'!V13*Constants!$H89*EF!$H214*MMVolatEF*NtoN2O*kgtoGg</f>
        <v>1.5157947599329762E-5</v>
      </c>
      <c r="W164" s="22">
        <f>Constants!$H71*'Activity data'!W13*Constants!$H89*EF!$H214*MMVolatEF*NtoN2O*kgtoGg</f>
        <v>1.496181888732364E-5</v>
      </c>
      <c r="X164" s="22">
        <f>Constants!$H71*'Activity data'!X13*Constants!$H89*EF!$H214*MMVolatEF*NtoN2O*kgtoGg</f>
        <v>1.5277025745904899E-5</v>
      </c>
      <c r="Y164" s="22">
        <f>Constants!$H71*'Activity data'!Y13*Constants!$H89*EF!$H214*MMVolatEF*NtoN2O*kgtoGg</f>
        <v>1.4821726950176417E-5</v>
      </c>
      <c r="Z164" s="22">
        <f>Constants!$H71*'Activity data'!Z13*Constants!$H89*EF!$H214*MMVolatEF*NtoN2O*kgtoGg</f>
        <v>1.4807717756461697E-5</v>
      </c>
      <c r="AA164" s="22">
        <f>Constants!$H71*'Activity data'!AA13*Constants!$H89*EF!$H214*MMVolatEF*NtoN2O*kgtoGg</f>
        <v>1.454854767273933E-5</v>
      </c>
      <c r="AB164" s="22">
        <f>Constants!$H71*'Activity data'!AB13*Constants!$H89*EF!$H214*MMVolatEF*NtoN2O*kgtoGg</f>
        <v>1.4373432751305298E-5</v>
      </c>
      <c r="AC164" s="22">
        <f>Constants!$H71*'Activity data'!AC13*Constants!$H89*EF!$H214*MMVolatEF*NtoN2O*kgtoGg</f>
        <v>1.4240345411015434E-5</v>
      </c>
      <c r="AD164" s="22">
        <f>Constants!$H71*'Activity data'!AD13*Constants!$H89*EF!$H214*MMVolatEF*NtoN2O*kgtoGg</f>
        <v>1.4485177267163118E-5</v>
      </c>
      <c r="AE164" s="22">
        <f>Constants!$H71*'Activity data'!AE13*Constants!$H89*EF!$H214*MMVolatEF*NtoN2O*kgtoGg</f>
        <v>1.4523331373359858E-5</v>
      </c>
      <c r="AF164" s="22">
        <f>Constants!$H71*'Activity data'!AF13*Constants!$H89*EF!$H214*MMVolatEF*NtoN2O*kgtoGg</f>
        <v>1.4573810598011812E-5</v>
      </c>
      <c r="AG164" s="22">
        <f>Constants!$H71*'Activity data'!AG13*Constants!$H89*EF!$H214*MMVolatEF*NtoN2O*kgtoGg</f>
        <v>1.4636092790285484E-5</v>
      </c>
      <c r="AH164" s="22">
        <f>Constants!$H71*'Activity data'!AH13*Constants!$H89*EF!$H214*MMVolatEF*NtoN2O*kgtoGg</f>
        <v>1.4709937886246105E-5</v>
      </c>
      <c r="AI164" s="22">
        <f>Constants!$H71*'Activity data'!AI13*Constants!$H89*EF!$H214*MMVolatEF*NtoN2O*kgtoGg</f>
        <v>1.4795961328939575E-5</v>
      </c>
      <c r="AJ164" s="22">
        <f>Constants!$H71*'Activity data'!AJ13*Constants!$H89*EF!$H214*MMVolatEF*NtoN2O*kgtoGg</f>
        <v>1.4888035936093896E-5</v>
      </c>
      <c r="AK164" s="22">
        <f>Constants!$H71*'Activity data'!AK13*Constants!$H89*EF!$H214*MMVolatEF*NtoN2O*kgtoGg</f>
        <v>1.4986079151086844E-5</v>
      </c>
      <c r="AL164" s="22">
        <f>Constants!$H71*'Activity data'!AL13*Constants!$H89*EF!$H214*MMVolatEF*NtoN2O*kgtoGg</f>
        <v>1.5075634911231622E-5</v>
      </c>
      <c r="AM164" s="22">
        <f>Constants!$H71*'Activity data'!AM13*Constants!$H89*EF!$H214*MMVolatEF*NtoN2O*kgtoGg</f>
        <v>1.5143949040762278E-5</v>
      </c>
      <c r="AN164" s="22">
        <f>Constants!$H71*'Activity data'!AN13*Constants!$H89*EF!$H214*MMVolatEF*NtoN2O*kgtoGg</f>
        <v>1.5203036298850986E-5</v>
      </c>
      <c r="AO164" s="22">
        <f>Constants!$H71*'Activity data'!AO13*Constants!$H89*EF!$H214*MMVolatEF*NtoN2O*kgtoGg</f>
        <v>1.5252751224585401E-5</v>
      </c>
      <c r="AP164" s="22">
        <f>Constants!$H71*'Activity data'!AP13*Constants!$H89*EF!$H214*MMVolatEF*NtoN2O*kgtoGg</f>
        <v>1.5301560836910151E-5</v>
      </c>
      <c r="AQ164" s="22">
        <f>Constants!$H71*'Activity data'!AQ13*Constants!$H89*EF!$H214*MMVolatEF*NtoN2O*kgtoGg</f>
        <v>1.5348939408679304E-5</v>
      </c>
      <c r="AR164" s="22">
        <f>Constants!$H71*'Activity data'!AR13*Constants!$H89*EF!$H214*MMVolatEF*NtoN2O*kgtoGg</f>
        <v>1.5395192894093193E-5</v>
      </c>
      <c r="AS164" s="22">
        <f>Constants!$H71*'Activity data'!AS13*Constants!$H89*EF!$H214*MMVolatEF*NtoN2O*kgtoGg</f>
        <v>1.5439728255290293E-5</v>
      </c>
      <c r="AT164" s="22">
        <f>Constants!$H71*'Activity data'!AT13*Constants!$H89*EF!$H214*MMVolatEF*NtoN2O*kgtoGg</f>
        <v>1.548241344860467E-5</v>
      </c>
      <c r="AU164" s="22">
        <f>Constants!$H71*'Activity data'!AU13*Constants!$H89*EF!$H214*MMVolatEF*NtoN2O*kgtoGg</f>
        <v>1.5524059584222168E-5</v>
      </c>
      <c r="AV164" s="22">
        <f>Constants!$H71*'Activity data'!AV13*Constants!$H89*EF!$H214*MMVolatEF*NtoN2O*kgtoGg</f>
        <v>1.5563707431032885E-5</v>
      </c>
      <c r="AW164" s="22">
        <f>Constants!$H71*'Activity data'!AW13*Constants!$H89*EF!$H214*MMVolatEF*NtoN2O*kgtoGg</f>
        <v>1.5602796502545364E-5</v>
      </c>
      <c r="AX164" s="22">
        <f>Constants!$H71*'Activity data'!AX13*Constants!$H89*EF!$H214*MMVolatEF*NtoN2O*kgtoGg</f>
        <v>1.5640341345456806E-5</v>
      </c>
      <c r="AY164" s="22">
        <f>Constants!$H71*'Activity data'!AY13*Constants!$H89*EF!$H214*MMVolatEF*NtoN2O*kgtoGg</f>
        <v>1.567623738695334E-5</v>
      </c>
      <c r="AZ164" s="22">
        <f>Constants!$H71*'Activity data'!AZ13*Constants!$H89*EF!$H214*MMVolatEF*NtoN2O*kgtoGg</f>
        <v>1.5710349847819226E-5</v>
      </c>
      <c r="BA164" s="22">
        <f>Constants!$H71*'Activity data'!BA13*Constants!$H89*EF!$H214*MMVolatEF*NtoN2O*kgtoGg</f>
        <v>1.5743007959122454E-5</v>
      </c>
      <c r="BB164" s="22">
        <f>Constants!$H71*'Activity data'!BB13*Constants!$H89*EF!$H214*MMVolatEF*NtoN2O*kgtoGg</f>
        <v>1.5774109229300259E-5</v>
      </c>
      <c r="BC164" s="22">
        <f>Constants!$H71*'Activity data'!BC13*Constants!$H89*EF!$H214*MMVolatEF*NtoN2O*kgtoGg</f>
        <v>1.5803467526487133E-5</v>
      </c>
      <c r="BD164" s="22">
        <f>Constants!$H71*'Activity data'!BD13*Constants!$H89*EF!$H214*MMVolatEF*NtoN2O*kgtoGg</f>
        <v>1.5830762064095736E-5</v>
      </c>
      <c r="BE164" s="22">
        <f>Constants!$H71*'Activity data'!BE13*Constants!$H89*EF!$H214*MMVolatEF*NtoN2O*kgtoGg</f>
        <v>1.5856453870476164E-5</v>
      </c>
      <c r="BF164" s="22">
        <f>Constants!$H71*'Activity data'!BF13*Constants!$H89*EF!$H214*MMVolatEF*NtoN2O*kgtoGg</f>
        <v>1.5880598682649771E-5</v>
      </c>
      <c r="BG164" s="22">
        <f>Constants!$H71*'Activity data'!BG13*Constants!$H89*EF!$H214*MMVolatEF*NtoN2O*kgtoGg</f>
        <v>1.5903055741242134E-5</v>
      </c>
      <c r="BH164" s="22">
        <f>Constants!$H71*'Activity data'!BH13*Constants!$H89*EF!$H214*MMVolatEF*NtoN2O*kgtoGg</f>
        <v>1.5923733103541631E-5</v>
      </c>
      <c r="BI164" s="22">
        <f>Constants!$H71*'Activity data'!BI13*Constants!$H89*EF!$H214*MMVolatEF*NtoN2O*kgtoGg</f>
        <v>1.5942572702848186E-5</v>
      </c>
      <c r="BJ164" s="22">
        <f>Constants!$H71*'Activity data'!BJ13*Constants!$H89*EF!$H214*MMVolatEF*NtoN2O*kgtoGg</f>
        <v>1.595952602671736E-5</v>
      </c>
      <c r="BK164" s="22">
        <f>Constants!$H71*'Activity data'!BK13*Constants!$H89*EF!$H214*MMVolatEF*NtoN2O*kgtoGg</f>
        <v>1.5974588492102685E-5</v>
      </c>
      <c r="BL164" s="22">
        <f>Constants!$H71*'Activity data'!BL13*Constants!$H89*EF!$H214*MMVolatEF*NtoN2O*kgtoGg</f>
        <v>1.5987039996222484E-5</v>
      </c>
      <c r="BM164" s="22">
        <f>Constants!$H71*'Activity data'!BM13*Constants!$H89*EF!$H214*MMVolatEF*NtoN2O*kgtoGg</f>
        <v>1.5997469100177037E-5</v>
      </c>
      <c r="BN164" s="22">
        <f>Constants!$H71*'Activity data'!BN13*Constants!$H89*EF!$H214*MMVolatEF*NtoN2O*kgtoGg</f>
        <v>1.6005878035407866E-5</v>
      </c>
      <c r="BO164" s="22">
        <f>Constants!$H71*'Activity data'!BO13*Constants!$H89*EF!$H214*MMVolatEF*NtoN2O*kgtoGg</f>
        <v>1.601220596267969E-5</v>
      </c>
      <c r="BP164" s="22">
        <f>Constants!$H71*'Activity data'!BP13*Constants!$H89*EF!$H214*MMVolatEF*NtoN2O*kgtoGg</f>
        <v>1.6016567357142635E-5</v>
      </c>
    </row>
    <row r="165" spans="1:68" x14ac:dyDescent="0.25">
      <c r="A165" t="str">
        <f t="shared" si="58"/>
        <v>3C Aggregated and non-CO2 emissions on land</v>
      </c>
      <c r="B165" t="str">
        <f t="shared" si="62"/>
        <v>3C6 Indirect N2O from manure management (N2O)</v>
      </c>
      <c r="C165" t="str">
        <f t="shared" si="63"/>
        <v>Volatilisation</v>
      </c>
      <c r="D165" t="str">
        <f>'Activity data'!D75</f>
        <v xml:space="preserve"> - Subsistence goats</v>
      </c>
      <c r="E165" t="str">
        <f t="shared" si="61"/>
        <v>Volatilisation - Subsistence goats</v>
      </c>
      <c r="F165" t="str">
        <f t="shared" si="47"/>
        <v>N2O</v>
      </c>
      <c r="G165" t="str">
        <f t="shared" si="48"/>
        <v>Gg N2O</v>
      </c>
      <c r="H165" s="22">
        <f>Constants!$H72*'Activity data'!H14*Constants!$H90*EF!$H215*MMVolatEF*NtoN2O*kgtoGg</f>
        <v>2.0115874261686147E-3</v>
      </c>
      <c r="I165" s="22">
        <f>Constants!$H72*'Activity data'!I14*Constants!$H90*EF!$H215*MMVolatEF*NtoN2O*kgtoGg</f>
        <v>1.7788118083603506E-3</v>
      </c>
      <c r="J165" s="22">
        <f>Constants!$H72*'Activity data'!J14*Constants!$H90*EF!$H215*MMVolatEF*NtoN2O*kgtoGg</f>
        <v>1.6569853167971468E-3</v>
      </c>
      <c r="K165" s="22">
        <f>Constants!$H72*'Activity data'!K14*Constants!$H90*EF!$H215*MMVolatEF*NtoN2O*kgtoGg</f>
        <v>1.5656154481247439E-3</v>
      </c>
      <c r="L165" s="22">
        <f>Constants!$H72*'Activity data'!L14*Constants!$H90*EF!$H215*MMVolatEF*NtoN2O*kgtoGg</f>
        <v>1.6946935165667099E-3</v>
      </c>
      <c r="M165" s="22">
        <f>Constants!$H72*'Activity data'!M14*Constants!$H90*EF!$H215*MMVolatEF*NtoN2O*kgtoGg</f>
        <v>1.7178985625787488E-3</v>
      </c>
      <c r="N165" s="22">
        <f>Constants!$H72*'Activity data'!N14*Constants!$H90*EF!$H215*MMVolatEF*NtoN2O*kgtoGg</f>
        <v>1.7447293970301691E-3</v>
      </c>
      <c r="O165" s="22">
        <f>Constants!$H72*'Activity data'!O14*Constants!$H90*EF!$H215*MMVolatEF*NtoN2O*kgtoGg</f>
        <v>1.736027504775654E-3</v>
      </c>
      <c r="P165" s="22">
        <f>Constants!$H72*'Activity data'!P14*Constants!$H90*EF!$H215*MMVolatEF*NtoN2O*kgtoGg</f>
        <v>1.7113721433878628E-3</v>
      </c>
      <c r="Q165" s="22">
        <f>Constants!$H72*'Activity data'!Q14*Constants!$H90*EF!$H215*MMVolatEF*NtoN2O*kgtoGg</f>
        <v>1.6859916243121954E-3</v>
      </c>
      <c r="R165" s="22">
        <f>Constants!$H72*'Activity data'!R14*Constants!$H90*EF!$H215*MMVolatEF*NtoN2O*kgtoGg</f>
        <v>1.7077463549484819E-3</v>
      </c>
      <c r="S165" s="22">
        <f>Constants!$H72*'Activity data'!S14*Constants!$H90*EF!$H215*MMVolatEF*NtoN2O*kgtoGg</f>
        <v>1.7599577084755692E-3</v>
      </c>
      <c r="T165" s="22">
        <f>Constants!$H72*'Activity data'!T14*Constants!$H90*EF!$H215*MMVolatEF*NtoN2O*kgtoGg</f>
        <v>1.6069494363336882E-3</v>
      </c>
      <c r="U165" s="22">
        <f>Constants!$H72*'Activity data'!U14*Constants!$H90*EF!$H215*MMVolatEF*NtoN2O*kgtoGg</f>
        <v>1.5663406058126202E-3</v>
      </c>
      <c r="V165" s="22">
        <f>Constants!$H72*'Activity data'!V14*Constants!$H90*EF!$H215*MMVolatEF*NtoN2O*kgtoGg</f>
        <v>1.5692412365641251E-3</v>
      </c>
      <c r="W165" s="22">
        <f>Constants!$H72*'Activity data'!W14*Constants!$H90*EF!$H215*MMVolatEF*NtoN2O*kgtoGg</f>
        <v>1.5489368213035912E-3</v>
      </c>
      <c r="X165" s="22">
        <f>Constants!$H72*'Activity data'!X14*Constants!$H90*EF!$H215*MMVolatEF*NtoN2O*kgtoGg</f>
        <v>1.5815689172580208E-3</v>
      </c>
      <c r="Y165" s="22">
        <f>Constants!$H72*'Activity data'!Y14*Constants!$H90*EF!$H215*MMVolatEF*NtoN2O*kgtoGg</f>
        <v>1.534433667546067E-3</v>
      </c>
      <c r="Z165" s="22">
        <f>Constants!$H72*'Activity data'!Z14*Constants!$H90*EF!$H215*MMVolatEF*NtoN2O*kgtoGg</f>
        <v>1.5329833521703141E-3</v>
      </c>
      <c r="AA165" s="22">
        <f>Constants!$H72*'Activity data'!AA14*Constants!$H90*EF!$H215*MMVolatEF*NtoN2O*kgtoGg</f>
        <v>1.5061525177188946E-3</v>
      </c>
      <c r="AB165" s="22">
        <f>Constants!$H72*'Activity data'!AB14*Constants!$H90*EF!$H215*MMVolatEF*NtoN2O*kgtoGg</f>
        <v>1.4880235755219894E-3</v>
      </c>
      <c r="AC165" s="22">
        <f>Constants!$H72*'Activity data'!AC14*Constants!$H90*EF!$H215*MMVolatEF*NtoN2O*kgtoGg</f>
        <v>1.4742455794523413E-3</v>
      </c>
      <c r="AD165" s="22">
        <f>Constants!$H72*'Activity data'!AD14*Constants!$H90*EF!$H215*MMVolatEF*NtoN2O*kgtoGg</f>
        <v>1.4737394758779611E-3</v>
      </c>
      <c r="AE165" s="22">
        <f>Constants!$H72*'Activity data'!AE14*Constants!$H90*EF!$H215*MMVolatEF*NtoN2O*kgtoGg</f>
        <v>1.4776213208448467E-3</v>
      </c>
      <c r="AF165" s="22">
        <f>Constants!$H72*'Activity data'!AF14*Constants!$H90*EF!$H215*MMVolatEF*NtoN2O*kgtoGg</f>
        <v>1.4827571382883752E-3</v>
      </c>
      <c r="AG165" s="22">
        <f>Constants!$H72*'Activity data'!AG14*Constants!$H90*EF!$H215*MMVolatEF*NtoN2O*kgtoGg</f>
        <v>1.4890938039504524E-3</v>
      </c>
      <c r="AH165" s="22">
        <f>Constants!$H72*'Activity data'!AH14*Constants!$H90*EF!$H215*MMVolatEF*NtoN2O*kgtoGg</f>
        <v>1.4966068934356505E-3</v>
      </c>
      <c r="AI165" s="22">
        <f>Constants!$H72*'Activity data'!AI14*Constants!$H90*EF!$H215*MMVolatEF*NtoN2O*kgtoGg</f>
        <v>1.505359022664727E-3</v>
      </c>
      <c r="AJ165" s="22">
        <f>Constants!$H72*'Activity data'!AJ14*Constants!$H90*EF!$H215*MMVolatEF*NtoN2O*kgtoGg</f>
        <v>1.5147268046936625E-3</v>
      </c>
      <c r="AK165" s="22">
        <f>Constants!$H72*'Activity data'!AK14*Constants!$H90*EF!$H215*MMVolatEF*NtoN2O*kgtoGg</f>
        <v>1.5247018401117411E-3</v>
      </c>
      <c r="AL165" s="22">
        <f>Constants!$H72*'Activity data'!AL14*Constants!$H90*EF!$H215*MMVolatEF*NtoN2O*kgtoGg</f>
        <v>1.5338133515957471E-3</v>
      </c>
      <c r="AM165" s="22">
        <f>Constants!$H72*'Activity data'!AM14*Constants!$H90*EF!$H215*MMVolatEF*NtoN2O*kgtoGg</f>
        <v>1.5407637138586784E-3</v>
      </c>
      <c r="AN165" s="22">
        <f>Constants!$H72*'Activity data'!AN14*Constants!$H90*EF!$H215*MMVolatEF*NtoN2O*kgtoGg</f>
        <v>1.5467753230478962E-3</v>
      </c>
      <c r="AO165" s="22">
        <f>Constants!$H72*'Activity data'!AO14*Constants!$H90*EF!$H215*MMVolatEF*NtoN2O*kgtoGg</f>
        <v>1.551833379794032E-3</v>
      </c>
      <c r="AP165" s="22">
        <f>Constants!$H72*'Activity data'!AP14*Constants!$H90*EF!$H215*MMVolatEF*NtoN2O*kgtoGg</f>
        <v>1.5567993288575863E-3</v>
      </c>
      <c r="AQ165" s="22">
        <f>Constants!$H72*'Activity data'!AQ14*Constants!$H90*EF!$H215*MMVolatEF*NtoN2O*kgtoGg</f>
        <v>1.561619682122106E-3</v>
      </c>
      <c r="AR165" s="22">
        <f>Constants!$H72*'Activity data'!AR14*Constants!$H90*EF!$H215*MMVolatEF*NtoN2O*kgtoGg</f>
        <v>1.5663255677384265E-3</v>
      </c>
      <c r="AS165" s="22">
        <f>Constants!$H72*'Activity data'!AS14*Constants!$H90*EF!$H215*MMVolatEF*NtoN2O*kgtoGg</f>
        <v>1.5708566493163809E-3</v>
      </c>
      <c r="AT165" s="22">
        <f>Constants!$H72*'Activity data'!AT14*Constants!$H90*EF!$H215*MMVolatEF*NtoN2O*kgtoGg</f>
        <v>1.5751994925735004E-3</v>
      </c>
      <c r="AU165" s="22">
        <f>Constants!$H72*'Activity data'!AU14*Constants!$H90*EF!$H215*MMVolatEF*NtoN2O*kgtoGg</f>
        <v>1.5794366208423003E-3</v>
      </c>
      <c r="AV165" s="22">
        <f>Constants!$H72*'Activity data'!AV14*Constants!$H90*EF!$H215*MMVolatEF*NtoN2O*kgtoGg</f>
        <v>1.5834704407880857E-3</v>
      </c>
      <c r="AW165" s="22">
        <f>Constants!$H72*'Activity data'!AW14*Constants!$H90*EF!$H215*MMVolatEF*NtoN2O*kgtoGg</f>
        <v>1.5874474102583829E-3</v>
      </c>
      <c r="AX165" s="22">
        <f>Constants!$H72*'Activity data'!AX14*Constants!$H90*EF!$H215*MMVolatEF*NtoN2O*kgtoGg</f>
        <v>1.5912672680408395E-3</v>
      </c>
      <c r="AY165" s="22">
        <f>Constants!$H72*'Activity data'!AY14*Constants!$H90*EF!$H215*MMVolatEF*NtoN2O*kgtoGg</f>
        <v>1.5949193747707392E-3</v>
      </c>
      <c r="AZ165" s="22">
        <f>Constants!$H72*'Activity data'!AZ14*Constants!$H90*EF!$H215*MMVolatEF*NtoN2O*kgtoGg</f>
        <v>1.5983900178474628E-3</v>
      </c>
      <c r="BA165" s="22">
        <f>Constants!$H72*'Activity data'!BA14*Constants!$H90*EF!$H215*MMVolatEF*NtoN2O*kgtoGg</f>
        <v>1.6017126936385482E-3</v>
      </c>
      <c r="BB165" s="22">
        <f>Constants!$H72*'Activity data'!BB14*Constants!$H90*EF!$H215*MMVolatEF*NtoN2O*kgtoGg</f>
        <v>1.6048769745282878E-3</v>
      </c>
      <c r="BC165" s="22">
        <f>Constants!$H72*'Activity data'!BC14*Constants!$H90*EF!$H215*MMVolatEF*NtoN2O*kgtoGg</f>
        <v>1.6078639232352903E-3</v>
      </c>
      <c r="BD165" s="22">
        <f>Constants!$H72*'Activity data'!BD14*Constants!$H90*EF!$H215*MMVolatEF*NtoN2O*kgtoGg</f>
        <v>1.6106409025437051E-3</v>
      </c>
      <c r="BE165" s="22">
        <f>Constants!$H72*'Activity data'!BE14*Constants!$H90*EF!$H215*MMVolatEF*NtoN2O*kgtoGg</f>
        <v>1.6132548180361501E-3</v>
      </c>
      <c r="BF165" s="22">
        <f>Constants!$H72*'Activity data'!BF14*Constants!$H90*EF!$H215*MMVolatEF*NtoN2O*kgtoGg</f>
        <v>1.6157113404646722E-3</v>
      </c>
      <c r="BG165" s="22">
        <f>Constants!$H72*'Activity data'!BG14*Constants!$H90*EF!$H215*MMVolatEF*NtoN2O*kgtoGg</f>
        <v>1.617996148800066E-3</v>
      </c>
      <c r="BH165" s="22">
        <f>Constants!$H72*'Activity data'!BH14*Constants!$H90*EF!$H215*MMVolatEF*NtoN2O*kgtoGg</f>
        <v>1.6200998886795129E-3</v>
      </c>
      <c r="BI165" s="22">
        <f>Constants!$H72*'Activity data'!BI14*Constants!$H90*EF!$H215*MMVolatEF*NtoN2O*kgtoGg</f>
        <v>1.6220166523266341E-3</v>
      </c>
      <c r="BJ165" s="22">
        <f>Constants!$H72*'Activity data'!BJ14*Constants!$H90*EF!$H215*MMVolatEF*NtoN2O*kgtoGg</f>
        <v>1.6237415040265843E-3</v>
      </c>
      <c r="BK165" s="22">
        <f>Constants!$H72*'Activity data'!BK14*Constants!$H90*EF!$H215*MMVolatEF*NtoN2O*kgtoGg</f>
        <v>1.6252739774946666E-3</v>
      </c>
      <c r="BL165" s="22">
        <f>Constants!$H72*'Activity data'!BL14*Constants!$H90*EF!$H215*MMVolatEF*NtoN2O*kgtoGg</f>
        <v>1.6265408086018702E-3</v>
      </c>
      <c r="BM165" s="22">
        <f>Constants!$H72*'Activity data'!BM14*Constants!$H90*EF!$H215*MMVolatEF*NtoN2O*kgtoGg</f>
        <v>1.6276018782672512E-3</v>
      </c>
      <c r="BN165" s="22">
        <f>Constants!$H72*'Activity data'!BN14*Constants!$H90*EF!$H215*MMVolatEF*NtoN2O*kgtoGg</f>
        <v>1.6284574135203731E-3</v>
      </c>
      <c r="BO165" s="22">
        <f>Constants!$H72*'Activity data'!BO14*Constants!$H90*EF!$H215*MMVolatEF*NtoN2O*kgtoGg</f>
        <v>1.6291012245037645E-3</v>
      </c>
      <c r="BP165" s="22">
        <f>Constants!$H72*'Activity data'!BP14*Constants!$H90*EF!$H215*MMVolatEF*NtoN2O*kgtoGg</f>
        <v>1.6295449580578229E-3</v>
      </c>
    </row>
    <row r="166" spans="1:68" x14ac:dyDescent="0.25">
      <c r="A166" t="str">
        <f t="shared" si="58"/>
        <v>3C Aggregated and non-CO2 emissions on land</v>
      </c>
      <c r="B166" t="str">
        <f t="shared" si="62"/>
        <v>3C6 Indirect N2O from manure management (N2O)</v>
      </c>
      <c r="C166" t="str">
        <f t="shared" si="63"/>
        <v>Volatilisation</v>
      </c>
      <c r="D166" t="str">
        <f>'Activity data'!D76</f>
        <v xml:space="preserve"> - Horses</v>
      </c>
      <c r="E166" t="str">
        <f t="shared" si="61"/>
        <v>Volatilisation - Horses</v>
      </c>
      <c r="F166" t="str">
        <f t="shared" si="47"/>
        <v>N2O</v>
      </c>
      <c r="G166" t="str">
        <f t="shared" si="48"/>
        <v>Gg N2O</v>
      </c>
      <c r="H166" s="22">
        <f>Constants!$H73*'Activity data'!H15*Constants!$H91*EF!$H216*MMVolatEF*NtoN2O*kgtoGg</f>
        <v>0</v>
      </c>
      <c r="I166" s="22">
        <f>Constants!$H73*'Activity data'!I15*Constants!$H91*EF!$H216*MMVolatEF*NtoN2O*kgtoGg</f>
        <v>0</v>
      </c>
      <c r="J166" s="22">
        <f>Constants!$H73*'Activity data'!J15*Constants!$H91*EF!$H216*MMVolatEF*NtoN2O*kgtoGg</f>
        <v>0</v>
      </c>
      <c r="K166" s="22">
        <f>Constants!$H73*'Activity data'!K15*Constants!$H91*EF!$H216*MMVolatEF*NtoN2O*kgtoGg</f>
        <v>0</v>
      </c>
      <c r="L166" s="22">
        <f>Constants!$H73*'Activity data'!L15*Constants!$H91*EF!$H216*MMVolatEF*NtoN2O*kgtoGg</f>
        <v>0</v>
      </c>
      <c r="M166" s="22">
        <f>Constants!$H73*'Activity data'!M15*Constants!$H91*EF!$H216*MMVolatEF*NtoN2O*kgtoGg</f>
        <v>0</v>
      </c>
      <c r="N166" s="22">
        <f>Constants!$H73*'Activity data'!N15*Constants!$H91*EF!$H216*MMVolatEF*NtoN2O*kgtoGg</f>
        <v>0</v>
      </c>
      <c r="O166" s="22">
        <f>Constants!$H73*'Activity data'!O15*Constants!$H91*EF!$H216*MMVolatEF*NtoN2O*kgtoGg</f>
        <v>0</v>
      </c>
      <c r="P166" s="22">
        <f>Constants!$H73*'Activity data'!P15*Constants!$H91*EF!$H216*MMVolatEF*NtoN2O*kgtoGg</f>
        <v>0</v>
      </c>
      <c r="Q166" s="22">
        <f>Constants!$H73*'Activity data'!Q15*Constants!$H91*EF!$H216*MMVolatEF*NtoN2O*kgtoGg</f>
        <v>0</v>
      </c>
      <c r="R166" s="22">
        <f>Constants!$H73*'Activity data'!R15*Constants!$H91*EF!$H216*MMVolatEF*NtoN2O*kgtoGg</f>
        <v>0</v>
      </c>
      <c r="S166" s="22">
        <f>Constants!$H73*'Activity data'!S15*Constants!$H91*EF!$H216*MMVolatEF*NtoN2O*kgtoGg</f>
        <v>0</v>
      </c>
      <c r="T166" s="22">
        <f>Constants!$H73*'Activity data'!T15*Constants!$H91*EF!$H216*MMVolatEF*NtoN2O*kgtoGg</f>
        <v>0</v>
      </c>
      <c r="U166" s="22">
        <f>Constants!$H73*'Activity data'!U15*Constants!$H91*EF!$H216*MMVolatEF*NtoN2O*kgtoGg</f>
        <v>0</v>
      </c>
      <c r="V166" s="22">
        <f>Constants!$H73*'Activity data'!V15*Constants!$H91*EF!$H216*MMVolatEF*NtoN2O*kgtoGg</f>
        <v>0</v>
      </c>
      <c r="W166" s="22">
        <f>Constants!$H73*'Activity data'!W15*Constants!$H91*EF!$H216*MMVolatEF*NtoN2O*kgtoGg</f>
        <v>0</v>
      </c>
      <c r="X166" s="22">
        <f>Constants!$H73*'Activity data'!X15*Constants!$H91*EF!$H216*MMVolatEF*NtoN2O*kgtoGg</f>
        <v>0</v>
      </c>
      <c r="Y166" s="22">
        <f>Constants!$H73*'Activity data'!Y15*Constants!$H91*EF!$H216*MMVolatEF*NtoN2O*kgtoGg</f>
        <v>0</v>
      </c>
      <c r="Z166" s="22">
        <f>Constants!$H73*'Activity data'!Z15*Constants!$H91*EF!$H216*MMVolatEF*NtoN2O*kgtoGg</f>
        <v>0</v>
      </c>
      <c r="AA166" s="22">
        <f>Constants!$H73*'Activity data'!AA15*Constants!$H91*EF!$H216*MMVolatEF*NtoN2O*kgtoGg</f>
        <v>0</v>
      </c>
      <c r="AB166" s="22">
        <f>Constants!$H73*'Activity data'!AB15*Constants!$H91*EF!$H216*MMVolatEF*NtoN2O*kgtoGg</f>
        <v>0</v>
      </c>
      <c r="AC166" s="22">
        <f>Constants!$H73*'Activity data'!AC15*Constants!$H91*EF!$H216*MMVolatEF*NtoN2O*kgtoGg</f>
        <v>0</v>
      </c>
      <c r="AD166" s="22">
        <f>Constants!$H73*'Activity data'!AD15*Constants!$H91*EF!$H216*MMVolatEF*NtoN2O*kgtoGg</f>
        <v>0</v>
      </c>
      <c r="AE166" s="22">
        <f>Constants!$H73*'Activity data'!AE15*Constants!$H91*EF!$H216*MMVolatEF*NtoN2O*kgtoGg</f>
        <v>0</v>
      </c>
      <c r="AF166" s="22">
        <f>Constants!$H73*'Activity data'!AF15*Constants!$H91*EF!$H216*MMVolatEF*NtoN2O*kgtoGg</f>
        <v>0</v>
      </c>
      <c r="AG166" s="22">
        <f>Constants!$H73*'Activity data'!AG15*Constants!$H91*EF!$H216*MMVolatEF*NtoN2O*kgtoGg</f>
        <v>0</v>
      </c>
      <c r="AH166" s="22">
        <f>Constants!$H73*'Activity data'!AH15*Constants!$H91*EF!$H216*MMVolatEF*NtoN2O*kgtoGg</f>
        <v>0</v>
      </c>
      <c r="AI166" s="22">
        <f>Constants!$H73*'Activity data'!AI15*Constants!$H91*EF!$H216*MMVolatEF*NtoN2O*kgtoGg</f>
        <v>0</v>
      </c>
      <c r="AJ166" s="22">
        <f>Constants!$H73*'Activity data'!AJ15*Constants!$H91*EF!$H216*MMVolatEF*NtoN2O*kgtoGg</f>
        <v>0</v>
      </c>
      <c r="AK166" s="22">
        <f>Constants!$H73*'Activity data'!AK15*Constants!$H91*EF!$H216*MMVolatEF*NtoN2O*kgtoGg</f>
        <v>0</v>
      </c>
      <c r="AL166" s="22">
        <f>Constants!$H73*'Activity data'!AL15*Constants!$H91*EF!$H216*MMVolatEF*NtoN2O*kgtoGg</f>
        <v>0</v>
      </c>
      <c r="AM166" s="22">
        <f>Constants!$H73*'Activity data'!AM15*Constants!$H91*EF!$H216*MMVolatEF*NtoN2O*kgtoGg</f>
        <v>0</v>
      </c>
      <c r="AN166" s="22">
        <f>Constants!$H73*'Activity data'!AN15*Constants!$H91*EF!$H216*MMVolatEF*NtoN2O*kgtoGg</f>
        <v>0</v>
      </c>
      <c r="AO166" s="22">
        <f>Constants!$H73*'Activity data'!AO15*Constants!$H91*EF!$H216*MMVolatEF*NtoN2O*kgtoGg</f>
        <v>0</v>
      </c>
      <c r="AP166" s="22">
        <f>Constants!$H73*'Activity data'!AP15*Constants!$H91*EF!$H216*MMVolatEF*NtoN2O*kgtoGg</f>
        <v>0</v>
      </c>
      <c r="AQ166" s="22">
        <f>Constants!$H73*'Activity data'!AQ15*Constants!$H91*EF!$H216*MMVolatEF*NtoN2O*kgtoGg</f>
        <v>0</v>
      </c>
      <c r="AR166" s="22">
        <f>Constants!$H73*'Activity data'!AR15*Constants!$H91*EF!$H216*MMVolatEF*NtoN2O*kgtoGg</f>
        <v>0</v>
      </c>
      <c r="AS166" s="22">
        <f>Constants!$H73*'Activity data'!AS15*Constants!$H91*EF!$H216*MMVolatEF*NtoN2O*kgtoGg</f>
        <v>0</v>
      </c>
      <c r="AT166" s="22">
        <f>Constants!$H73*'Activity data'!AT15*Constants!$H91*EF!$H216*MMVolatEF*NtoN2O*kgtoGg</f>
        <v>0</v>
      </c>
      <c r="AU166" s="22">
        <f>Constants!$H73*'Activity data'!AU15*Constants!$H91*EF!$H216*MMVolatEF*NtoN2O*kgtoGg</f>
        <v>0</v>
      </c>
      <c r="AV166" s="22">
        <f>Constants!$H73*'Activity data'!AV15*Constants!$H91*EF!$H216*MMVolatEF*NtoN2O*kgtoGg</f>
        <v>0</v>
      </c>
      <c r="AW166" s="22">
        <f>Constants!$H73*'Activity data'!AW15*Constants!$H91*EF!$H216*MMVolatEF*NtoN2O*kgtoGg</f>
        <v>0</v>
      </c>
      <c r="AX166" s="22">
        <f>Constants!$H73*'Activity data'!AX15*Constants!$H91*EF!$H216*MMVolatEF*NtoN2O*kgtoGg</f>
        <v>0</v>
      </c>
      <c r="AY166" s="22">
        <f>Constants!$H73*'Activity data'!AY15*Constants!$H91*EF!$H216*MMVolatEF*NtoN2O*kgtoGg</f>
        <v>0</v>
      </c>
      <c r="AZ166" s="22">
        <f>Constants!$H73*'Activity data'!AZ15*Constants!$H91*EF!$H216*MMVolatEF*NtoN2O*kgtoGg</f>
        <v>0</v>
      </c>
      <c r="BA166" s="22">
        <f>Constants!$H73*'Activity data'!BA15*Constants!$H91*EF!$H216*MMVolatEF*NtoN2O*kgtoGg</f>
        <v>0</v>
      </c>
      <c r="BB166" s="22">
        <f>Constants!$H73*'Activity data'!BB15*Constants!$H91*EF!$H216*MMVolatEF*NtoN2O*kgtoGg</f>
        <v>0</v>
      </c>
      <c r="BC166" s="22">
        <f>Constants!$H73*'Activity data'!BC15*Constants!$H91*EF!$H216*MMVolatEF*NtoN2O*kgtoGg</f>
        <v>0</v>
      </c>
      <c r="BD166" s="22">
        <f>Constants!$H73*'Activity data'!BD15*Constants!$H91*EF!$H216*MMVolatEF*NtoN2O*kgtoGg</f>
        <v>0</v>
      </c>
      <c r="BE166" s="22">
        <f>Constants!$H73*'Activity data'!BE15*Constants!$H91*EF!$H216*MMVolatEF*NtoN2O*kgtoGg</f>
        <v>0</v>
      </c>
      <c r="BF166" s="22">
        <f>Constants!$H73*'Activity data'!BF15*Constants!$H91*EF!$H216*MMVolatEF*NtoN2O*kgtoGg</f>
        <v>0</v>
      </c>
      <c r="BG166" s="22">
        <f>Constants!$H73*'Activity data'!BG15*Constants!$H91*EF!$H216*MMVolatEF*NtoN2O*kgtoGg</f>
        <v>0</v>
      </c>
      <c r="BH166" s="22">
        <f>Constants!$H73*'Activity data'!BH15*Constants!$H91*EF!$H216*MMVolatEF*NtoN2O*kgtoGg</f>
        <v>0</v>
      </c>
      <c r="BI166" s="22">
        <f>Constants!$H73*'Activity data'!BI15*Constants!$H91*EF!$H216*MMVolatEF*NtoN2O*kgtoGg</f>
        <v>0</v>
      </c>
      <c r="BJ166" s="22">
        <f>Constants!$H73*'Activity data'!BJ15*Constants!$H91*EF!$H216*MMVolatEF*NtoN2O*kgtoGg</f>
        <v>0</v>
      </c>
      <c r="BK166" s="22">
        <f>Constants!$H73*'Activity data'!BK15*Constants!$H91*EF!$H216*MMVolatEF*NtoN2O*kgtoGg</f>
        <v>0</v>
      </c>
      <c r="BL166" s="22">
        <f>Constants!$H73*'Activity data'!BL15*Constants!$H91*EF!$H216*MMVolatEF*NtoN2O*kgtoGg</f>
        <v>0</v>
      </c>
      <c r="BM166" s="22">
        <f>Constants!$H73*'Activity data'!BM15*Constants!$H91*EF!$H216*MMVolatEF*NtoN2O*kgtoGg</f>
        <v>0</v>
      </c>
      <c r="BN166" s="22">
        <f>Constants!$H73*'Activity data'!BN15*Constants!$H91*EF!$H216*MMVolatEF*NtoN2O*kgtoGg</f>
        <v>0</v>
      </c>
      <c r="BO166" s="22">
        <f>Constants!$H73*'Activity data'!BO15*Constants!$H91*EF!$H216*MMVolatEF*NtoN2O*kgtoGg</f>
        <v>0</v>
      </c>
      <c r="BP166" s="22">
        <f>Constants!$H73*'Activity data'!BP15*Constants!$H91*EF!$H216*MMVolatEF*NtoN2O*kgtoGg</f>
        <v>0</v>
      </c>
    </row>
    <row r="167" spans="1:68" x14ac:dyDescent="0.25">
      <c r="A167" t="str">
        <f t="shared" si="58"/>
        <v>3C Aggregated and non-CO2 emissions on land</v>
      </c>
      <c r="B167" t="str">
        <f t="shared" si="62"/>
        <v>3C6 Indirect N2O from manure management (N2O)</v>
      </c>
      <c r="C167" t="str">
        <f t="shared" si="63"/>
        <v>Volatilisation</v>
      </c>
      <c r="D167" t="str">
        <f>'Activity data'!D77</f>
        <v xml:space="preserve"> - Mules &amp; Asses</v>
      </c>
      <c r="E167" t="str">
        <f t="shared" si="61"/>
        <v>Volatilisation - Mules &amp; Asses</v>
      </c>
      <c r="F167" t="str">
        <f t="shared" si="47"/>
        <v>N2O</v>
      </c>
      <c r="G167" t="str">
        <f t="shared" si="48"/>
        <v>Gg N2O</v>
      </c>
      <c r="H167" s="22">
        <f>Constants!$H74*'Activity data'!H16*Constants!$H92*EF!$H217*MMVolatEF*NtoN2O*kgtoGg</f>
        <v>0</v>
      </c>
      <c r="I167" s="22">
        <f>Constants!$H74*'Activity data'!I16*Constants!$H92*EF!$H217*MMVolatEF*NtoN2O*kgtoGg</f>
        <v>0</v>
      </c>
      <c r="J167" s="22">
        <f>Constants!$H74*'Activity data'!J16*Constants!$H92*EF!$H217*MMVolatEF*NtoN2O*kgtoGg</f>
        <v>0</v>
      </c>
      <c r="K167" s="22">
        <f>Constants!$H74*'Activity data'!K16*Constants!$H92*EF!$H217*MMVolatEF*NtoN2O*kgtoGg</f>
        <v>0</v>
      </c>
      <c r="L167" s="22">
        <f>Constants!$H74*'Activity data'!L16*Constants!$H92*EF!$H217*MMVolatEF*NtoN2O*kgtoGg</f>
        <v>0</v>
      </c>
      <c r="M167" s="22">
        <f>Constants!$H74*'Activity data'!M16*Constants!$H92*EF!$H217*MMVolatEF*NtoN2O*kgtoGg</f>
        <v>0</v>
      </c>
      <c r="N167" s="22">
        <f>Constants!$H74*'Activity data'!N16*Constants!$H92*EF!$H217*MMVolatEF*NtoN2O*kgtoGg</f>
        <v>0</v>
      </c>
      <c r="O167" s="22">
        <f>Constants!$H74*'Activity data'!O16*Constants!$H92*EF!$H217*MMVolatEF*NtoN2O*kgtoGg</f>
        <v>0</v>
      </c>
      <c r="P167" s="22">
        <f>Constants!$H74*'Activity data'!P16*Constants!$H92*EF!$H217*MMVolatEF*NtoN2O*kgtoGg</f>
        <v>0</v>
      </c>
      <c r="Q167" s="22">
        <f>Constants!$H74*'Activity data'!Q16*Constants!$H92*EF!$H217*MMVolatEF*NtoN2O*kgtoGg</f>
        <v>0</v>
      </c>
      <c r="R167" s="22">
        <f>Constants!$H74*'Activity data'!R16*Constants!$H92*EF!$H217*MMVolatEF*NtoN2O*kgtoGg</f>
        <v>0</v>
      </c>
      <c r="S167" s="22">
        <f>Constants!$H74*'Activity data'!S16*Constants!$H92*EF!$H217*MMVolatEF*NtoN2O*kgtoGg</f>
        <v>0</v>
      </c>
      <c r="T167" s="22">
        <f>Constants!$H74*'Activity data'!T16*Constants!$H92*EF!$H217*MMVolatEF*NtoN2O*kgtoGg</f>
        <v>0</v>
      </c>
      <c r="U167" s="22">
        <f>Constants!$H74*'Activity data'!U16*Constants!$H92*EF!$H217*MMVolatEF*NtoN2O*kgtoGg</f>
        <v>0</v>
      </c>
      <c r="V167" s="22">
        <f>Constants!$H74*'Activity data'!V16*Constants!$H92*EF!$H217*MMVolatEF*NtoN2O*kgtoGg</f>
        <v>0</v>
      </c>
      <c r="W167" s="22">
        <f>Constants!$H74*'Activity data'!W16*Constants!$H92*EF!$H217*MMVolatEF*NtoN2O*kgtoGg</f>
        <v>0</v>
      </c>
      <c r="X167" s="22">
        <f>Constants!$H74*'Activity data'!X16*Constants!$H92*EF!$H217*MMVolatEF*NtoN2O*kgtoGg</f>
        <v>0</v>
      </c>
      <c r="Y167" s="22">
        <f>Constants!$H74*'Activity data'!Y16*Constants!$H92*EF!$H217*MMVolatEF*NtoN2O*kgtoGg</f>
        <v>0</v>
      </c>
      <c r="Z167" s="22">
        <f>Constants!$H74*'Activity data'!Z16*Constants!$H92*EF!$H217*MMVolatEF*NtoN2O*kgtoGg</f>
        <v>0</v>
      </c>
      <c r="AA167" s="22">
        <f>Constants!$H74*'Activity data'!AA16*Constants!$H92*EF!$H217*MMVolatEF*NtoN2O*kgtoGg</f>
        <v>0</v>
      </c>
      <c r="AB167" s="22">
        <f>Constants!$H74*'Activity data'!AB16*Constants!$H92*EF!$H217*MMVolatEF*NtoN2O*kgtoGg</f>
        <v>0</v>
      </c>
      <c r="AC167" s="22">
        <f>Constants!$H74*'Activity data'!AC16*Constants!$H92*EF!$H217*MMVolatEF*NtoN2O*kgtoGg</f>
        <v>0</v>
      </c>
      <c r="AD167" s="22">
        <f>Constants!$H74*'Activity data'!AD16*Constants!$H92*EF!$H217*MMVolatEF*NtoN2O*kgtoGg</f>
        <v>0</v>
      </c>
      <c r="AE167" s="22">
        <f>Constants!$H74*'Activity data'!AE16*Constants!$H92*EF!$H217*MMVolatEF*NtoN2O*kgtoGg</f>
        <v>0</v>
      </c>
      <c r="AF167" s="22">
        <f>Constants!$H74*'Activity data'!AF16*Constants!$H92*EF!$H217*MMVolatEF*NtoN2O*kgtoGg</f>
        <v>0</v>
      </c>
      <c r="AG167" s="22">
        <f>Constants!$H74*'Activity data'!AG16*Constants!$H92*EF!$H217*MMVolatEF*NtoN2O*kgtoGg</f>
        <v>0</v>
      </c>
      <c r="AH167" s="22">
        <f>Constants!$H74*'Activity data'!AH16*Constants!$H92*EF!$H217*MMVolatEF*NtoN2O*kgtoGg</f>
        <v>0</v>
      </c>
      <c r="AI167" s="22">
        <f>Constants!$H74*'Activity data'!AI16*Constants!$H92*EF!$H217*MMVolatEF*NtoN2O*kgtoGg</f>
        <v>0</v>
      </c>
      <c r="AJ167" s="22">
        <f>Constants!$H74*'Activity data'!AJ16*Constants!$H92*EF!$H217*MMVolatEF*NtoN2O*kgtoGg</f>
        <v>0</v>
      </c>
      <c r="AK167" s="22">
        <f>Constants!$H74*'Activity data'!AK16*Constants!$H92*EF!$H217*MMVolatEF*NtoN2O*kgtoGg</f>
        <v>0</v>
      </c>
      <c r="AL167" s="22">
        <f>Constants!$H74*'Activity data'!AL16*Constants!$H92*EF!$H217*MMVolatEF*NtoN2O*kgtoGg</f>
        <v>0</v>
      </c>
      <c r="AM167" s="22">
        <f>Constants!$H74*'Activity data'!AM16*Constants!$H92*EF!$H217*MMVolatEF*NtoN2O*kgtoGg</f>
        <v>0</v>
      </c>
      <c r="AN167" s="22">
        <f>Constants!$H74*'Activity data'!AN16*Constants!$H92*EF!$H217*MMVolatEF*NtoN2O*kgtoGg</f>
        <v>0</v>
      </c>
      <c r="AO167" s="22">
        <f>Constants!$H74*'Activity data'!AO16*Constants!$H92*EF!$H217*MMVolatEF*NtoN2O*kgtoGg</f>
        <v>0</v>
      </c>
      <c r="AP167" s="22">
        <f>Constants!$H74*'Activity data'!AP16*Constants!$H92*EF!$H217*MMVolatEF*NtoN2O*kgtoGg</f>
        <v>0</v>
      </c>
      <c r="AQ167" s="22">
        <f>Constants!$H74*'Activity data'!AQ16*Constants!$H92*EF!$H217*MMVolatEF*NtoN2O*kgtoGg</f>
        <v>0</v>
      </c>
      <c r="AR167" s="22">
        <f>Constants!$H74*'Activity data'!AR16*Constants!$H92*EF!$H217*MMVolatEF*NtoN2O*kgtoGg</f>
        <v>0</v>
      </c>
      <c r="AS167" s="22">
        <f>Constants!$H74*'Activity data'!AS16*Constants!$H92*EF!$H217*MMVolatEF*NtoN2O*kgtoGg</f>
        <v>0</v>
      </c>
      <c r="AT167" s="22">
        <f>Constants!$H74*'Activity data'!AT16*Constants!$H92*EF!$H217*MMVolatEF*NtoN2O*kgtoGg</f>
        <v>0</v>
      </c>
      <c r="AU167" s="22">
        <f>Constants!$H74*'Activity data'!AU16*Constants!$H92*EF!$H217*MMVolatEF*NtoN2O*kgtoGg</f>
        <v>0</v>
      </c>
      <c r="AV167" s="22">
        <f>Constants!$H74*'Activity data'!AV16*Constants!$H92*EF!$H217*MMVolatEF*NtoN2O*kgtoGg</f>
        <v>0</v>
      </c>
      <c r="AW167" s="22">
        <f>Constants!$H74*'Activity data'!AW16*Constants!$H92*EF!$H217*MMVolatEF*NtoN2O*kgtoGg</f>
        <v>0</v>
      </c>
      <c r="AX167" s="22">
        <f>Constants!$H74*'Activity data'!AX16*Constants!$H92*EF!$H217*MMVolatEF*NtoN2O*kgtoGg</f>
        <v>0</v>
      </c>
      <c r="AY167" s="22">
        <f>Constants!$H74*'Activity data'!AY16*Constants!$H92*EF!$H217*MMVolatEF*NtoN2O*kgtoGg</f>
        <v>0</v>
      </c>
      <c r="AZ167" s="22">
        <f>Constants!$H74*'Activity data'!AZ16*Constants!$H92*EF!$H217*MMVolatEF*NtoN2O*kgtoGg</f>
        <v>0</v>
      </c>
      <c r="BA167" s="22">
        <f>Constants!$H74*'Activity data'!BA16*Constants!$H92*EF!$H217*MMVolatEF*NtoN2O*kgtoGg</f>
        <v>0</v>
      </c>
      <c r="BB167" s="22">
        <f>Constants!$H74*'Activity data'!BB16*Constants!$H92*EF!$H217*MMVolatEF*NtoN2O*kgtoGg</f>
        <v>0</v>
      </c>
      <c r="BC167" s="22">
        <f>Constants!$H74*'Activity data'!BC16*Constants!$H92*EF!$H217*MMVolatEF*NtoN2O*kgtoGg</f>
        <v>0</v>
      </c>
      <c r="BD167" s="22">
        <f>Constants!$H74*'Activity data'!BD16*Constants!$H92*EF!$H217*MMVolatEF*NtoN2O*kgtoGg</f>
        <v>0</v>
      </c>
      <c r="BE167" s="22">
        <f>Constants!$H74*'Activity data'!BE16*Constants!$H92*EF!$H217*MMVolatEF*NtoN2O*kgtoGg</f>
        <v>0</v>
      </c>
      <c r="BF167" s="22">
        <f>Constants!$H74*'Activity data'!BF16*Constants!$H92*EF!$H217*MMVolatEF*NtoN2O*kgtoGg</f>
        <v>0</v>
      </c>
      <c r="BG167" s="22">
        <f>Constants!$H74*'Activity data'!BG16*Constants!$H92*EF!$H217*MMVolatEF*NtoN2O*kgtoGg</f>
        <v>0</v>
      </c>
      <c r="BH167" s="22">
        <f>Constants!$H74*'Activity data'!BH16*Constants!$H92*EF!$H217*MMVolatEF*NtoN2O*kgtoGg</f>
        <v>0</v>
      </c>
      <c r="BI167" s="22">
        <f>Constants!$H74*'Activity data'!BI16*Constants!$H92*EF!$H217*MMVolatEF*NtoN2O*kgtoGg</f>
        <v>0</v>
      </c>
      <c r="BJ167" s="22">
        <f>Constants!$H74*'Activity data'!BJ16*Constants!$H92*EF!$H217*MMVolatEF*NtoN2O*kgtoGg</f>
        <v>0</v>
      </c>
      <c r="BK167" s="22">
        <f>Constants!$H74*'Activity data'!BK16*Constants!$H92*EF!$H217*MMVolatEF*NtoN2O*kgtoGg</f>
        <v>0</v>
      </c>
      <c r="BL167" s="22">
        <f>Constants!$H74*'Activity data'!BL16*Constants!$H92*EF!$H217*MMVolatEF*NtoN2O*kgtoGg</f>
        <v>0</v>
      </c>
      <c r="BM167" s="22">
        <f>Constants!$H74*'Activity data'!BM16*Constants!$H92*EF!$H217*MMVolatEF*NtoN2O*kgtoGg</f>
        <v>0</v>
      </c>
      <c r="BN167" s="22">
        <f>Constants!$H74*'Activity data'!BN16*Constants!$H92*EF!$H217*MMVolatEF*NtoN2O*kgtoGg</f>
        <v>0</v>
      </c>
      <c r="BO167" s="22">
        <f>Constants!$H74*'Activity data'!BO16*Constants!$H92*EF!$H217*MMVolatEF*NtoN2O*kgtoGg</f>
        <v>0</v>
      </c>
      <c r="BP167" s="22">
        <f>Constants!$H74*'Activity data'!BP16*Constants!$H92*EF!$H217*MMVolatEF*NtoN2O*kgtoGg</f>
        <v>0</v>
      </c>
    </row>
    <row r="168" spans="1:68" x14ac:dyDescent="0.25">
      <c r="A168" t="str">
        <f t="shared" si="58"/>
        <v>3C Aggregated and non-CO2 emissions on land</v>
      </c>
      <c r="B168" t="str">
        <f t="shared" si="62"/>
        <v>3C6 Indirect N2O from manure management (N2O)</v>
      </c>
      <c r="C168" t="str">
        <f t="shared" si="63"/>
        <v>Volatilisation</v>
      </c>
      <c r="D168" t="str">
        <f>'Activity data'!D78</f>
        <v xml:space="preserve"> - Commercial swine</v>
      </c>
      <c r="E168" t="str">
        <f t="shared" si="61"/>
        <v>Volatilisation - Commercial swine</v>
      </c>
      <c r="F168" t="str">
        <f t="shared" si="47"/>
        <v>N2O</v>
      </c>
      <c r="G168" t="str">
        <f t="shared" si="48"/>
        <v>Gg N2O</v>
      </c>
      <c r="H168" s="22">
        <f>Constants!$H75*'Activity data'!H17*Constants!$H93*EF!$H218*MMVolatEF*NtoN2O*kgtoGg</f>
        <v>0.12033024471222856</v>
      </c>
      <c r="I168" s="22">
        <f>Constants!$H75*'Activity data'!I17*Constants!$H93*EF!$H218*MMVolatEF*NtoN2O*kgtoGg</f>
        <v>0.13146316105371428</v>
      </c>
      <c r="J168" s="22">
        <f>Constants!$H75*'Activity data'!J17*Constants!$H93*EF!$H218*MMVolatEF*NtoN2O*kgtoGg</f>
        <v>0.13059463566537144</v>
      </c>
      <c r="K168" s="22">
        <f>Constants!$H75*'Activity data'!K17*Constants!$H93*EF!$H218*MMVolatEF*NtoN2O*kgtoGg</f>
        <v>0.13051567881188572</v>
      </c>
      <c r="L168" s="22">
        <f>Constants!$H75*'Activity data'!L17*Constants!$H93*EF!$H218*MMVolatEF*NtoN2O*kgtoGg</f>
        <v>0.12396225997257142</v>
      </c>
      <c r="M168" s="22">
        <f>Constants!$H75*'Activity data'!M17*Constants!$H93*EF!$H218*MMVolatEF*NtoN2O*kgtoGg</f>
        <v>0.12514661277485714</v>
      </c>
      <c r="N168" s="22">
        <f>Constants!$H75*'Activity data'!N17*Constants!$H93*EF!$H218*MMVolatEF*NtoN2O*kgtoGg</f>
        <v>0.13477934890011425</v>
      </c>
      <c r="O168" s="22">
        <f>Constants!$H75*'Activity data'!O17*Constants!$H93*EF!$H218*MMVolatEF*NtoN2O*kgtoGg</f>
        <v>0.1341476940722286</v>
      </c>
      <c r="P168" s="22">
        <f>Constants!$H75*'Activity data'!P17*Constants!$H93*EF!$H218*MMVolatEF*NtoN2O*kgtoGg</f>
        <v>0.13706909765120001</v>
      </c>
      <c r="Q168" s="22">
        <f>Constants!$H75*'Activity data'!Q17*Constants!$H93*EF!$H218*MMVolatEF*NtoN2O*kgtoGg</f>
        <v>0.14054319920457142</v>
      </c>
      <c r="R168" s="22">
        <f>Constants!$H75*'Activity data'!R17*Constants!$H93*EF!$H218*MMVolatEF*NtoN2O*kgtoGg</f>
        <v>0.13004193769097142</v>
      </c>
      <c r="S168" s="22">
        <f>Constants!$H75*'Activity data'!S17*Constants!$H93*EF!$H218*MMVolatEF*NtoN2O*kgtoGg</f>
        <v>0.13248960014902858</v>
      </c>
      <c r="T168" s="22">
        <f>Constants!$H75*'Activity data'!T17*Constants!$H93*EF!$H218*MMVolatEF*NtoN2O*kgtoGg</f>
        <v>0.13501621946057141</v>
      </c>
      <c r="U168" s="22">
        <f>Constants!$H75*'Activity data'!U17*Constants!$H93*EF!$H218*MMVolatEF*NtoN2O*kgtoGg</f>
        <v>0.13130524734674287</v>
      </c>
      <c r="V168" s="22">
        <f>Constants!$H75*'Activity data'!V17*Constants!$H93*EF!$H218*MMVolatEF*NtoN2O*kgtoGg</f>
        <v>0.13130524734674287</v>
      </c>
      <c r="W168" s="22">
        <f>Constants!$H75*'Activity data'!W17*Constants!$H93*EF!$H218*MMVolatEF*NtoN2O*kgtoGg</f>
        <v>0.13035776510491429</v>
      </c>
      <c r="X168" s="22">
        <f>Constants!$H75*'Activity data'!X17*Constants!$H93*EF!$H218*MMVolatEF*NtoN2O*kgtoGg</f>
        <v>0.12806801635382858</v>
      </c>
      <c r="Y168" s="22">
        <f>Constants!$H75*'Activity data'!Y17*Constants!$H93*EF!$H218*MMVolatEF*NtoN2O*kgtoGg</f>
        <v>0.13035776510491429</v>
      </c>
      <c r="Z168" s="22">
        <f>Constants!$H75*'Activity data'!Z17*Constants!$H93*EF!$H218*MMVolatEF*NtoN2O*kgtoGg</f>
        <v>0.12751531837942856</v>
      </c>
      <c r="AA168" s="22">
        <f>Constants!$H75*'Activity data'!AA17*Constants!$H93*EF!$H218*MMVolatEF*NtoN2O*kgtoGg</f>
        <v>0.12735740467245713</v>
      </c>
      <c r="AB168" s="22">
        <f>Constants!$H75*'Activity data'!AB17*Constants!$H93*EF!$H218*MMVolatEF*NtoN2O*kgtoGg</f>
        <v>0.1258572244562286</v>
      </c>
      <c r="AC168" s="22">
        <f>Constants!$H75*'Activity data'!AC17*Constants!$H93*EF!$H218*MMVolatEF*NtoN2O*kgtoGg</f>
        <v>0.12506765592137145</v>
      </c>
      <c r="AD168" s="22">
        <f>Constants!$H75*'Activity data'!AD17*Constants!$H93*EF!$H218*MMVolatEF*NtoN2O*kgtoGg</f>
        <v>0.1313816124212778</v>
      </c>
      <c r="AE168" s="22">
        <f>Constants!$H75*'Activity data'!AE17*Constants!$H93*EF!$H218*MMVolatEF*NtoN2O*kgtoGg</f>
        <v>0.13137656523983987</v>
      </c>
      <c r="AF168" s="22">
        <f>Constants!$H75*'Activity data'!AF17*Constants!$H93*EF!$H218*MMVolatEF*NtoN2O*kgtoGg</f>
        <v>0.130141122814981</v>
      </c>
      <c r="AG168" s="22">
        <f>Constants!$H75*'Activity data'!AG17*Constants!$H93*EF!$H218*MMVolatEF*NtoN2O*kgtoGg</f>
        <v>0.12797094913750495</v>
      </c>
      <c r="AH168" s="22">
        <f>Constants!$H75*'Activity data'!AH17*Constants!$H93*EF!$H218*MMVolatEF*NtoN2O*kgtoGg</f>
        <v>0.12526198746718692</v>
      </c>
      <c r="AI168" s="22">
        <f>Constants!$H75*'Activity data'!AI17*Constants!$H93*EF!$H218*MMVolatEF*NtoN2O*kgtoGg</f>
        <v>0.12311307343748534</v>
      </c>
      <c r="AJ168" s="22">
        <f>Constants!$H75*'Activity data'!AJ17*Constants!$H93*EF!$H218*MMVolatEF*NtoN2O*kgtoGg</f>
        <v>0.12132477794749327</v>
      </c>
      <c r="AK168" s="22">
        <f>Constants!$H75*'Activity data'!AK17*Constants!$H93*EF!$H218*MMVolatEF*NtoN2O*kgtoGg</f>
        <v>0.11954753453830459</v>
      </c>
      <c r="AL168" s="22">
        <f>Constants!$H75*'Activity data'!AL17*Constants!$H93*EF!$H218*MMVolatEF*NtoN2O*kgtoGg</f>
        <v>0.10416973151598628</v>
      </c>
      <c r="AM168" s="22">
        <f>Constants!$H75*'Activity data'!AM17*Constants!$H93*EF!$H218*MMVolatEF*NtoN2O*kgtoGg</f>
        <v>0.10434264891703042</v>
      </c>
      <c r="AN168" s="22">
        <f>Constants!$H75*'Activity data'!AN17*Constants!$H93*EF!$H218*MMVolatEF*NtoN2O*kgtoGg</f>
        <v>0.10455754576560228</v>
      </c>
      <c r="AO168" s="22">
        <f>Constants!$H75*'Activity data'!AO17*Constants!$H93*EF!$H218*MMVolatEF*NtoN2O*kgtoGg</f>
        <v>0.10507889038871147</v>
      </c>
      <c r="AP168" s="22">
        <f>Constants!$H75*'Activity data'!AP17*Constants!$H93*EF!$H218*MMVolatEF*NtoN2O*kgtoGg</f>
        <v>0.10577441961201912</v>
      </c>
      <c r="AQ168" s="22">
        <f>Constants!$H75*'Activity data'!AQ17*Constants!$H93*EF!$H218*MMVolatEF*NtoN2O*kgtoGg</f>
        <v>0.10640168261868027</v>
      </c>
      <c r="AR168" s="22">
        <f>Constants!$H75*'Activity data'!AR17*Constants!$H93*EF!$H218*MMVolatEF*NtoN2O*kgtoGg</f>
        <v>0.10744859259403483</v>
      </c>
      <c r="AS168" s="22">
        <f>Constants!$H75*'Activity data'!AS17*Constants!$H93*EF!$H218*MMVolatEF*NtoN2O*kgtoGg</f>
        <v>0.10857288282675936</v>
      </c>
      <c r="AT168" s="22">
        <f>Constants!$H75*'Activity data'!AT17*Constants!$H93*EF!$H218*MMVolatEF*NtoN2O*kgtoGg</f>
        <v>0.10983290419070509</v>
      </c>
      <c r="AU168" s="22">
        <f>Constants!$H75*'Activity data'!AU17*Constants!$H93*EF!$H218*MMVolatEF*NtoN2O*kgtoGg</f>
        <v>0.11114979775082874</v>
      </c>
      <c r="AV168" s="22">
        <f>Constants!$H75*'Activity data'!AV17*Constants!$H93*EF!$H218*MMVolatEF*NtoN2O*kgtoGg</f>
        <v>0.11185380389322408</v>
      </c>
      <c r="AW168" s="22">
        <f>Constants!$H75*'Activity data'!AW17*Constants!$H93*EF!$H218*MMVolatEF*NtoN2O*kgtoGg</f>
        <v>0.1132890287828807</v>
      </c>
      <c r="AX168" s="22">
        <f>Constants!$H75*'Activity data'!AX17*Constants!$H93*EF!$H218*MMVolatEF*NtoN2O*kgtoGg</f>
        <v>0.11473634799968004</v>
      </c>
      <c r="AY168" s="22">
        <f>Constants!$H75*'Activity data'!AY17*Constants!$H93*EF!$H218*MMVolatEF*NtoN2O*kgtoGg</f>
        <v>0.11621698812365149</v>
      </c>
      <c r="AZ168" s="22">
        <f>Constants!$H75*'Activity data'!AZ17*Constants!$H93*EF!$H218*MMVolatEF*NtoN2O*kgtoGg</f>
        <v>0.1174760407518875</v>
      </c>
      <c r="BA168" s="22">
        <f>Constants!$H75*'Activity data'!BA17*Constants!$H93*EF!$H218*MMVolatEF*NtoN2O*kgtoGg</f>
        <v>0.11886918647566921</v>
      </c>
      <c r="BB168" s="22">
        <f>Constants!$H75*'Activity data'!BB17*Constants!$H93*EF!$H218*MMVolatEF*NtoN2O*kgtoGg</f>
        <v>0.12039288308179906</v>
      </c>
      <c r="BC168" s="22">
        <f>Constants!$H75*'Activity data'!BC17*Constants!$H93*EF!$H218*MMVolatEF*NtoN2O*kgtoGg</f>
        <v>0.12197429826404724</v>
      </c>
      <c r="BD168" s="22">
        <f>Constants!$H75*'Activity data'!BD17*Constants!$H93*EF!$H218*MMVolatEF*NtoN2O*kgtoGg</f>
        <v>0.12343768056269955</v>
      </c>
      <c r="BE168" s="22">
        <f>Constants!$H75*'Activity data'!BE17*Constants!$H93*EF!$H218*MMVolatEF*NtoN2O*kgtoGg</f>
        <v>0.12495576861892893</v>
      </c>
      <c r="BF168" s="22">
        <f>Constants!$H75*'Activity data'!BF17*Constants!$H93*EF!$H218*MMVolatEF*NtoN2O*kgtoGg</f>
        <v>0.12662494303078997</v>
      </c>
      <c r="BG168" s="22">
        <f>Constants!$H75*'Activity data'!BG17*Constants!$H93*EF!$H218*MMVolatEF*NtoN2O*kgtoGg</f>
        <v>0.12839007156388765</v>
      </c>
      <c r="BH168" s="22">
        <f>Constants!$H75*'Activity data'!BH17*Constants!$H93*EF!$H218*MMVolatEF*NtoN2O*kgtoGg</f>
        <v>0.13023029086948881</v>
      </c>
      <c r="BI168" s="22">
        <f>Constants!$H75*'Activity data'!BI17*Constants!$H93*EF!$H218*MMVolatEF*NtoN2O*kgtoGg</f>
        <v>0.13214645899070707</v>
      </c>
      <c r="BJ168" s="22">
        <f>Constants!$H75*'Activity data'!BJ17*Constants!$H93*EF!$H218*MMVolatEF*NtoN2O*kgtoGg</f>
        <v>0.13413388715931343</v>
      </c>
      <c r="BK168" s="22">
        <f>Constants!$H75*'Activity data'!BK17*Constants!$H93*EF!$H218*MMVolatEF*NtoN2O*kgtoGg</f>
        <v>0.13622434960606836</v>
      </c>
      <c r="BL168" s="22">
        <f>Constants!$H75*'Activity data'!BL17*Constants!$H93*EF!$H218*MMVolatEF*NtoN2O*kgtoGg</f>
        <v>0.13795904050556862</v>
      </c>
      <c r="BM168" s="22">
        <f>Constants!$H75*'Activity data'!BM17*Constants!$H93*EF!$H218*MMVolatEF*NtoN2O*kgtoGg</f>
        <v>0.13977815077011974</v>
      </c>
      <c r="BN168" s="22">
        <f>Constants!$H75*'Activity data'!BN17*Constants!$H93*EF!$H218*MMVolatEF*NtoN2O*kgtoGg</f>
        <v>0.14170859581565648</v>
      </c>
      <c r="BO168" s="22">
        <f>Constants!$H75*'Activity data'!BO17*Constants!$H93*EF!$H218*MMVolatEF*NtoN2O*kgtoGg</f>
        <v>0.14375996653033246</v>
      </c>
      <c r="BP168" s="22">
        <f>Constants!$H75*'Activity data'!BP17*Constants!$H93*EF!$H218*MMVolatEF*NtoN2O*kgtoGg</f>
        <v>0.1460244950845993</v>
      </c>
    </row>
    <row r="169" spans="1:68" x14ac:dyDescent="0.25">
      <c r="A169" t="str">
        <f t="shared" si="58"/>
        <v>3C Aggregated and non-CO2 emissions on land</v>
      </c>
      <c r="B169" t="str">
        <f t="shared" si="62"/>
        <v>3C6 Indirect N2O from manure management (N2O)</v>
      </c>
      <c r="C169" t="str">
        <f t="shared" si="63"/>
        <v>Volatilisation</v>
      </c>
      <c r="D169" t="str">
        <f>'Activity data'!D79</f>
        <v xml:space="preserve"> - Subsistence swine</v>
      </c>
      <c r="E169" t="str">
        <f t="shared" si="61"/>
        <v>Volatilisation - Subsistence swine</v>
      </c>
      <c r="F169" t="str">
        <f t="shared" si="47"/>
        <v>N2O</v>
      </c>
      <c r="G169" t="str">
        <f t="shared" si="48"/>
        <v>Gg N2O</v>
      </c>
      <c r="H169" s="22">
        <f>Constants!$H76*'Activity data'!H18*Constants!$H94*EF!$H219*MMVolatEF*NtoN2O*kgtoGg</f>
        <v>1.1213700344412847E-2</v>
      </c>
      <c r="I169" s="22">
        <f>Constants!$H76*'Activity data'!I18*Constants!$H94*EF!$H219*MMVolatEF*NtoN2O*kgtoGg</f>
        <v>1.2251188368403802E-2</v>
      </c>
      <c r="J169" s="22">
        <f>Constants!$H76*'Activity data'!J18*Constants!$H94*EF!$H219*MMVolatEF*NtoN2O*kgtoGg</f>
        <v>1.2170249586390321E-2</v>
      </c>
      <c r="K169" s="22">
        <f>Constants!$H76*'Activity data'!K18*Constants!$H94*EF!$H219*MMVolatEF*NtoN2O*kgtoGg</f>
        <v>1.2162891515298188E-2</v>
      </c>
      <c r="L169" s="22">
        <f>Constants!$H76*'Activity data'!L18*Constants!$H94*EF!$H219*MMVolatEF*NtoN2O*kgtoGg</f>
        <v>1.1552171614651031E-2</v>
      </c>
      <c r="M169" s="22">
        <f>Constants!$H76*'Activity data'!M18*Constants!$H94*EF!$H219*MMVolatEF*NtoN2O*kgtoGg</f>
        <v>1.1662542681033047E-2</v>
      </c>
      <c r="N169" s="22">
        <f>Constants!$H76*'Activity data'!N18*Constants!$H94*EF!$H219*MMVolatEF*NtoN2O*kgtoGg</f>
        <v>1.2560227354273448E-2</v>
      </c>
      <c r="O169" s="22">
        <f>Constants!$H76*'Activity data'!O18*Constants!$H94*EF!$H219*MMVolatEF*NtoN2O*kgtoGg</f>
        <v>1.2501362785536372E-2</v>
      </c>
      <c r="P169" s="22">
        <f>Constants!$H76*'Activity data'!P18*Constants!$H94*EF!$H219*MMVolatEF*NtoN2O*kgtoGg</f>
        <v>1.2773611415945345E-2</v>
      </c>
      <c r="Q169" s="22">
        <f>Constants!$H76*'Activity data'!Q18*Constants!$H94*EF!$H219*MMVolatEF*NtoN2O*kgtoGg</f>
        <v>1.3097366543999258E-2</v>
      </c>
      <c r="R169" s="22">
        <f>Constants!$H76*'Activity data'!R18*Constants!$H94*EF!$H219*MMVolatEF*NtoN2O*kgtoGg</f>
        <v>1.2118743088745379E-2</v>
      </c>
      <c r="S169" s="22">
        <f>Constants!$H76*'Activity data'!S18*Constants!$H94*EF!$H219*MMVolatEF*NtoN2O*kgtoGg</f>
        <v>1.2346843292601547E-2</v>
      </c>
      <c r="T169" s="22">
        <f>Constants!$H76*'Activity data'!T18*Constants!$H94*EF!$H219*MMVolatEF*NtoN2O*kgtoGg</f>
        <v>1.2582301567549848E-2</v>
      </c>
      <c r="U169" s="22">
        <f>Constants!$H76*'Activity data'!U18*Constants!$H94*EF!$H219*MMVolatEF*NtoN2O*kgtoGg</f>
        <v>1.2236472226219531E-2</v>
      </c>
      <c r="V169" s="22">
        <f>Constants!$H76*'Activity data'!V18*Constants!$H94*EF!$H219*MMVolatEF*NtoN2O*kgtoGg</f>
        <v>1.2236472226219531E-2</v>
      </c>
      <c r="W169" s="22">
        <f>Constants!$H76*'Activity data'!W18*Constants!$H94*EF!$H219*MMVolatEF*NtoN2O*kgtoGg</f>
        <v>1.2148175373113919E-2</v>
      </c>
      <c r="X169" s="22">
        <f>Constants!$H76*'Activity data'!X18*Constants!$H94*EF!$H219*MMVolatEF*NtoN2O*kgtoGg</f>
        <v>1.1934791311442018E-2</v>
      </c>
      <c r="Y169" s="22">
        <f>Constants!$H76*'Activity data'!Y18*Constants!$H94*EF!$H219*MMVolatEF*NtoN2O*kgtoGg</f>
        <v>1.2148175373113919E-2</v>
      </c>
      <c r="Z169" s="22">
        <f>Constants!$H76*'Activity data'!Z18*Constants!$H94*EF!$H219*MMVolatEF*NtoN2O*kgtoGg</f>
        <v>1.1883284813797081E-2</v>
      </c>
      <c r="AA169" s="22">
        <f>Constants!$H76*'Activity data'!AA18*Constants!$H94*EF!$H219*MMVolatEF*NtoN2O*kgtoGg</f>
        <v>1.186856867161281E-2</v>
      </c>
      <c r="AB169" s="22">
        <f>Constants!$H76*'Activity data'!AB18*Constants!$H94*EF!$H219*MMVolatEF*NtoN2O*kgtoGg</f>
        <v>1.1728765320862257E-2</v>
      </c>
      <c r="AC169" s="22">
        <f>Constants!$H76*'Activity data'!AC18*Constants!$H94*EF!$H219*MMVolatEF*NtoN2O*kgtoGg</f>
        <v>1.1655184609940911E-2</v>
      </c>
      <c r="AD169" s="22">
        <f>Constants!$H76*'Activity data'!AD18*Constants!$H94*EF!$H219*MMVolatEF*NtoN2O*kgtoGg</f>
        <v>1.2785490492695204E-2</v>
      </c>
      <c r="AE169" s="22">
        <f>Constants!$H76*'Activity data'!AE18*Constants!$H94*EF!$H219*MMVolatEF*NtoN2O*kgtoGg</f>
        <v>1.2784999322819145E-2</v>
      </c>
      <c r="AF169" s="22">
        <f>Constants!$H76*'Activity data'!AF18*Constants!$H94*EF!$H219*MMVolatEF*NtoN2O*kgtoGg</f>
        <v>1.2664771407464779E-2</v>
      </c>
      <c r="AG169" s="22">
        <f>Constants!$H76*'Activity data'!AG18*Constants!$H94*EF!$H219*MMVolatEF*NtoN2O*kgtoGg</f>
        <v>1.2453579487914448E-2</v>
      </c>
      <c r="AH169" s="22">
        <f>Constants!$H76*'Activity data'!AH18*Constants!$H94*EF!$H219*MMVolatEF*NtoN2O*kgtoGg</f>
        <v>1.2189955050349564E-2</v>
      </c>
      <c r="AI169" s="22">
        <f>Constants!$H76*'Activity data'!AI18*Constants!$H94*EF!$H219*MMVolatEF*NtoN2O*kgtoGg</f>
        <v>1.1980832027804599E-2</v>
      </c>
      <c r="AJ169" s="22">
        <f>Constants!$H76*'Activity data'!AJ18*Constants!$H94*EF!$H219*MMVolatEF*NtoN2O*kgtoGg</f>
        <v>1.1806802842410613E-2</v>
      </c>
      <c r="AK169" s="22">
        <f>Constants!$H76*'Activity data'!AK18*Constants!$H94*EF!$H219*MMVolatEF*NtoN2O*kgtoGg</f>
        <v>1.1633849197736763E-2</v>
      </c>
      <c r="AL169" s="22">
        <f>Constants!$H76*'Activity data'!AL18*Constants!$H94*EF!$H219*MMVolatEF*NtoN2O*kgtoGg</f>
        <v>1.0137347893505943E-2</v>
      </c>
      <c r="AM169" s="22">
        <f>Constants!$H76*'Activity data'!AM18*Constants!$H94*EF!$H219*MMVolatEF*NtoN2O*kgtoGg</f>
        <v>1.0154175467367512E-2</v>
      </c>
      <c r="AN169" s="22">
        <f>Constants!$H76*'Activity data'!AN18*Constants!$H94*EF!$H219*MMVolatEF*NtoN2O*kgtoGg</f>
        <v>1.0175088299564422E-2</v>
      </c>
      <c r="AO169" s="22">
        <f>Constants!$H76*'Activity data'!AO18*Constants!$H94*EF!$H219*MMVolatEF*NtoN2O*kgtoGg</f>
        <v>1.0225823304252953E-2</v>
      </c>
      <c r="AP169" s="22">
        <f>Constants!$H76*'Activity data'!AP18*Constants!$H94*EF!$H219*MMVolatEF*NtoN2O*kgtoGg</f>
        <v>1.0293509201146024E-2</v>
      </c>
      <c r="AQ169" s="22">
        <f>Constants!$H76*'Activity data'!AQ18*Constants!$H94*EF!$H219*MMVolatEF*NtoN2O*kgtoGg</f>
        <v>1.035455172498391E-2</v>
      </c>
      <c r="AR169" s="22">
        <f>Constants!$H76*'Activity data'!AR18*Constants!$H94*EF!$H219*MMVolatEF*NtoN2O*kgtoGg</f>
        <v>1.0456432477472188E-2</v>
      </c>
      <c r="AS169" s="22">
        <f>Constants!$H76*'Activity data'!AS18*Constants!$H94*EF!$H219*MMVolatEF*NtoN2O*kgtoGg</f>
        <v>1.0565843542054322E-2</v>
      </c>
      <c r="AT169" s="22">
        <f>Constants!$H76*'Activity data'!AT18*Constants!$H94*EF!$H219*MMVolatEF*NtoN2O*kgtoGg</f>
        <v>1.0688463373493627E-2</v>
      </c>
      <c r="AU169" s="22">
        <f>Constants!$H76*'Activity data'!AU18*Constants!$H94*EF!$H219*MMVolatEF*NtoN2O*kgtoGg</f>
        <v>1.081661776117814E-2</v>
      </c>
      <c r="AV169" s="22">
        <f>Constants!$H76*'Activity data'!AV18*Constants!$H94*EF!$H219*MMVolatEF*NtoN2O*kgtoGg</f>
        <v>1.0885128595186882E-2</v>
      </c>
      <c r="AW169" s="22">
        <f>Constants!$H76*'Activity data'!AW18*Constants!$H94*EF!$H219*MMVolatEF*NtoN2O*kgtoGg</f>
        <v>1.1024798476256266E-2</v>
      </c>
      <c r="AX169" s="22">
        <f>Constants!$H76*'Activity data'!AX18*Constants!$H94*EF!$H219*MMVolatEF*NtoN2O*kgtoGg</f>
        <v>1.116564532495338E-2</v>
      </c>
      <c r="AY169" s="22">
        <f>Constants!$H76*'Activity data'!AY18*Constants!$H94*EF!$H219*MMVolatEF*NtoN2O*kgtoGg</f>
        <v>1.1309734820273611E-2</v>
      </c>
      <c r="AZ169" s="22">
        <f>Constants!$H76*'Activity data'!AZ18*Constants!$H94*EF!$H219*MMVolatEF*NtoN2O*kgtoGg</f>
        <v>1.1432260378541972E-2</v>
      </c>
      <c r="BA169" s="22">
        <f>Constants!$H76*'Activity data'!BA18*Constants!$H94*EF!$H219*MMVolatEF*NtoN2O*kgtoGg</f>
        <v>1.1567835297117603E-2</v>
      </c>
      <c r="BB169" s="22">
        <f>Constants!$H76*'Activity data'!BB18*Constants!$H94*EF!$H219*MMVolatEF*NtoN2O*kgtoGg</f>
        <v>1.1716114863126877E-2</v>
      </c>
      <c r="BC169" s="22">
        <f>Constants!$H76*'Activity data'!BC18*Constants!$H94*EF!$H219*MMVolatEF*NtoN2O*kgtoGg</f>
        <v>1.1870011351417834E-2</v>
      </c>
      <c r="BD169" s="22">
        <f>Constants!$H76*'Activity data'!BD18*Constants!$H94*EF!$H219*MMVolatEF*NtoN2O*kgtoGg</f>
        <v>1.2012421389792177E-2</v>
      </c>
      <c r="BE169" s="22">
        <f>Constants!$H76*'Activity data'!BE18*Constants!$H94*EF!$H219*MMVolatEF*NtoN2O*kgtoGg</f>
        <v>1.2160155155973686E-2</v>
      </c>
      <c r="BF169" s="22">
        <f>Constants!$H76*'Activity data'!BF18*Constants!$H94*EF!$H219*MMVolatEF*NtoN2O*kgtoGg</f>
        <v>1.232259199306371E-2</v>
      </c>
      <c r="BG169" s="22">
        <f>Constants!$H76*'Activity data'!BG18*Constants!$H94*EF!$H219*MMVolatEF*NtoN2O*kgtoGg</f>
        <v>1.2494366670375021E-2</v>
      </c>
      <c r="BH169" s="22">
        <f>Constants!$H76*'Activity data'!BH18*Constants!$H94*EF!$H219*MMVolatEF*NtoN2O*kgtoGg</f>
        <v>1.2673448857011575E-2</v>
      </c>
      <c r="BI169" s="22">
        <f>Constants!$H76*'Activity data'!BI18*Constants!$H94*EF!$H219*MMVolatEF*NtoN2O*kgtoGg</f>
        <v>1.2859922054019418E-2</v>
      </c>
      <c r="BJ169" s="22">
        <f>Constants!$H76*'Activity data'!BJ18*Constants!$H94*EF!$H219*MMVolatEF*NtoN2O*kgtoGg</f>
        <v>1.3053329970746399E-2</v>
      </c>
      <c r="BK169" s="22">
        <f>Constants!$H76*'Activity data'!BK18*Constants!$H94*EF!$H219*MMVolatEF*NtoN2O*kgtoGg</f>
        <v>1.3256764737954306E-2</v>
      </c>
      <c r="BL169" s="22">
        <f>Constants!$H76*'Activity data'!BL18*Constants!$H94*EF!$H219*MMVolatEF*NtoN2O*kgtoGg</f>
        <v>1.3425577356360966E-2</v>
      </c>
      <c r="BM169" s="22">
        <f>Constants!$H76*'Activity data'!BM18*Constants!$H94*EF!$H219*MMVolatEF*NtoN2O*kgtoGg</f>
        <v>1.3602605302387421E-2</v>
      </c>
      <c r="BN169" s="22">
        <f>Constants!$H76*'Activity data'!BN18*Constants!$H94*EF!$H219*MMVolatEF*NtoN2O*kgtoGg</f>
        <v>1.3790467867943692E-2</v>
      </c>
      <c r="BO169" s="22">
        <f>Constants!$H76*'Activity data'!BO18*Constants!$H94*EF!$H219*MMVolatEF*NtoN2O*kgtoGg</f>
        <v>1.3990098396798697E-2</v>
      </c>
      <c r="BP169" s="22">
        <f>Constants!$H76*'Activity data'!BP18*Constants!$H94*EF!$H219*MMVolatEF*NtoN2O*kgtoGg</f>
        <v>1.4210472525015188E-2</v>
      </c>
    </row>
    <row r="170" spans="1:68" x14ac:dyDescent="0.25">
      <c r="A170" t="str">
        <f t="shared" si="58"/>
        <v>3C Aggregated and non-CO2 emissions on land</v>
      </c>
      <c r="B170" t="str">
        <f t="shared" si="62"/>
        <v>3C6 Indirect N2O from manure management (N2O)</v>
      </c>
      <c r="C170" t="str">
        <f t="shared" si="63"/>
        <v>Volatilisation</v>
      </c>
      <c r="D170" t="str">
        <f>'Activity data'!D80</f>
        <v xml:space="preserve"> - Commercial layers</v>
      </c>
      <c r="E170" t="str">
        <f t="shared" si="61"/>
        <v>Volatilisation - Commercial layers</v>
      </c>
      <c r="F170" t="str">
        <f t="shared" si="47"/>
        <v>N2O</v>
      </c>
      <c r="G170" t="str">
        <f t="shared" si="48"/>
        <v>Gg N2O</v>
      </c>
      <c r="H170" s="22">
        <f>Constants!$H77*'Activity data'!H19*Constants!$H95*EF!$H220*MMVolatEF*NtoN2O*kgtoGg</f>
        <v>3.9901922234143378E-2</v>
      </c>
      <c r="I170" s="22">
        <f>Constants!$H77*'Activity data'!I19*Constants!$H95*EF!$H220*MMVolatEF*NtoN2O*kgtoGg</f>
        <v>3.8764119662049575E-2</v>
      </c>
      <c r="J170" s="22">
        <f>Constants!$H77*'Activity data'!J19*Constants!$H95*EF!$H220*MMVolatEF*NtoN2O*kgtoGg</f>
        <v>3.6765071039765375E-2</v>
      </c>
      <c r="K170" s="22">
        <f>Constants!$H77*'Activity data'!K19*Constants!$H95*EF!$H220*MMVolatEF*NtoN2O*kgtoGg</f>
        <v>3.6187005010116235E-2</v>
      </c>
      <c r="L170" s="22">
        <f>Constants!$H77*'Activity data'!L19*Constants!$H95*EF!$H220*MMVolatEF*NtoN2O*kgtoGg</f>
        <v>3.4613000583397703E-2</v>
      </c>
      <c r="M170" s="22">
        <f>Constants!$H77*'Activity data'!M19*Constants!$H95*EF!$H220*MMVolatEF*NtoN2O*kgtoGg</f>
        <v>3.7767091699964048E-2</v>
      </c>
      <c r="N170" s="22">
        <f>Constants!$H77*'Activity data'!N19*Constants!$H95*EF!$H220*MMVolatEF*NtoN2O*kgtoGg</f>
        <v>3.9893574992700236E-2</v>
      </c>
      <c r="O170" s="22">
        <f>Constants!$H77*'Activity data'!O19*Constants!$H95*EF!$H220*MMVolatEF*NtoN2O*kgtoGg</f>
        <v>4.0024759793687768E-2</v>
      </c>
      <c r="P170" s="22">
        <f>Constants!$H77*'Activity data'!P19*Constants!$H95*EF!$H220*MMVolatEF*NtoN2O*kgtoGg</f>
        <v>4.5064502181051763E-2</v>
      </c>
      <c r="Q170" s="22">
        <f>Constants!$H77*'Activity data'!Q19*Constants!$H95*EF!$H220*MMVolatEF*NtoN2O*kgtoGg</f>
        <v>4.8313668520703602E-2</v>
      </c>
      <c r="R170" s="22">
        <f>Constants!$H77*'Activity data'!R19*Constants!$H95*EF!$H220*MMVolatEF*NtoN2O*kgtoGg</f>
        <v>4.7289979406797474E-2</v>
      </c>
      <c r="S170" s="22">
        <f>Constants!$H77*'Activity data'!S19*Constants!$H95*EF!$H220*MMVolatEF*NtoN2O*kgtoGg</f>
        <v>4.8551507364098793E-2</v>
      </c>
      <c r="T170" s="22">
        <f>Constants!$H77*'Activity data'!T19*Constants!$H95*EF!$H220*MMVolatEF*NtoN2O*kgtoGg</f>
        <v>4.8170447709819791E-2</v>
      </c>
      <c r="U170" s="22">
        <f>Constants!$H77*'Activity data'!U19*Constants!$H95*EF!$H220*MMVolatEF*NtoN2O*kgtoGg</f>
        <v>4.6247362930646907E-2</v>
      </c>
      <c r="V170" s="22">
        <f>Constants!$H77*'Activity data'!V19*Constants!$H95*EF!$H220*MMVolatEF*NtoN2O*kgtoGg</f>
        <v>4.7924340253760342E-2</v>
      </c>
      <c r="W170" s="22">
        <f>Constants!$H77*'Activity data'!W19*Constants!$H95*EF!$H220*MMVolatEF*NtoN2O*kgtoGg</f>
        <v>5.0814203111068781E-2</v>
      </c>
      <c r="X170" s="22">
        <f>Constants!$H77*'Activity data'!X19*Constants!$H95*EF!$H220*MMVolatEF*NtoN2O*kgtoGg</f>
        <v>5.6079445071930599E-2</v>
      </c>
      <c r="Y170" s="22">
        <f>Constants!$H77*'Activity data'!Y19*Constants!$H95*EF!$H220*MMVolatEF*NtoN2O*kgtoGg</f>
        <v>6.2061568790031385E-2</v>
      </c>
      <c r="Z170" s="22">
        <f>Constants!$H77*'Activity data'!Z19*Constants!$H95*EF!$H220*MMVolatEF*NtoN2O*kgtoGg</f>
        <v>6.2878912050452387E-2</v>
      </c>
      <c r="AA170" s="22">
        <f>Constants!$H77*'Activity data'!AA19*Constants!$H95*EF!$H220*MMVolatEF*NtoN2O*kgtoGg</f>
        <v>6.0560791025763831E-2</v>
      </c>
      <c r="AB170" s="22">
        <f>Constants!$H77*'Activity data'!AB19*Constants!$H95*EF!$H220*MMVolatEF*NtoN2O*kgtoGg</f>
        <v>6.291984308956225E-2</v>
      </c>
      <c r="AC170" s="22">
        <f>Constants!$H77*'Activity data'!AC19*Constants!$H95*EF!$H220*MMVolatEF*NtoN2O*kgtoGg</f>
        <v>6.5824054338964127E-2</v>
      </c>
      <c r="AD170" s="22">
        <f>Constants!$H77*'Activity data'!AD19*Constants!$H95*EF!$H220*MMVolatEF*NtoN2O*kgtoGg</f>
        <v>6.4682946182983994E-2</v>
      </c>
      <c r="AE170" s="22">
        <f>Constants!$H77*'Activity data'!AE19*Constants!$H95*EF!$H220*MMVolatEF*NtoN2O*kgtoGg</f>
        <v>6.6199003368987305E-2</v>
      </c>
      <c r="AF170" s="22">
        <f>Constants!$H77*'Activity data'!AF19*Constants!$H95*EF!$H220*MMVolatEF*NtoN2O*kgtoGg</f>
        <v>6.7370308385849162E-2</v>
      </c>
      <c r="AG170" s="22">
        <f>Constants!$H77*'Activity data'!AG19*Constants!$H95*EF!$H220*MMVolatEF*NtoN2O*kgtoGg</f>
        <v>6.8258382912275456E-2</v>
      </c>
      <c r="AH170" s="22">
        <f>Constants!$H77*'Activity data'!AH19*Constants!$H95*EF!$H220*MMVolatEF*NtoN2O*kgtoGg</f>
        <v>6.8964493620551084E-2</v>
      </c>
      <c r="AI170" s="22">
        <f>Constants!$H77*'Activity data'!AI19*Constants!$H95*EF!$H220*MMVolatEF*NtoN2O*kgtoGg</f>
        <v>6.9821735988397582E-2</v>
      </c>
      <c r="AJ170" s="22">
        <f>Constants!$H77*'Activity data'!AJ19*Constants!$H95*EF!$H220*MMVolatEF*NtoN2O*kgtoGg</f>
        <v>7.0768126348606741E-2</v>
      </c>
      <c r="AK170" s="22">
        <f>Constants!$H77*'Activity data'!AK19*Constants!$H95*EF!$H220*MMVolatEF*NtoN2O*kgtoGg</f>
        <v>7.1700212441043992E-2</v>
      </c>
      <c r="AL170" s="22">
        <f>Constants!$H77*'Activity data'!AL19*Constants!$H95*EF!$H220*MMVolatEF*NtoN2O*kgtoGg</f>
        <v>6.8047432012750347E-2</v>
      </c>
      <c r="AM170" s="22">
        <f>Constants!$H77*'Activity data'!AM19*Constants!$H95*EF!$H220*MMVolatEF*NtoN2O*kgtoGg</f>
        <v>6.9406988100059283E-2</v>
      </c>
      <c r="AN170" s="22">
        <f>Constants!$H77*'Activity data'!AN19*Constants!$H95*EF!$H220*MMVolatEF*NtoN2O*kgtoGg</f>
        <v>7.0759465405197383E-2</v>
      </c>
      <c r="AO170" s="22">
        <f>Constants!$H77*'Activity data'!AO19*Constants!$H95*EF!$H220*MMVolatEF*NtoN2O*kgtoGg</f>
        <v>7.2200447862644512E-2</v>
      </c>
      <c r="AP170" s="22">
        <f>Constants!$H77*'Activity data'!AP19*Constants!$H95*EF!$H220*MMVolatEF*NtoN2O*kgtoGg</f>
        <v>7.3710686328145023E-2</v>
      </c>
      <c r="AQ170" s="22">
        <f>Constants!$H77*'Activity data'!AQ19*Constants!$H95*EF!$H220*MMVolatEF*NtoN2O*kgtoGg</f>
        <v>7.520368248938171E-2</v>
      </c>
      <c r="AR170" s="22">
        <f>Constants!$H77*'Activity data'!AR19*Constants!$H95*EF!$H220*MMVolatEF*NtoN2O*kgtoGg</f>
        <v>7.6865280735465169E-2</v>
      </c>
      <c r="AS170" s="22">
        <f>Constants!$H77*'Activity data'!AS19*Constants!$H95*EF!$H220*MMVolatEF*NtoN2O*kgtoGg</f>
        <v>7.8572012305033981E-2</v>
      </c>
      <c r="AT170" s="22">
        <f>Constants!$H77*'Activity data'!AT19*Constants!$H95*EF!$H220*MMVolatEF*NtoN2O*kgtoGg</f>
        <v>8.0349547339779795E-2</v>
      </c>
      <c r="AU170" s="22">
        <f>Constants!$H77*'Activity data'!AU19*Constants!$H95*EF!$H220*MMVolatEF*NtoN2O*kgtoGg</f>
        <v>8.2172353784871366E-2</v>
      </c>
      <c r="AV170" s="22">
        <f>Constants!$H77*'Activity data'!AV19*Constants!$H95*EF!$H220*MMVolatEF*NtoN2O*kgtoGg</f>
        <v>8.3763535309560794E-2</v>
      </c>
      <c r="AW170" s="22">
        <f>Constants!$H77*'Activity data'!AW19*Constants!$H95*EF!$H220*MMVolatEF*NtoN2O*kgtoGg</f>
        <v>8.5679298091906303E-2</v>
      </c>
      <c r="AX170" s="22">
        <f>Constants!$H77*'Activity data'!AX19*Constants!$H95*EF!$H220*MMVolatEF*NtoN2O*kgtoGg</f>
        <v>8.7627154079285105E-2</v>
      </c>
      <c r="AY170" s="22">
        <f>Constants!$H77*'Activity data'!AY19*Constants!$H95*EF!$H220*MMVolatEF*NtoN2O*kgtoGg</f>
        <v>8.9617507228743759E-2</v>
      </c>
      <c r="AZ170" s="22">
        <f>Constants!$H77*'Activity data'!AZ19*Constants!$H95*EF!$H220*MMVolatEF*NtoN2O*kgtoGg</f>
        <v>9.1537909347662844E-2</v>
      </c>
      <c r="BA170" s="22">
        <f>Constants!$H77*'Activity data'!BA19*Constants!$H95*EF!$H220*MMVolatEF*NtoN2O*kgtoGg</f>
        <v>9.354674706831681E-2</v>
      </c>
      <c r="BB170" s="22">
        <f>Constants!$H77*'Activity data'!BB19*Constants!$H95*EF!$H220*MMVolatEF*NtoN2O*kgtoGg</f>
        <v>9.5646719243379058E-2</v>
      </c>
      <c r="BC170" s="22">
        <f>Constants!$H77*'Activity data'!BC19*Constants!$H95*EF!$H220*MMVolatEF*NtoN2O*kgtoGg</f>
        <v>9.7807439830347565E-2</v>
      </c>
      <c r="BD170" s="22">
        <f>Constants!$H77*'Activity data'!BD19*Constants!$H95*EF!$H220*MMVolatEF*NtoN2O*kgtoGg</f>
        <v>9.9945910841778521E-2</v>
      </c>
      <c r="BE170" s="22">
        <f>Constants!$H77*'Activity data'!BE19*Constants!$H95*EF!$H220*MMVolatEF*NtoN2O*kgtoGg</f>
        <v>0.10214638982534069</v>
      </c>
      <c r="BF170" s="22">
        <f>Constants!$H77*'Activity data'!BF19*Constants!$H95*EF!$H220*MMVolatEF*NtoN2O*kgtoGg</f>
        <v>0.10446013664438281</v>
      </c>
      <c r="BG170" s="22">
        <f>Constants!$H77*'Activity data'!BG19*Constants!$H95*EF!$H220*MMVolatEF*NtoN2O*kgtoGg</f>
        <v>0.10686418052121179</v>
      </c>
      <c r="BH170" s="22">
        <f>Constants!$H77*'Activity data'!BH19*Constants!$H95*EF!$H220*MMVolatEF*NtoN2O*kgtoGg</f>
        <v>0.10935156696974013</v>
      </c>
      <c r="BI170" s="22">
        <f>Constants!$H77*'Activity data'!BI19*Constants!$H95*EF!$H220*MMVolatEF*NtoN2O*kgtoGg</f>
        <v>0.11192626733085667</v>
      </c>
      <c r="BJ170" s="22">
        <f>Constants!$H77*'Activity data'!BJ19*Constants!$H95*EF!$H220*MMVolatEF*NtoN2O*kgtoGg</f>
        <v>0.11458943470809044</v>
      </c>
      <c r="BK170" s="22">
        <f>Constants!$H77*'Activity data'!BK19*Constants!$H95*EF!$H220*MMVolatEF*NtoN2O*kgtoGg</f>
        <v>0.11736234795512206</v>
      </c>
      <c r="BL170" s="22">
        <f>Constants!$H77*'Activity data'!BL19*Constants!$H95*EF!$H220*MMVolatEF*NtoN2O*kgtoGg</f>
        <v>0.11999072488257723</v>
      </c>
      <c r="BM170" s="22">
        <f>Constants!$H77*'Activity data'!BM19*Constants!$H95*EF!$H220*MMVolatEF*NtoN2O*kgtoGg</f>
        <v>0.12271829950463395</v>
      </c>
      <c r="BN170" s="22">
        <f>Constants!$H77*'Activity data'!BN19*Constants!$H95*EF!$H220*MMVolatEF*NtoN2O*kgtoGg</f>
        <v>0.12556516172471444</v>
      </c>
      <c r="BO170" s="22">
        <f>Constants!$H77*'Activity data'!BO19*Constants!$H95*EF!$H220*MMVolatEF*NtoN2O*kgtoGg</f>
        <v>0.12854227759823461</v>
      </c>
      <c r="BP170" s="22">
        <f>Constants!$H77*'Activity data'!BP19*Constants!$H95*EF!$H220*MMVolatEF*NtoN2O*kgtoGg</f>
        <v>0.13171157824444696</v>
      </c>
    </row>
    <row r="171" spans="1:68" x14ac:dyDescent="0.25">
      <c r="A171" t="str">
        <f t="shared" si="58"/>
        <v>3C Aggregated and non-CO2 emissions on land</v>
      </c>
      <c r="B171" t="str">
        <f t="shared" si="62"/>
        <v>3C6 Indirect N2O from manure management (N2O)</v>
      </c>
      <c r="C171" t="str">
        <f t="shared" si="63"/>
        <v>Volatilisation</v>
      </c>
      <c r="D171" t="str">
        <f>'Activity data'!D81</f>
        <v xml:space="preserve"> - Commercial broilers</v>
      </c>
      <c r="E171" t="str">
        <f t="shared" si="61"/>
        <v>Volatilisation - Commercial broilers</v>
      </c>
      <c r="F171" t="str">
        <f t="shared" si="47"/>
        <v>N2O</v>
      </c>
      <c r="G171" t="str">
        <f t="shared" si="48"/>
        <v>Gg N2O</v>
      </c>
      <c r="H171" s="22">
        <f>Constants!$H78*'Activity data'!H20*Constants!$H96*EF!$H221*MMVolatEF*NtoN2O*kgtoGg</f>
        <v>0.13300481081505974</v>
      </c>
      <c r="I171" s="22">
        <f>Constants!$H78*'Activity data'!I20*Constants!$H96*EF!$H221*MMVolatEF*NtoN2O*kgtoGg</f>
        <v>0.12502452232752509</v>
      </c>
      <c r="J171" s="22">
        <f>Constants!$H78*'Activity data'!J20*Constants!$H96*EF!$H221*MMVolatEF*NtoN2O*kgtoGg</f>
        <v>0.11815711721981632</v>
      </c>
      <c r="K171" s="22">
        <f>Constants!$H78*'Activity data'!K20*Constants!$H96*EF!$H221*MMVolatEF*NtoN2O*kgtoGg</f>
        <v>0.13288475431749616</v>
      </c>
      <c r="L171" s="22">
        <f>Constants!$H78*'Activity data'!L20*Constants!$H96*EF!$H221*MMVolatEF*NtoN2O*kgtoGg</f>
        <v>0.13163846288812139</v>
      </c>
      <c r="M171" s="22">
        <f>Constants!$H78*'Activity data'!M20*Constants!$H96*EF!$H221*MMVolatEF*NtoN2O*kgtoGg</f>
        <v>0.15067946452756478</v>
      </c>
      <c r="N171" s="22">
        <f>Constants!$H78*'Activity data'!N20*Constants!$H96*EF!$H221*MMVolatEF*NtoN2O*kgtoGg</f>
        <v>0.17520137856774748</v>
      </c>
      <c r="O171" s="22">
        <f>Constants!$H78*'Activity data'!O20*Constants!$H96*EF!$H221*MMVolatEF*NtoN2O*kgtoGg</f>
        <v>0.17833497655174868</v>
      </c>
      <c r="P171" s="22">
        <f>Constants!$H78*'Activity data'!P20*Constants!$H96*EF!$H221*MMVolatEF*NtoN2O*kgtoGg</f>
        <v>0.19540750250200264</v>
      </c>
      <c r="Q171" s="22">
        <f>Constants!$H78*'Activity data'!Q20*Constants!$H96*EF!$H221*MMVolatEF*NtoN2O*kgtoGg</f>
        <v>0.20400324067875486</v>
      </c>
      <c r="R171" s="22">
        <f>Constants!$H78*'Activity data'!R20*Constants!$H96*EF!$H221*MMVolatEF*NtoN2O*kgtoGg</f>
        <v>0.2194924541960066</v>
      </c>
      <c r="S171" s="22">
        <f>Constants!$H78*'Activity data'!S20*Constants!$H96*EF!$H221*MMVolatEF*NtoN2O*kgtoGg</f>
        <v>0.21194302789750966</v>
      </c>
      <c r="T171" s="22">
        <f>Constants!$H78*'Activity data'!T20*Constants!$H96*EF!$H221*MMVolatEF*NtoN2O*kgtoGg</f>
        <v>0.23490162161460634</v>
      </c>
      <c r="U171" s="22">
        <f>Constants!$H78*'Activity data'!U20*Constants!$H96*EF!$H221*MMVolatEF*NtoN2O*kgtoGg</f>
        <v>0.22342690340629309</v>
      </c>
      <c r="V171" s="22">
        <f>Constants!$H78*'Activity data'!V20*Constants!$H96*EF!$H221*MMVolatEF*NtoN2O*kgtoGg</f>
        <v>0.22882062376153647</v>
      </c>
      <c r="W171" s="22">
        <f>Constants!$H78*'Activity data'!W20*Constants!$H96*EF!$H221*MMVolatEF*NtoN2O*kgtoGg</f>
        <v>0.25318423090083292</v>
      </c>
      <c r="X171" s="22">
        <f>Constants!$H78*'Activity data'!X20*Constants!$H96*EF!$H221*MMVolatEF*NtoN2O*kgtoGg</f>
        <v>0.27080419841374809</v>
      </c>
      <c r="Y171" s="22">
        <f>Constants!$H78*'Activity data'!Y20*Constants!$H96*EF!$H221*MMVolatEF*NtoN2O*kgtoGg</f>
        <v>0.28333542117093263</v>
      </c>
      <c r="Z171" s="22">
        <f>Constants!$H78*'Activity data'!Z20*Constants!$H96*EF!$H221*MMVolatEF*NtoN2O*kgtoGg</f>
        <v>0.30167528975381169</v>
      </c>
      <c r="AA171" s="22">
        <f>Constants!$H78*'Activity data'!AA20*Constants!$H96*EF!$H221*MMVolatEF*NtoN2O*kgtoGg</f>
        <v>0.28466366211683397</v>
      </c>
      <c r="AB171" s="22">
        <f>Constants!$H78*'Activity data'!AB20*Constants!$H96*EF!$H221*MMVolatEF*NtoN2O*kgtoGg</f>
        <v>0.29182318020337894</v>
      </c>
      <c r="AC171" s="22">
        <f>Constants!$H78*'Activity data'!AC20*Constants!$H96*EF!$H221*MMVolatEF*NtoN2O*kgtoGg</f>
        <v>0.30182167573697893</v>
      </c>
      <c r="AD171" s="22">
        <f>Constants!$H78*'Activity data'!AD20*Constants!$H96*EF!$H221*MMVolatEF*NtoN2O*kgtoGg</f>
        <v>0.31262673633660321</v>
      </c>
      <c r="AE171" s="22">
        <f>Constants!$H78*'Activity data'!AE20*Constants!$H96*EF!$H221*MMVolatEF*NtoN2O*kgtoGg</f>
        <v>0.31915330866863678</v>
      </c>
      <c r="AF171" s="22">
        <f>Constants!$H78*'Activity data'!AF20*Constants!$H96*EF!$H221*MMVolatEF*NtoN2O*kgtoGg</f>
        <v>0.32116682269071894</v>
      </c>
      <c r="AG171" s="22">
        <f>Constants!$H78*'Activity data'!AG20*Constants!$H96*EF!$H221*MMVolatEF*NtoN2O*kgtoGg</f>
        <v>0.3195526612588564</v>
      </c>
      <c r="AH171" s="22">
        <f>Constants!$H78*'Activity data'!AH20*Constants!$H96*EF!$H221*MMVolatEF*NtoN2O*kgtoGg</f>
        <v>0.31561898825255319</v>
      </c>
      <c r="AI171" s="22">
        <f>Constants!$H78*'Activity data'!AI20*Constants!$H96*EF!$H221*MMVolatEF*NtoN2O*kgtoGg</f>
        <v>0.31333845998966114</v>
      </c>
      <c r="AJ171" s="22">
        <f>Constants!$H78*'Activity data'!AJ20*Constants!$H96*EF!$H221*MMVolatEF*NtoN2O*kgtoGg</f>
        <v>0.31212365287060173</v>
      </c>
      <c r="AK171" s="22">
        <f>Constants!$H78*'Activity data'!AK20*Constants!$H96*EF!$H221*MMVolatEF*NtoN2O*kgtoGg</f>
        <v>0.31071346384036408</v>
      </c>
      <c r="AL171" s="22">
        <f>Constants!$H78*'Activity data'!AL20*Constants!$H96*EF!$H221*MMVolatEF*NtoN2O*kgtoGg</f>
        <v>0.25694225076739463</v>
      </c>
      <c r="AM171" s="22">
        <f>Constants!$H78*'Activity data'!AM20*Constants!$H96*EF!$H221*MMVolatEF*NtoN2O*kgtoGg</f>
        <v>0.26238812310986021</v>
      </c>
      <c r="AN171" s="22">
        <f>Constants!$H78*'Activity data'!AN20*Constants!$H96*EF!$H221*MMVolatEF*NtoN2O*kgtoGg</f>
        <v>0.26813506195383852</v>
      </c>
      <c r="AO171" s="22">
        <f>Constants!$H78*'Activity data'!AO20*Constants!$H96*EF!$H221*MMVolatEF*NtoN2O*kgtoGg</f>
        <v>0.27525385865138169</v>
      </c>
      <c r="AP171" s="22">
        <f>Constants!$H78*'Activity data'!AP20*Constants!$H96*EF!$H221*MMVolatEF*NtoN2O*kgtoGg</f>
        <v>0.28317560500520023</v>
      </c>
      <c r="AQ171" s="22">
        <f>Constants!$H78*'Activity data'!AQ20*Constants!$H96*EF!$H221*MMVolatEF*NtoN2O*kgtoGg</f>
        <v>0.2909422829620576</v>
      </c>
      <c r="AR171" s="22">
        <f>Constants!$H78*'Activity data'!AR20*Constants!$H96*EF!$H221*MMVolatEF*NtoN2O*kgtoGg</f>
        <v>0.30057482669948221</v>
      </c>
      <c r="AS171" s="22">
        <f>Constants!$H78*'Activity data'!AS20*Constants!$H96*EF!$H221*MMVolatEF*NtoN2O*kgtoGg</f>
        <v>0.31070924363216662</v>
      </c>
      <c r="AT171" s="22">
        <f>Constants!$H78*'Activity data'!AT20*Constants!$H96*EF!$H221*MMVolatEF*NtoN2O*kgtoGg</f>
        <v>0.32161384524841241</v>
      </c>
      <c r="AU171" s="22">
        <f>Constants!$H78*'Activity data'!AU20*Constants!$H96*EF!$H221*MMVolatEF*NtoN2O*kgtoGg</f>
        <v>0.33296714124342613</v>
      </c>
      <c r="AV171" s="22">
        <f>Constants!$H78*'Activity data'!AV20*Constants!$H96*EF!$H221*MMVolatEF*NtoN2O*kgtoGg</f>
        <v>0.34186012463456095</v>
      </c>
      <c r="AW171" s="22">
        <f>Constants!$H78*'Activity data'!AW20*Constants!$H96*EF!$H221*MMVolatEF*NtoN2O*kgtoGg</f>
        <v>0.35414408865977737</v>
      </c>
      <c r="AX171" s="22">
        <f>Constants!$H78*'Activity data'!AX20*Constants!$H96*EF!$H221*MMVolatEF*NtoN2O*kgtoGg</f>
        <v>0.36672709898316103</v>
      </c>
      <c r="AY171" s="22">
        <f>Constants!$H78*'Activity data'!AY20*Constants!$H96*EF!$H221*MMVolatEF*NtoN2O*kgtoGg</f>
        <v>0.37971522838566391</v>
      </c>
      <c r="AZ171" s="22">
        <f>Constants!$H78*'Activity data'!AZ20*Constants!$H96*EF!$H221*MMVolatEF*NtoN2O*kgtoGg</f>
        <v>0.39194744144114474</v>
      </c>
      <c r="BA171" s="22">
        <f>Constants!$H78*'Activity data'!BA20*Constants!$H96*EF!$H221*MMVolatEF*NtoN2O*kgtoGg</f>
        <v>0.40504826844833558</v>
      </c>
      <c r="BB171" s="22">
        <f>Constants!$H78*'Activity data'!BB20*Constants!$H96*EF!$H221*MMVolatEF*NtoN2O*kgtoGg</f>
        <v>0.4190324505010834</v>
      </c>
      <c r="BC171" s="22">
        <f>Constants!$H78*'Activity data'!BC20*Constants!$H96*EF!$H221*MMVolatEF*NtoN2O*kgtoGg</f>
        <v>0.43358385493240337</v>
      </c>
      <c r="BD171" s="22">
        <f>Constants!$H78*'Activity data'!BD20*Constants!$H96*EF!$H221*MMVolatEF*NtoN2O*kgtoGg</f>
        <v>0.44787189033743058</v>
      </c>
      <c r="BE171" s="22">
        <f>Constants!$H78*'Activity data'!BE20*Constants!$H96*EF!$H221*MMVolatEF*NtoN2O*kgtoGg</f>
        <v>0.4627261100923083</v>
      </c>
      <c r="BF171" s="22">
        <f>Constants!$H78*'Activity data'!BF20*Constants!$H96*EF!$H221*MMVolatEF*NtoN2O*kgtoGg</f>
        <v>0.47864343173050544</v>
      </c>
      <c r="BG171" s="22">
        <f>Constants!$H78*'Activity data'!BG20*Constants!$H96*EF!$H221*MMVolatEF*NtoN2O*kgtoGg</f>
        <v>0.49538487183608598</v>
      </c>
      <c r="BH171" s="22">
        <f>Constants!$H78*'Activity data'!BH20*Constants!$H96*EF!$H221*MMVolatEF*NtoN2O*kgtoGg</f>
        <v>0.51287266775553653</v>
      </c>
      <c r="BI171" s="22">
        <f>Constants!$H78*'Activity data'!BI20*Constants!$H96*EF!$H221*MMVolatEF*NtoN2O*kgtoGg</f>
        <v>0.53113636232748029</v>
      </c>
      <c r="BJ171" s="22">
        <f>Constants!$H78*'Activity data'!BJ20*Constants!$H96*EF!$H221*MMVolatEF*NtoN2O*kgtoGg</f>
        <v>0.55017744704943483</v>
      </c>
      <c r="BK171" s="22">
        <f>Constants!$H78*'Activity data'!BK20*Constants!$H96*EF!$H221*MMVolatEF*NtoN2O*kgtoGg</f>
        <v>0.5701898201634279</v>
      </c>
      <c r="BL171" s="22">
        <f>Constants!$H78*'Activity data'!BL20*Constants!$H96*EF!$H221*MMVolatEF*NtoN2O*kgtoGg</f>
        <v>0.58875090063795332</v>
      </c>
      <c r="BM171" s="22">
        <f>Constants!$H78*'Activity data'!BM20*Constants!$H96*EF!$H221*MMVolatEF*NtoN2O*kgtoGg</f>
        <v>0.60818646606588889</v>
      </c>
      <c r="BN171" s="22">
        <f>Constants!$H78*'Activity data'!BN20*Constants!$H96*EF!$H221*MMVolatEF*NtoN2O*kgtoGg</f>
        <v>0.62867453002161355</v>
      </c>
      <c r="BO171" s="22">
        <f>Constants!$H78*'Activity data'!BO20*Constants!$H96*EF!$H221*MMVolatEF*NtoN2O*kgtoGg</f>
        <v>0.65030592136858623</v>
      </c>
      <c r="BP171" s="22">
        <f>Constants!$H78*'Activity data'!BP20*Constants!$H96*EF!$H221*MMVolatEF*NtoN2O*kgtoGg</f>
        <v>0.67364111071282906</v>
      </c>
    </row>
    <row r="172" spans="1:68" x14ac:dyDescent="0.25">
      <c r="A172" t="str">
        <f t="shared" si="58"/>
        <v>3C Aggregated and non-CO2 emissions on land</v>
      </c>
      <c r="B172" t="str">
        <f>B171</f>
        <v>3C6 Indirect N2O from manure management (N2O)</v>
      </c>
      <c r="C172" t="str">
        <f>'IPCC Categories'!C81</f>
        <v>Leaching/runoff</v>
      </c>
      <c r="D172" t="str">
        <f>D156</f>
        <v xml:space="preserve"> - TMR</v>
      </c>
      <c r="E172" t="str">
        <f t="shared" ref="E172:E187" si="64">C172&amp;D172</f>
        <v>Leaching/runoff - TMR</v>
      </c>
      <c r="F172" t="str">
        <f t="shared" si="47"/>
        <v>N2O</v>
      </c>
      <c r="G172" t="str">
        <f t="shared" si="48"/>
        <v>Gg N2O</v>
      </c>
      <c r="H172" s="22">
        <f>Constants!$H63*'Activity data'!H5*Constants!$H81*FracLEACHMM*MMLeachEF*NtoN2O*kgtoGg</f>
        <v>7.3742305268764158E-2</v>
      </c>
      <c r="I172" s="22">
        <f>Constants!$H63*'Activity data'!I5*Constants!$H81*FracLEACHMM*MMLeachEF*NtoN2O*kgtoGg</f>
        <v>8.4896547684682147E-2</v>
      </c>
      <c r="J172" s="22">
        <f>Constants!$H63*'Activity data'!J5*Constants!$H81*FracLEACHMM*MMLeachEF*NtoN2O*kgtoGg</f>
        <v>7.3446498482406364E-2</v>
      </c>
      <c r="K172" s="22">
        <f>Constants!$H63*'Activity data'!K5*Constants!$H81*FracLEACHMM*MMLeachEF*NtoN2O*kgtoGg</f>
        <v>7.7896894964800331E-2</v>
      </c>
      <c r="L172" s="22">
        <f>Constants!$H63*'Activity data'!L5*Constants!$H81*FracLEACHMM*MMLeachEF*NtoN2O*kgtoGg</f>
        <v>7.2263271336975257E-2</v>
      </c>
      <c r="M172" s="22">
        <f>Constants!$H63*'Activity data'!M5*Constants!$H81*FracLEACHMM*MMLeachEF*NtoN2O*kgtoGg</f>
        <v>7.7305281392084785E-2</v>
      </c>
      <c r="N172" s="22">
        <f>Constants!$H63*'Activity data'!N5*Constants!$H81*FracLEACHMM*MMLeachEF*NtoN2O*kgtoGg</f>
        <v>7.7601088178442565E-2</v>
      </c>
      <c r="O172" s="22">
        <f>Constants!$H63*'Activity data'!O5*Constants!$H81*FracLEACHMM*MMLeachEF*NtoN2O*kgtoGg</f>
        <v>7.4812527574463092E-2</v>
      </c>
      <c r="P172" s="22">
        <f>Constants!$H63*'Activity data'!P5*Constants!$H81*FracLEACHMM*MMLeachEF*NtoN2O*kgtoGg</f>
        <v>7.3925107215389751E-2</v>
      </c>
      <c r="Q172" s="22">
        <f>Constants!$H63*'Activity data'!Q5*Constants!$H81*FracLEACHMM*MMLeachEF*NtoN2O*kgtoGg</f>
        <v>7.2615580543199124E-2</v>
      </c>
      <c r="R172" s="22">
        <f>Constants!$H63*'Activity data'!R5*Constants!$H81*FracLEACHMM*MMLeachEF*NtoN2O*kgtoGg</f>
        <v>9.3501533863112316E-2</v>
      </c>
      <c r="S172" s="22">
        <f>Constants!$H63*'Activity data'!S5*Constants!$H81*FracLEACHMM*MMLeachEF*NtoN2O*kgtoGg</f>
        <v>9.3205727076754535E-2</v>
      </c>
      <c r="T172" s="22">
        <f>Constants!$H63*'Activity data'!T5*Constants!$H81*FracLEACHMM*MMLeachEF*NtoN2O*kgtoGg</f>
        <v>8.127706914149542E-2</v>
      </c>
      <c r="U172" s="22">
        <f>Constants!$H63*'Activity data'!U5*Constants!$H81*FracLEACHMM*MMLeachEF*NtoN2O*kgtoGg</f>
        <v>7.3925107215389751E-2</v>
      </c>
      <c r="V172" s="22">
        <f>Constants!$H63*'Activity data'!V5*Constants!$H81*FracLEACHMM*MMLeachEF*NtoN2O*kgtoGg</f>
        <v>7.1375850977901931E-2</v>
      </c>
      <c r="W172" s="22">
        <f>Constants!$H63*'Activity data'!W5*Constants!$H81*FracLEACHMM*MMLeachEF*NtoN2O*kgtoGg</f>
        <v>7.6417861033011458E-2</v>
      </c>
      <c r="X172" s="22">
        <f>Constants!$H63*'Activity data'!X5*Constants!$H81*FracLEACHMM*MMLeachEF*NtoN2O*kgtoGg</f>
        <v>7.4756025154596978E-2</v>
      </c>
      <c r="Y172" s="22">
        <f>Constants!$H63*'Activity data'!Y5*Constants!$H81*FracLEACHMM*MMLeachEF*NtoN2O*kgtoGg</f>
        <v>7.4220914001747532E-2</v>
      </c>
      <c r="Z172" s="22">
        <f>Constants!$H63*'Activity data'!Z5*Constants!$H81*FracLEACHMM*MMLeachEF*NtoN2O*kgtoGg</f>
        <v>9.0895775205758408E-2</v>
      </c>
      <c r="AA172" s="22">
        <f>Constants!$H63*'Activity data'!AA5*Constants!$H81*FracLEACHMM*MMLeachEF*NtoN2O*kgtoGg</f>
        <v>9.3149224656888435E-2</v>
      </c>
      <c r="AB172" s="22">
        <f>Constants!$H63*'Activity data'!AB5*Constants!$H81*FracLEACHMM*MMLeachEF*NtoN2O*kgtoGg</f>
        <v>9.3149224656888435E-2</v>
      </c>
      <c r="AC172" s="22">
        <f>Constants!$H63*'Activity data'!AC5*Constants!$H81*FracLEACHMM*MMLeachEF*NtoN2O*kgtoGg</f>
        <v>8.9769050480193388E-2</v>
      </c>
      <c r="AD172" s="22">
        <f>Constants!$H63*'Activity data'!AD5*Constants!$H81*FracLEACHMM*MMLeachEF*NtoN2O*kgtoGg</f>
        <v>8.9305799880924741E-2</v>
      </c>
      <c r="AE172" s="22">
        <f>Constants!$H63*'Activity data'!AE5*Constants!$H81*FracLEACHMM*MMLeachEF*NtoN2O*kgtoGg</f>
        <v>8.9953234131834744E-2</v>
      </c>
      <c r="AF172" s="22">
        <f>Constants!$H63*'Activity data'!AF5*Constants!$H81*FracLEACHMM*MMLeachEF*NtoN2O*kgtoGg</f>
        <v>9.0367649124322297E-2</v>
      </c>
      <c r="AG172" s="22">
        <f>Constants!$H63*'Activity data'!AG5*Constants!$H81*FracLEACHMM*MMLeachEF*NtoN2O*kgtoGg</f>
        <v>9.0598824787539528E-2</v>
      </c>
      <c r="AH172" s="22">
        <f>Constants!$H63*'Activity data'!AH5*Constants!$H81*FracLEACHMM*MMLeachEF*NtoN2O*kgtoGg</f>
        <v>9.0725196126716603E-2</v>
      </c>
      <c r="AI172" s="22">
        <f>Constants!$H63*'Activity data'!AI5*Constants!$H81*FracLEACHMM*MMLeachEF*NtoN2O*kgtoGg</f>
        <v>9.09973179766249E-2</v>
      </c>
      <c r="AJ172" s="22">
        <f>Constants!$H63*'Activity data'!AJ5*Constants!$H81*FracLEACHMM*MMLeachEF*NtoN2O*kgtoGg</f>
        <v>9.1358151562526593E-2</v>
      </c>
      <c r="AK172" s="22">
        <f>Constants!$H63*'Activity data'!AK5*Constants!$H81*FracLEACHMM*MMLeachEF*NtoN2O*kgtoGg</f>
        <v>9.172837144512766E-2</v>
      </c>
      <c r="AL172" s="22">
        <f>Constants!$H63*'Activity data'!AL5*Constants!$H81*FracLEACHMM*MMLeachEF*NtoN2O*kgtoGg</f>
        <v>8.873733994723719E-2</v>
      </c>
      <c r="AM172" s="22">
        <f>Constants!$H63*'Activity data'!AM5*Constants!$H81*FracLEACHMM*MMLeachEF*NtoN2O*kgtoGg</f>
        <v>8.942891626333177E-2</v>
      </c>
      <c r="AN172" s="22">
        <f>Constants!$H63*'Activity data'!AN5*Constants!$H81*FracLEACHMM*MMLeachEF*NtoN2O*kgtoGg</f>
        <v>9.0110292983892074E-2</v>
      </c>
      <c r="AO172" s="22">
        <f>Constants!$H63*'Activity data'!AO5*Constants!$H81*FracLEACHMM*MMLeachEF*NtoN2O*kgtoGg</f>
        <v>9.084960812228958E-2</v>
      </c>
      <c r="AP172" s="22">
        <f>Constants!$H63*'Activity data'!AP5*Constants!$H81*FracLEACHMM*MMLeachEF*NtoN2O*kgtoGg</f>
        <v>9.1640959291493296E-2</v>
      </c>
      <c r="AQ172" s="22">
        <f>Constants!$H63*'Activity data'!AQ5*Constants!$H81*FracLEACHMM*MMLeachEF*NtoN2O*kgtoGg</f>
        <v>9.2420800752255269E-2</v>
      </c>
      <c r="AR172" s="22">
        <f>Constants!$H63*'Activity data'!AR5*Constants!$H81*FracLEACHMM*MMLeachEF*NtoN2O*kgtoGg</f>
        <v>9.3321244755552715E-2</v>
      </c>
      <c r="AS172" s="22">
        <f>Constants!$H63*'Activity data'!AS5*Constants!$H81*FracLEACHMM*MMLeachEF*NtoN2O*kgtoGg</f>
        <v>9.4252291908391864E-2</v>
      </c>
      <c r="AT172" s="22">
        <f>Constants!$H63*'Activity data'!AT5*Constants!$H81*FracLEACHMM*MMLeachEF*NtoN2O*kgtoGg</f>
        <v>9.5231146587377802E-2</v>
      </c>
      <c r="AU172" s="22">
        <f>Constants!$H63*'Activity data'!AU5*Constants!$H81*FracLEACHMM*MMLeachEF*NtoN2O*kgtoGg</f>
        <v>9.6239974408059786E-2</v>
      </c>
      <c r="AV172" s="22">
        <f>Constants!$H63*'Activity data'!AV5*Constants!$H81*FracLEACHMM*MMLeachEF*NtoN2O*kgtoGg</f>
        <v>9.7084144202312511E-2</v>
      </c>
      <c r="AW172" s="22">
        <f>Constants!$H63*'Activity data'!AW5*Constants!$H81*FracLEACHMM*MMLeachEF*NtoN2O*kgtoGg</f>
        <v>9.815319624014078E-2</v>
      </c>
      <c r="AX172" s="22">
        <f>Constants!$H63*'Activity data'!AX5*Constants!$H81*FracLEACHMM*MMLeachEF*NtoN2O*kgtoGg</f>
        <v>9.9240890398125753E-2</v>
      </c>
      <c r="AY172" s="22">
        <f>Constants!$H63*'Activity data'!AY5*Constants!$H81*FracLEACHMM*MMLeachEF*NtoN2O*kgtoGg</f>
        <v>0.1003539163064025</v>
      </c>
      <c r="AZ172" s="22">
        <f>Constants!$H63*'Activity data'!AZ5*Constants!$H81*FracLEACHMM*MMLeachEF*NtoN2O*kgtoGg</f>
        <v>0.10141466092801123</v>
      </c>
      <c r="BA172" s="22">
        <f>Constants!$H63*'Activity data'!BA5*Constants!$H81*FracLEACHMM*MMLeachEF*NtoN2O*kgtoGg</f>
        <v>0.10253213087513478</v>
      </c>
      <c r="BB172" s="22">
        <f>Constants!$H63*'Activity data'!BB5*Constants!$H81*FracLEACHMM*MMLeachEF*NtoN2O*kgtoGg</f>
        <v>0.10370729499645077</v>
      </c>
      <c r="BC172" s="22">
        <f>Constants!$H63*'Activity data'!BC5*Constants!$H81*FracLEACHMM*MMLeachEF*NtoN2O*kgtoGg</f>
        <v>0.10491863208419862</v>
      </c>
      <c r="BD172" s="22">
        <f>Constants!$H63*'Activity data'!BD5*Constants!$H81*FracLEACHMM*MMLeachEF*NtoN2O*kgtoGg</f>
        <v>0.10610931005988816</v>
      </c>
      <c r="BE172" s="22">
        <f>Constants!$H63*'Activity data'!BE5*Constants!$H81*FracLEACHMM*MMLeachEF*NtoN2O*kgtoGg</f>
        <v>0.10733668534650349</v>
      </c>
      <c r="BF172" s="22">
        <f>Constants!$H63*'Activity data'!BF5*Constants!$H81*FracLEACHMM*MMLeachEF*NtoN2O*kgtoGg</f>
        <v>0.10863472575538534</v>
      </c>
      <c r="BG172" s="22">
        <f>Constants!$H63*'Activity data'!BG5*Constants!$H81*FracLEACHMM*MMLeachEF*NtoN2O*kgtoGg</f>
        <v>0.10998716133467673</v>
      </c>
      <c r="BH172" s="22">
        <f>Constants!$H63*'Activity data'!BH5*Constants!$H81*FracLEACHMM*MMLeachEF*NtoN2O*kgtoGg</f>
        <v>0.11138867955279688</v>
      </c>
      <c r="BI172" s="22">
        <f>Constants!$H63*'Activity data'!BI5*Constants!$H81*FracLEACHMM*MMLeachEF*NtoN2O*kgtoGg</f>
        <v>0.11284133957221679</v>
      </c>
      <c r="BJ172" s="22">
        <f>Constants!$H63*'Activity data'!BJ5*Constants!$H81*FracLEACHMM*MMLeachEF*NtoN2O*kgtoGg</f>
        <v>0.11434533701307925</v>
      </c>
      <c r="BK172" s="22">
        <f>Constants!$H63*'Activity data'!BK5*Constants!$H81*FracLEACHMM*MMLeachEF*NtoN2O*kgtoGg</f>
        <v>0.11591418666946274</v>
      </c>
      <c r="BL172" s="22">
        <f>Constants!$H63*'Activity data'!BL5*Constants!$H81*FracLEACHMM*MMLeachEF*NtoN2O*kgtoGg</f>
        <v>0.11737948493173779</v>
      </c>
      <c r="BM172" s="22">
        <f>Constants!$H63*'Activity data'!BM5*Constants!$H81*FracLEACHMM*MMLeachEF*NtoN2O*kgtoGg</f>
        <v>0.11890242938836856</v>
      </c>
      <c r="BN172" s="22">
        <f>Constants!$H63*'Activity data'!BN5*Constants!$H81*FracLEACHMM*MMLeachEF*NtoN2O*kgtoGg</f>
        <v>0.12049560224020131</v>
      </c>
      <c r="BO172" s="22">
        <f>Constants!$H63*'Activity data'!BO5*Constants!$H81*FracLEACHMM*MMLeachEF*NtoN2O*kgtoGg</f>
        <v>0.12216543751253836</v>
      </c>
      <c r="BP172" s="22">
        <f>Constants!$H63*'Activity data'!BP5*Constants!$H81*FracLEACHMM*MMLeachEF*NtoN2O*kgtoGg</f>
        <v>0.12395156866597666</v>
      </c>
    </row>
    <row r="173" spans="1:68" x14ac:dyDescent="0.25">
      <c r="A173" t="str">
        <f t="shared" si="58"/>
        <v>3C Aggregated and non-CO2 emissions on land</v>
      </c>
      <c r="B173" t="str">
        <f t="shared" ref="B173:B184" si="65">B172</f>
        <v>3C6 Indirect N2O from manure management (N2O)</v>
      </c>
      <c r="C173" t="str">
        <f>C172</f>
        <v>Leaching/runoff</v>
      </c>
      <c r="D173" t="str">
        <f t="shared" ref="D173:D186" si="66">D157</f>
        <v xml:space="preserve"> - Pasture</v>
      </c>
      <c r="E173" t="str">
        <f t="shared" si="64"/>
        <v>Leaching/runoff - Pasture</v>
      </c>
      <c r="F173" t="str">
        <f t="shared" si="47"/>
        <v>N2O</v>
      </c>
      <c r="G173" t="str">
        <f t="shared" si="48"/>
        <v>Gg N2O</v>
      </c>
      <c r="H173" s="22">
        <f>Constants!$H64*'Activity data'!H6*Constants!$H82*FracLEACHMM*MMLeachEF*NtoN2O*kgtoGg</f>
        <v>2.2025932152541016E-2</v>
      </c>
      <c r="I173" s="22">
        <f>Constants!$H64*'Activity data'!I6*Constants!$H82*FracLEACHMM*MMLeachEF*NtoN2O*kgtoGg</f>
        <v>2.5357569070733093E-2</v>
      </c>
      <c r="J173" s="22">
        <f>Constants!$H64*'Activity data'!J6*Constants!$H82*FracLEACHMM*MMLeachEF*NtoN2O*kgtoGg</f>
        <v>2.1937578253339852E-2</v>
      </c>
      <c r="K173" s="22">
        <f>Constants!$H64*'Activity data'!K6*Constants!$H82*FracLEACHMM*MMLeachEF*NtoN2O*kgtoGg</f>
        <v>2.3266857703119107E-2</v>
      </c>
      <c r="L173" s="22">
        <f>Constants!$H64*'Activity data'!L6*Constants!$H82*FracLEACHMM*MMLeachEF*NtoN2O*kgtoGg</f>
        <v>2.1584162656535212E-2</v>
      </c>
      <c r="M173" s="22">
        <f>Constants!$H64*'Activity data'!M6*Constants!$H82*FracLEACHMM*MMLeachEF*NtoN2O*kgtoGg</f>
        <v>2.3090149904716788E-2</v>
      </c>
      <c r="N173" s="22">
        <f>Constants!$H64*'Activity data'!N6*Constants!$H82*FracLEACHMM*MMLeachEF*NtoN2O*kgtoGg</f>
        <v>2.3178503803917949E-2</v>
      </c>
      <c r="O173" s="22">
        <f>Constants!$H64*'Activity data'!O6*Constants!$H82*FracLEACHMM*MMLeachEF*NtoN2O*kgtoGg</f>
        <v>2.234559457436993E-2</v>
      </c>
      <c r="P173" s="22">
        <f>Constants!$H64*'Activity data'!P6*Constants!$H82*FracLEACHMM*MMLeachEF*NtoN2O*kgtoGg</f>
        <v>2.2080532876766451E-2</v>
      </c>
      <c r="Q173" s="22">
        <f>Constants!$H64*'Activity data'!Q6*Constants!$H82*FracLEACHMM*MMLeachEF*NtoN2O*kgtoGg</f>
        <v>2.1689393143224225E-2</v>
      </c>
      <c r="R173" s="22">
        <f>Constants!$H64*'Activity data'!R6*Constants!$H82*FracLEACHMM*MMLeachEF*NtoN2O*kgtoGg</f>
        <v>2.7927774071090448E-2</v>
      </c>
      <c r="S173" s="22">
        <f>Constants!$H64*'Activity data'!S6*Constants!$H82*FracLEACHMM*MMLeachEF*NtoN2O*kgtoGg</f>
        <v>2.7839420171889291E-2</v>
      </c>
      <c r="T173" s="22">
        <f>Constants!$H64*'Activity data'!T6*Constants!$H82*FracLEACHMM*MMLeachEF*NtoN2O*kgtoGg</f>
        <v>2.4276474731069451E-2</v>
      </c>
      <c r="U173" s="22">
        <f>Constants!$H64*'Activity data'!U6*Constants!$H82*FracLEACHMM*MMLeachEF*NtoN2O*kgtoGg</f>
        <v>2.2080532876766451E-2</v>
      </c>
      <c r="V173" s="22">
        <f>Constants!$H64*'Activity data'!V6*Constants!$H82*FracLEACHMM*MMLeachEF*NtoN2O*kgtoGg</f>
        <v>2.1319100958931726E-2</v>
      </c>
      <c r="W173" s="22">
        <f>Constants!$H64*'Activity data'!W6*Constants!$H82*FracLEACHMM*MMLeachEF*NtoN2O*kgtoGg</f>
        <v>2.2825088207113309E-2</v>
      </c>
      <c r="X173" s="22">
        <f>Constants!$H64*'Activity data'!X6*Constants!$H82*FracLEACHMM*MMLeachEF*NtoN2O*kgtoGg</f>
        <v>2.2328717986882064E-2</v>
      </c>
      <c r="Y173" s="22">
        <f>Constants!$H64*'Activity data'!Y6*Constants!$H82*FracLEACHMM*MMLeachEF*NtoN2O*kgtoGg</f>
        <v>2.2168886775967608E-2</v>
      </c>
      <c r="Z173" s="22">
        <f>Constants!$H64*'Activity data'!Z6*Constants!$H82*FracLEACHMM*MMLeachEF*NtoN2O*kgtoGg</f>
        <v>2.7149465565767861E-2</v>
      </c>
      <c r="AA173" s="22">
        <f>Constants!$H64*'Activity data'!AA6*Constants!$H82*FracLEACHMM*MMLeachEF*NtoN2O*kgtoGg</f>
        <v>2.7822543584401425E-2</v>
      </c>
      <c r="AB173" s="22">
        <f>Constants!$H64*'Activity data'!AB6*Constants!$H82*FracLEACHMM*MMLeachEF*NtoN2O*kgtoGg</f>
        <v>2.7822543584401425E-2</v>
      </c>
      <c r="AC173" s="22">
        <f>Constants!$H64*'Activity data'!AC6*Constants!$H82*FracLEACHMM*MMLeachEF*NtoN2O*kgtoGg</f>
        <v>2.681292655645108E-2</v>
      </c>
      <c r="AD173" s="22">
        <f>Constants!$H64*'Activity data'!AD6*Constants!$H82*FracLEACHMM*MMLeachEF*NtoN2O*kgtoGg</f>
        <v>2.6968085873538876E-2</v>
      </c>
      <c r="AE173" s="22">
        <f>Constants!$H64*'Activity data'!AE6*Constants!$H82*FracLEACHMM*MMLeachEF*NtoN2O*kgtoGg</f>
        <v>2.7163594591889655E-2</v>
      </c>
      <c r="AF173" s="22">
        <f>Constants!$H64*'Activity data'!AF6*Constants!$H82*FracLEACHMM*MMLeachEF*NtoN2O*kgtoGg</f>
        <v>2.7288737405901594E-2</v>
      </c>
      <c r="AG173" s="22">
        <f>Constants!$H64*'Activity data'!AG6*Constants!$H82*FracLEACHMM*MMLeachEF*NtoN2O*kgtoGg</f>
        <v>2.7358546591260528E-2</v>
      </c>
      <c r="AH173" s="22">
        <f>Constants!$H64*'Activity data'!AH6*Constants!$H82*FracLEACHMM*MMLeachEF*NtoN2O*kgtoGg</f>
        <v>2.739670752964779E-2</v>
      </c>
      <c r="AI173" s="22">
        <f>Constants!$H64*'Activity data'!AI6*Constants!$H82*FracLEACHMM*MMLeachEF*NtoN2O*kgtoGg</f>
        <v>2.7478881424581578E-2</v>
      </c>
      <c r="AJ173" s="22">
        <f>Constants!$H64*'Activity data'!AJ6*Constants!$H82*FracLEACHMM*MMLeachEF*NtoN2O*kgtoGg</f>
        <v>2.7587844013166291E-2</v>
      </c>
      <c r="AK173" s="22">
        <f>Constants!$H64*'Activity data'!AK6*Constants!$H82*FracLEACHMM*MMLeachEF*NtoN2O*kgtoGg</f>
        <v>2.7699641025223619E-2</v>
      </c>
      <c r="AL173" s="22">
        <f>Constants!$H64*'Activity data'!AL6*Constants!$H82*FracLEACHMM*MMLeachEF*NtoN2O*kgtoGg</f>
        <v>2.679642539540875E-2</v>
      </c>
      <c r="AM173" s="22">
        <f>Constants!$H64*'Activity data'!AM6*Constants!$H82*FracLEACHMM*MMLeachEF*NtoN2O*kgtoGg</f>
        <v>2.7005263897559924E-2</v>
      </c>
      <c r="AN173" s="22">
        <f>Constants!$H64*'Activity data'!AN6*Constants!$H82*FracLEACHMM*MMLeachEF*NtoN2O*kgtoGg</f>
        <v>2.7211022380623742E-2</v>
      </c>
      <c r="AO173" s="22">
        <f>Constants!$H64*'Activity data'!AO6*Constants!$H82*FracLEACHMM*MMLeachEF*NtoN2O*kgtoGg</f>
        <v>2.7434276795975217E-2</v>
      </c>
      <c r="AP173" s="22">
        <f>Constants!$H64*'Activity data'!AP6*Constants!$H82*FracLEACHMM*MMLeachEF*NtoN2O*kgtoGg</f>
        <v>2.7673244772474681E-2</v>
      </c>
      <c r="AQ173" s="22">
        <f>Constants!$H64*'Activity data'!AQ6*Constants!$H82*FracLEACHMM*MMLeachEF*NtoN2O*kgtoGg</f>
        <v>2.7908737109026353E-2</v>
      </c>
      <c r="AR173" s="22">
        <f>Constants!$H64*'Activity data'!AR6*Constants!$H82*FracLEACHMM*MMLeachEF*NtoN2O*kgtoGg</f>
        <v>2.8180648353734048E-2</v>
      </c>
      <c r="AS173" s="22">
        <f>Constants!$H64*'Activity data'!AS6*Constants!$H82*FracLEACHMM*MMLeachEF*NtoN2O*kgtoGg</f>
        <v>2.8461800973200623E-2</v>
      </c>
      <c r="AT173" s="22">
        <f>Constants!$H64*'Activity data'!AT6*Constants!$H82*FracLEACHMM*MMLeachEF*NtoN2O*kgtoGg</f>
        <v>2.8757390252685335E-2</v>
      </c>
      <c r="AU173" s="22">
        <f>Constants!$H64*'Activity data'!AU6*Constants!$H82*FracLEACHMM*MMLeachEF*NtoN2O*kgtoGg</f>
        <v>2.9062030660542856E-2</v>
      </c>
      <c r="AV173" s="22">
        <f>Constants!$H64*'Activity data'!AV6*Constants!$H82*FracLEACHMM*MMLeachEF*NtoN2O*kgtoGg</f>
        <v>2.9316948521797215E-2</v>
      </c>
      <c r="AW173" s="22">
        <f>Constants!$H64*'Activity data'!AW6*Constants!$H82*FracLEACHMM*MMLeachEF*NtoN2O*kgtoGg</f>
        <v>2.9639775115342933E-2</v>
      </c>
      <c r="AX173" s="22">
        <f>Constants!$H64*'Activity data'!AX6*Constants!$H82*FracLEACHMM*MMLeachEF*NtoN2O*kgtoGg</f>
        <v>2.9968231156224902E-2</v>
      </c>
      <c r="AY173" s="22">
        <f>Constants!$H64*'Activity data'!AY6*Constants!$H82*FracLEACHMM*MMLeachEF*NtoN2O*kgtoGg</f>
        <v>3.03043367430278E-2</v>
      </c>
      <c r="AZ173" s="22">
        <f>Constants!$H64*'Activity data'!AZ6*Constants!$H82*FracLEACHMM*MMLeachEF*NtoN2O*kgtoGg</f>
        <v>3.0624654707634587E-2</v>
      </c>
      <c r="BA173" s="22">
        <f>Constants!$H64*'Activity data'!BA6*Constants!$H82*FracLEACHMM*MMLeachEF*NtoN2O*kgtoGg</f>
        <v>3.0962102281423841E-2</v>
      </c>
      <c r="BB173" s="22">
        <f>Constants!$H64*'Activity data'!BB6*Constants!$H82*FracLEACHMM*MMLeachEF*NtoN2O*kgtoGg</f>
        <v>3.1316972032116489E-2</v>
      </c>
      <c r="BC173" s="22">
        <f>Constants!$H64*'Activity data'!BC6*Constants!$H82*FracLEACHMM*MMLeachEF*NtoN2O*kgtoGg</f>
        <v>3.1682765100962441E-2</v>
      </c>
      <c r="BD173" s="22">
        <f>Constants!$H64*'Activity data'!BD6*Constants!$H82*FracLEACHMM*MMLeachEF*NtoN2O*kgtoGg</f>
        <v>3.2042319642089021E-2</v>
      </c>
      <c r="BE173" s="22">
        <f>Constants!$H64*'Activity data'!BE6*Constants!$H82*FracLEACHMM*MMLeachEF*NtoN2O*kgtoGg</f>
        <v>3.2412955840103438E-2</v>
      </c>
      <c r="BF173" s="22">
        <f>Constants!$H64*'Activity data'!BF6*Constants!$H82*FracLEACHMM*MMLeachEF*NtoN2O*kgtoGg</f>
        <v>3.280493111226631E-2</v>
      </c>
      <c r="BG173" s="22">
        <f>Constants!$H64*'Activity data'!BG6*Constants!$H82*FracLEACHMM*MMLeachEF*NtoN2O*kgtoGg</f>
        <v>3.3213332345885964E-2</v>
      </c>
      <c r="BH173" s="22">
        <f>Constants!$H64*'Activity data'!BH6*Constants!$H82*FracLEACHMM*MMLeachEF*NtoN2O*kgtoGg</f>
        <v>3.3636555291204066E-2</v>
      </c>
      <c r="BI173" s="22">
        <f>Constants!$H64*'Activity data'!BI6*Constants!$H82*FracLEACHMM*MMLeachEF*NtoN2O*kgtoGg</f>
        <v>3.4075221763045838E-2</v>
      </c>
      <c r="BJ173" s="22">
        <f>Constants!$H64*'Activity data'!BJ6*Constants!$H82*FracLEACHMM*MMLeachEF*NtoN2O*kgtoGg</f>
        <v>3.4529390833731528E-2</v>
      </c>
      <c r="BK173" s="22">
        <f>Constants!$H64*'Activity data'!BK6*Constants!$H82*FracLEACHMM*MMLeachEF*NtoN2O*kgtoGg</f>
        <v>3.500314362820213E-2</v>
      </c>
      <c r="BL173" s="22">
        <f>Constants!$H64*'Activity data'!BL6*Constants!$H82*FracLEACHMM*MMLeachEF*NtoN2O*kgtoGg</f>
        <v>3.5445626528753604E-2</v>
      </c>
      <c r="BM173" s="22">
        <f>Constants!$H64*'Activity data'!BM6*Constants!$H82*FracLEACHMM*MMLeachEF*NtoN2O*kgtoGg</f>
        <v>3.5905517117515023E-2</v>
      </c>
      <c r="BN173" s="22">
        <f>Constants!$H64*'Activity data'!BN6*Constants!$H82*FracLEACHMM*MMLeachEF*NtoN2O*kgtoGg</f>
        <v>3.6386614899931218E-2</v>
      </c>
      <c r="BO173" s="22">
        <f>Constants!$H64*'Activity data'!BO6*Constants!$H82*FracLEACHMM*MMLeachEF*NtoN2O*kgtoGg</f>
        <v>3.6890862788412054E-2</v>
      </c>
      <c r="BP173" s="22">
        <f>Constants!$H64*'Activity data'!BP6*Constants!$H82*FracLEACHMM*MMLeachEF*NtoN2O*kgtoGg</f>
        <v>3.7430229082555909E-2</v>
      </c>
    </row>
    <row r="174" spans="1:68" x14ac:dyDescent="0.25">
      <c r="A174" t="str">
        <f t="shared" si="58"/>
        <v>3C Aggregated and non-CO2 emissions on land</v>
      </c>
      <c r="B174" t="str">
        <f t="shared" si="65"/>
        <v>3C6 Indirect N2O from manure management (N2O)</v>
      </c>
      <c r="C174" t="str">
        <f t="shared" ref="C174:C187" si="67">C173</f>
        <v>Leaching/runoff</v>
      </c>
      <c r="D174" t="str">
        <f t="shared" si="66"/>
        <v xml:space="preserve"> - Non-lactating</v>
      </c>
      <c r="E174" t="str">
        <f t="shared" si="64"/>
        <v>Leaching/runoff - Non-lactating</v>
      </c>
      <c r="F174" t="str">
        <f t="shared" si="47"/>
        <v>N2O</v>
      </c>
      <c r="G174" t="str">
        <f t="shared" si="48"/>
        <v>Gg N2O</v>
      </c>
      <c r="H174" s="22">
        <f>Constants!$H65*'Activity data'!H7*Constants!$H83*FracLEACHMM*MMLeachEF*NtoN2O*kgtoGg</f>
        <v>1.3979514898089494E-3</v>
      </c>
      <c r="I174" s="22">
        <f>Constants!$H65*'Activity data'!I7*Constants!$H83*FracLEACHMM*MMLeachEF*NtoN2O*kgtoGg</f>
        <v>1.5889950208478596E-3</v>
      </c>
      <c r="J174" s="22">
        <f>Constants!$H65*'Activity data'!J7*Constants!$H83*FracLEACHMM*MMLeachEF*NtoN2O*kgtoGg</f>
        <v>1.3744848308576839E-3</v>
      </c>
      <c r="K174" s="22">
        <f>Constants!$H65*'Activity data'!K7*Constants!$H83*FracLEACHMM*MMLeachEF*NtoN2O*kgtoGg</f>
        <v>1.4384418628230538E-3</v>
      </c>
      <c r="L174" s="22">
        <f>Constants!$H65*'Activity data'!L7*Constants!$H83*FracLEACHMM*MMLeachEF*NtoN2O*kgtoGg</f>
        <v>1.280618195052625E-3</v>
      </c>
      <c r="M174" s="22">
        <f>Constants!$H65*'Activity data'!M7*Constants!$H83*FracLEACHMM*MMLeachEF*NtoN2O*kgtoGg</f>
        <v>1.3915085449205237E-3</v>
      </c>
      <c r="N174" s="22">
        <f>Constants!$H65*'Activity data'!N7*Constants!$H83*FracLEACHMM*MMLeachEF*NtoN2O*kgtoGg</f>
        <v>1.4149752038717883E-3</v>
      </c>
      <c r="O174" s="22">
        <f>Constants!$H65*'Activity data'!O7*Constants!$H83*FracLEACHMM*MMLeachEF*NtoN2O*kgtoGg</f>
        <v>1.367214321112061E-3</v>
      </c>
      <c r="P174" s="22">
        <f>Constants!$H65*'Activity data'!P7*Constants!$H83*FracLEACHMM*MMLeachEF*NtoN2O*kgtoGg</f>
        <v>1.2968143442582665E-3</v>
      </c>
      <c r="Q174" s="22">
        <f>Constants!$H65*'Activity data'!Q7*Constants!$H83*FracLEACHMM*MMLeachEF*NtoN2O*kgtoGg</f>
        <v>1.3663867562548632E-3</v>
      </c>
      <c r="R174" s="22">
        <f>Constants!$H65*'Activity data'!R7*Constants!$H83*FracLEACHMM*MMLeachEF*NtoN2O*kgtoGg</f>
        <v>1.6934424258273329E-3</v>
      </c>
      <c r="S174" s="22">
        <f>Constants!$H65*'Activity data'!S7*Constants!$H83*FracLEACHMM*MMLeachEF*NtoN2O*kgtoGg</f>
        <v>1.669975766876068E-3</v>
      </c>
      <c r="T174" s="22">
        <f>Constants!$H65*'Activity data'!T7*Constants!$H83*FracLEACHMM*MMLeachEF*NtoN2O*kgtoGg</f>
        <v>1.5331360634853108E-3</v>
      </c>
      <c r="U174" s="22">
        <f>Constants!$H65*'Activity data'!U7*Constants!$H83*FracLEACHMM*MMLeachEF*NtoN2O*kgtoGg</f>
        <v>1.2968143442582665E-3</v>
      </c>
      <c r="V174" s="22">
        <f>Constants!$H65*'Activity data'!V7*Constants!$H83*FracLEACHMM*MMLeachEF*NtoN2O*kgtoGg</f>
        <v>1.21021821819883E-3</v>
      </c>
      <c r="W174" s="22">
        <f>Constants!$H65*'Activity data'!W7*Constants!$H83*FracLEACHMM*MMLeachEF*NtoN2O*kgtoGg</f>
        <v>1.3211085680667292E-3</v>
      </c>
      <c r="X174" s="22">
        <f>Constants!$H65*'Activity data'!X7*Constants!$H83*FracLEACHMM*MMLeachEF*NtoN2O*kgtoGg</f>
        <v>1.3049124188610874E-3</v>
      </c>
      <c r="Y174" s="22">
        <f>Constants!$H65*'Activity data'!Y7*Constants!$H83*FracLEACHMM*MMLeachEF*NtoN2O*kgtoGg</f>
        <v>1.3202810032095314E-3</v>
      </c>
      <c r="Z174" s="22">
        <f>Constants!$H65*'Activity data'!Z7*Constants!$H83*FracLEACHMM*MMLeachEF*NtoN2O*kgtoGg</f>
        <v>1.5445443975169234E-3</v>
      </c>
      <c r="AA174" s="22">
        <f>Constants!$H65*'Activity data'!AA7*Constants!$H83*FracLEACHMM*MMLeachEF*NtoN2O*kgtoGg</f>
        <v>1.6076738646250944E-3</v>
      </c>
      <c r="AB174" s="22">
        <f>Constants!$H65*'Activity data'!AB7*Constants!$H83*FracLEACHMM*MMLeachEF*NtoN2O*kgtoGg</f>
        <v>1.6076738646250944E-3</v>
      </c>
      <c r="AC174" s="22">
        <f>Constants!$H65*'Activity data'!AC7*Constants!$H83*FracLEACHMM*MMLeachEF*NtoN2O*kgtoGg</f>
        <v>1.5129796639628376E-3</v>
      </c>
      <c r="AD174" s="22">
        <f>Constants!$H65*'Activity data'!AD7*Constants!$H83*FracLEACHMM*MMLeachEF*NtoN2O*kgtoGg</f>
        <v>1.4499040261492279E-3</v>
      </c>
      <c r="AE174" s="22">
        <f>Constants!$H65*'Activity data'!AE7*Constants!$H83*FracLEACHMM*MMLeachEF*NtoN2O*kgtoGg</f>
        <v>1.4604152978506513E-3</v>
      </c>
      <c r="AF174" s="22">
        <f>Constants!$H65*'Activity data'!AF7*Constants!$H83*FracLEACHMM*MMLeachEF*NtoN2O*kgtoGg</f>
        <v>1.4671434383175125E-3</v>
      </c>
      <c r="AG174" s="22">
        <f>Constants!$H65*'Activity data'!AG7*Constants!$H83*FracLEACHMM*MMLeachEF*NtoN2O*kgtoGg</f>
        <v>1.4708966382809339E-3</v>
      </c>
      <c r="AH174" s="22">
        <f>Constants!$H65*'Activity data'!AH7*Constants!$H83*FracLEACHMM*MMLeachEF*NtoN2O*kgtoGg</f>
        <v>1.472948311450056E-3</v>
      </c>
      <c r="AI174" s="22">
        <f>Constants!$H65*'Activity data'!AI7*Constants!$H83*FracLEACHMM*MMLeachEF*NtoN2O*kgtoGg</f>
        <v>1.4773662839256546E-3</v>
      </c>
      <c r="AJ174" s="22">
        <f>Constants!$H65*'Activity data'!AJ7*Constants!$H83*FracLEACHMM*MMLeachEF*NtoN2O*kgtoGg</f>
        <v>1.483224515638111E-3</v>
      </c>
      <c r="AK174" s="22">
        <f>Constants!$H65*'Activity data'!AK7*Constants!$H83*FracLEACHMM*MMLeachEF*NtoN2O*kgtoGg</f>
        <v>1.489235136438322E-3</v>
      </c>
      <c r="AL174" s="22">
        <f>Constants!$H65*'Activity data'!AL7*Constants!$H83*FracLEACHMM*MMLeachEF*NtoN2O*kgtoGg</f>
        <v>1.4406749240342806E-3</v>
      </c>
      <c r="AM174" s="22">
        <f>Constants!$H65*'Activity data'!AM7*Constants!$H83*FracLEACHMM*MMLeachEF*NtoN2O*kgtoGg</f>
        <v>1.4519028542071466E-3</v>
      </c>
      <c r="AN174" s="22">
        <f>Constants!$H65*'Activity data'!AN7*Constants!$H83*FracLEACHMM*MMLeachEF*NtoN2O*kgtoGg</f>
        <v>1.4629651911637833E-3</v>
      </c>
      <c r="AO174" s="22">
        <f>Constants!$H65*'Activity data'!AO7*Constants!$H83*FracLEACHMM*MMLeachEF*NtoN2O*kgtoGg</f>
        <v>1.4749681741412033E-3</v>
      </c>
      <c r="AP174" s="22">
        <f>Constants!$H65*'Activity data'!AP7*Constants!$H83*FracLEACHMM*MMLeachEF*NtoN2O*kgtoGg</f>
        <v>1.4878159762756248E-3</v>
      </c>
      <c r="AQ174" s="22">
        <f>Constants!$H65*'Activity data'!AQ7*Constants!$H83*FracLEACHMM*MMLeachEF*NtoN2O*kgtoGg</f>
        <v>1.5004769151533289E-3</v>
      </c>
      <c r="AR174" s="22">
        <f>Constants!$H65*'Activity data'!AR7*Constants!$H83*FracLEACHMM*MMLeachEF*NtoN2O*kgtoGg</f>
        <v>1.5150958692127926E-3</v>
      </c>
      <c r="AS174" s="22">
        <f>Constants!$H65*'Activity data'!AS7*Constants!$H83*FracLEACHMM*MMLeachEF*NtoN2O*kgtoGg</f>
        <v>1.5302116737544484E-3</v>
      </c>
      <c r="AT174" s="22">
        <f>Constants!$H65*'Activity data'!AT7*Constants!$H83*FracLEACHMM*MMLeachEF*NtoN2O*kgtoGg</f>
        <v>1.5461036465263069E-3</v>
      </c>
      <c r="AU174" s="22">
        <f>Constants!$H65*'Activity data'!AU7*Constants!$H83*FracLEACHMM*MMLeachEF*NtoN2O*kgtoGg</f>
        <v>1.5624822414310993E-3</v>
      </c>
      <c r="AV174" s="22">
        <f>Constants!$H65*'Activity data'!AV7*Constants!$H83*FracLEACHMM*MMLeachEF*NtoN2O*kgtoGg</f>
        <v>1.5761875683535677E-3</v>
      </c>
      <c r="AW174" s="22">
        <f>Constants!$H65*'Activity data'!AW7*Constants!$H83*FracLEACHMM*MMLeachEF*NtoN2O*kgtoGg</f>
        <v>1.593543919854556E-3</v>
      </c>
      <c r="AX174" s="22">
        <f>Constants!$H65*'Activity data'!AX7*Constants!$H83*FracLEACHMM*MMLeachEF*NtoN2O*kgtoGg</f>
        <v>1.6112029312623729E-3</v>
      </c>
      <c r="AY174" s="22">
        <f>Constants!$H65*'Activity data'!AY7*Constants!$H83*FracLEACHMM*MMLeachEF*NtoN2O*kgtoGg</f>
        <v>1.629273210547375E-3</v>
      </c>
      <c r="AZ174" s="22">
        <f>Constants!$H65*'Activity data'!AZ7*Constants!$H83*FracLEACHMM*MMLeachEF*NtoN2O*kgtoGg</f>
        <v>1.6464946888795468E-3</v>
      </c>
      <c r="BA174" s="22">
        <f>Constants!$H65*'Activity data'!BA7*Constants!$H83*FracLEACHMM*MMLeachEF*NtoN2O*kgtoGg</f>
        <v>1.6646371183476835E-3</v>
      </c>
      <c r="BB174" s="22">
        <f>Constants!$H65*'Activity data'!BB7*Constants!$H83*FracLEACHMM*MMLeachEF*NtoN2O*kgtoGg</f>
        <v>1.6837162284743942E-3</v>
      </c>
      <c r="BC174" s="22">
        <f>Constants!$H65*'Activity data'!BC7*Constants!$H83*FracLEACHMM*MMLeachEF*NtoN2O*kgtoGg</f>
        <v>1.7033826165801082E-3</v>
      </c>
      <c r="BD174" s="22">
        <f>Constants!$H65*'Activity data'!BD7*Constants!$H83*FracLEACHMM*MMLeachEF*NtoN2O*kgtoGg</f>
        <v>1.722713598365181E-3</v>
      </c>
      <c r="BE174" s="22">
        <f>Constants!$H65*'Activity data'!BE7*Constants!$H83*FracLEACHMM*MMLeachEF*NtoN2O*kgtoGg</f>
        <v>1.7426403710051712E-3</v>
      </c>
      <c r="BF174" s="22">
        <f>Constants!$H65*'Activity data'!BF7*Constants!$H83*FracLEACHMM*MMLeachEF*NtoN2O*kgtoGg</f>
        <v>1.7637144111845499E-3</v>
      </c>
      <c r="BG174" s="22">
        <f>Constants!$H65*'Activity data'!BG7*Constants!$H83*FracLEACHMM*MMLeachEF*NtoN2O*kgtoGg</f>
        <v>1.7856715717960289E-3</v>
      </c>
      <c r="BH174" s="22">
        <f>Constants!$H65*'Activity data'!BH7*Constants!$H83*FracLEACHMM*MMLeachEF*NtoN2O*kgtoGg</f>
        <v>1.8084256024399885E-3</v>
      </c>
      <c r="BI174" s="22">
        <f>Constants!$H65*'Activity data'!BI7*Constants!$H83*FracLEACHMM*MMLeachEF*NtoN2O*kgtoGg</f>
        <v>1.8320099341809423E-3</v>
      </c>
      <c r="BJ174" s="22">
        <f>Constants!$H65*'Activity data'!BJ7*Constants!$H83*FracLEACHMM*MMLeachEF*NtoN2O*kgtoGg</f>
        <v>1.8564277429652784E-3</v>
      </c>
      <c r="BK174" s="22">
        <f>Constants!$H65*'Activity data'!BK7*Constants!$H83*FracLEACHMM*MMLeachEF*NtoN2O*kgtoGg</f>
        <v>1.8818984451620697E-3</v>
      </c>
      <c r="BL174" s="22">
        <f>Constants!$H65*'Activity data'!BL7*Constants!$H83*FracLEACHMM*MMLeachEF*NtoN2O*kgtoGg</f>
        <v>1.9056879622238374E-3</v>
      </c>
      <c r="BM174" s="22">
        <f>Constants!$H65*'Activity data'!BM7*Constants!$H83*FracLEACHMM*MMLeachEF*NtoN2O*kgtoGg</f>
        <v>1.9304133809784393E-3</v>
      </c>
      <c r="BN174" s="22">
        <f>Constants!$H65*'Activity data'!BN7*Constants!$H83*FracLEACHMM*MMLeachEF*NtoN2O*kgtoGg</f>
        <v>1.9562789768893872E-3</v>
      </c>
      <c r="BO174" s="22">
        <f>Constants!$H65*'Activity data'!BO7*Constants!$H83*FracLEACHMM*MMLeachEF*NtoN2O*kgtoGg</f>
        <v>1.983389208112842E-3</v>
      </c>
      <c r="BP174" s="22">
        <f>Constants!$H65*'Activity data'!BP7*Constants!$H83*FracLEACHMM*MMLeachEF*NtoN2O*kgtoGg</f>
        <v>2.0123875346946961E-3</v>
      </c>
    </row>
    <row r="175" spans="1:68" x14ac:dyDescent="0.25">
      <c r="A175" t="str">
        <f t="shared" si="58"/>
        <v>3C Aggregated and non-CO2 emissions on land</v>
      </c>
      <c r="B175" t="str">
        <f t="shared" si="65"/>
        <v>3C6 Indirect N2O from manure management (N2O)</v>
      </c>
      <c r="C175" t="str">
        <f t="shared" si="67"/>
        <v>Leaching/runoff</v>
      </c>
      <c r="D175" t="str">
        <f t="shared" si="66"/>
        <v xml:space="preserve"> - Commercial cattle</v>
      </c>
      <c r="E175" t="str">
        <f t="shared" si="64"/>
        <v>Leaching/runoff - Commercial cattle</v>
      </c>
      <c r="F175" t="str">
        <f t="shared" si="47"/>
        <v>N2O</v>
      </c>
      <c r="G175" t="str">
        <f t="shared" si="48"/>
        <v>Gg N2O</v>
      </c>
      <c r="H175" s="22">
        <f>Constants!$H66*'Activity data'!H8*Constants!$H84*FracLEACHMM*MMLeachEF*NtoN2O*kgtoGg</f>
        <v>3.4690652670041754E-2</v>
      </c>
      <c r="I175" s="22">
        <f>Constants!$H66*'Activity data'!I8*Constants!$H84*FracLEACHMM*MMLeachEF*NtoN2O*kgtoGg</f>
        <v>3.3193333041221122E-2</v>
      </c>
      <c r="J175" s="22">
        <f>Constants!$H66*'Activity data'!J8*Constants!$H84*FracLEACHMM*MMLeachEF*NtoN2O*kgtoGg</f>
        <v>3.3181272656772016E-2</v>
      </c>
      <c r="K175" s="22">
        <f>Constants!$H66*'Activity data'!K8*Constants!$H84*FracLEACHMM*MMLeachEF*NtoN2O*kgtoGg</f>
        <v>3.104225915494201E-2</v>
      </c>
      <c r="L175" s="22">
        <f>Constants!$H66*'Activity data'!L8*Constants!$H84*FracLEACHMM*MMLeachEF*NtoN2O*kgtoGg</f>
        <v>3.1978083922954904E-2</v>
      </c>
      <c r="M175" s="22">
        <f>Constants!$H66*'Activity data'!M8*Constants!$H84*FracLEACHMM*MMLeachEF*NtoN2O*kgtoGg</f>
        <v>3.2705167353371874E-2</v>
      </c>
      <c r="N175" s="22">
        <f>Constants!$H66*'Activity data'!N8*Constants!$H84*FracLEACHMM*MMLeachEF*NtoN2O*kgtoGg</f>
        <v>3.4061884272349123E-2</v>
      </c>
      <c r="O175" s="22">
        <f>Constants!$H66*'Activity data'!O8*Constants!$H84*FracLEACHMM*MMLeachEF*NtoN2O*kgtoGg</f>
        <v>3.5352192745309145E-2</v>
      </c>
      <c r="P175" s="22">
        <f>Constants!$H66*'Activity data'!P8*Constants!$H84*FracLEACHMM*MMLeachEF*NtoN2O*kgtoGg</f>
        <v>3.565838402476177E-2</v>
      </c>
      <c r="Q175" s="22">
        <f>Constants!$H66*'Activity data'!Q8*Constants!$H84*FracLEACHMM*MMLeachEF*NtoN2O*kgtoGg</f>
        <v>3.5081368416034292E-2</v>
      </c>
      <c r="R175" s="22">
        <f>Constants!$H66*'Activity data'!R8*Constants!$H84*FracLEACHMM*MMLeachEF*NtoN2O*kgtoGg</f>
        <v>3.2698246626430616E-2</v>
      </c>
      <c r="S175" s="22">
        <f>Constants!$H66*'Activity data'!S8*Constants!$H84*FracLEACHMM*MMLeachEF*NtoN2O*kgtoGg</f>
        <v>3.2868160650378141E-2</v>
      </c>
      <c r="T175" s="22">
        <f>Constants!$H66*'Activity data'!T8*Constants!$H84*FracLEACHMM*MMLeachEF*NtoN2O*kgtoGg</f>
        <v>3.0633427388426761E-2</v>
      </c>
      <c r="U175" s="22">
        <f>Constants!$H66*'Activity data'!U8*Constants!$H84*FracLEACHMM*MMLeachEF*NtoN2O*kgtoGg</f>
        <v>3.1434705082669871E-2</v>
      </c>
      <c r="V175" s="22">
        <f>Constants!$H66*'Activity data'!V8*Constants!$H84*FracLEACHMM*MMLeachEF*NtoN2O*kgtoGg</f>
        <v>3.1724510523335088E-2</v>
      </c>
      <c r="W175" s="22">
        <f>Constants!$H66*'Activity data'!W8*Constants!$H84*FracLEACHMM*MMLeachEF*NtoN2O*kgtoGg</f>
        <v>3.1993604670874635E-2</v>
      </c>
      <c r="X175" s="22">
        <f>Constants!$H66*'Activity data'!X8*Constants!$H84*FracLEACHMM*MMLeachEF*NtoN2O*kgtoGg</f>
        <v>3.1264791058722347E-2</v>
      </c>
      <c r="Y175" s="22">
        <f>Constants!$H66*'Activity data'!Y8*Constants!$H84*FracLEACHMM*MMLeachEF*NtoN2O*kgtoGg</f>
        <v>3.2180769624477204E-2</v>
      </c>
      <c r="Z175" s="22">
        <f>Constants!$H66*'Activity data'!Z8*Constants!$H84*FracLEACHMM*MMLeachEF*NtoN2O*kgtoGg</f>
        <v>3.1286531555542049E-2</v>
      </c>
      <c r="AA175" s="22">
        <f>Constants!$H66*'Activity data'!AA8*Constants!$H84*FracLEACHMM*MMLeachEF*NtoN2O*kgtoGg</f>
        <v>3.0761209366798613E-2</v>
      </c>
      <c r="AB175" s="22">
        <f>Constants!$H66*'Activity data'!AB8*Constants!$H84*FracLEACHMM*MMLeachEF*NtoN2O*kgtoGg</f>
        <v>3.0664507898168103E-2</v>
      </c>
      <c r="AC175" s="22">
        <f>Constants!$H66*'Activity data'!AC8*Constants!$H84*FracLEACHMM*MMLeachEF*NtoN2O*kgtoGg</f>
        <v>3.0554397945153043E-2</v>
      </c>
      <c r="AD175" s="22">
        <f>Constants!$H66*'Activity data'!AD8*Constants!$H84*FracLEACHMM*MMLeachEF*NtoN2O*kgtoGg</f>
        <v>3.046931922767486E-2</v>
      </c>
      <c r="AE175" s="22">
        <f>Constants!$H66*'Activity data'!AE8*Constants!$H84*FracLEACHMM*MMLeachEF*NtoN2O*kgtoGg</f>
        <v>3.0361391458348392E-2</v>
      </c>
      <c r="AF175" s="22">
        <f>Constants!$H66*'Activity data'!AF8*Constants!$H84*FracLEACHMM*MMLeachEF*NtoN2O*kgtoGg</f>
        <v>2.9964246698988721E-2</v>
      </c>
      <c r="AG175" s="22">
        <f>Constants!$H66*'Activity data'!AG8*Constants!$H84*FracLEACHMM*MMLeachEF*NtoN2O*kgtoGg</f>
        <v>2.9349967251818772E-2</v>
      </c>
      <c r="AH175" s="22">
        <f>Constants!$H66*'Activity data'!AH8*Constants!$H84*FracLEACHMM*MMLeachEF*NtoN2O*kgtoGg</f>
        <v>2.8611267097362635E-2</v>
      </c>
      <c r="AI175" s="22">
        <f>Constants!$H66*'Activity data'!AI8*Constants!$H84*FracLEACHMM*MMLeachEF*NtoN2O*kgtoGg</f>
        <v>2.7991924034036227E-2</v>
      </c>
      <c r="AJ175" s="22">
        <f>Constants!$H66*'Activity data'!AJ8*Constants!$H84*FracLEACHMM*MMLeachEF*NtoN2O*kgtoGg</f>
        <v>2.7444447888847538E-2</v>
      </c>
      <c r="AK175" s="22">
        <f>Constants!$H66*'Activity data'!AK8*Constants!$H84*FracLEACHMM*MMLeachEF*NtoN2O*kgtoGg</f>
        <v>2.6892996531856464E-2</v>
      </c>
      <c r="AL175" s="22">
        <f>Constants!$H66*'Activity data'!AL8*Constants!$H84*FracLEACHMM*MMLeachEF*NtoN2O*kgtoGg</f>
        <v>2.3443578339663609E-2</v>
      </c>
      <c r="AM175" s="22">
        <f>Constants!$H66*'Activity data'!AM8*Constants!$H84*FracLEACHMM*MMLeachEF*NtoN2O*kgtoGg</f>
        <v>2.3577588731954677E-2</v>
      </c>
      <c r="AN175" s="22">
        <f>Constants!$H66*'Activity data'!AN8*Constants!$H84*FracLEACHMM*MMLeachEF*NtoN2O*kgtoGg</f>
        <v>2.3711542038576928E-2</v>
      </c>
      <c r="AO175" s="22">
        <f>Constants!$H66*'Activity data'!AO8*Constants!$H84*FracLEACHMM*MMLeachEF*NtoN2O*kgtoGg</f>
        <v>2.3902384610666388E-2</v>
      </c>
      <c r="AP175" s="22">
        <f>Constants!$H66*'Activity data'!AP8*Constants!$H84*FracLEACHMM*MMLeachEF*NtoN2O*kgtoGg</f>
        <v>2.4125851673557106E-2</v>
      </c>
      <c r="AQ175" s="22">
        <f>Constants!$H66*'Activity data'!AQ8*Constants!$H84*FracLEACHMM*MMLeachEF*NtoN2O*kgtoGg</f>
        <v>2.4330269746245567E-2</v>
      </c>
      <c r="AR175" s="22">
        <f>Constants!$H66*'Activity data'!AR8*Constants!$H84*FracLEACHMM*MMLeachEF*NtoN2O*kgtoGg</f>
        <v>2.462061500429686E-2</v>
      </c>
      <c r="AS175" s="22">
        <f>Constants!$H66*'Activity data'!AS8*Constants!$H84*FracLEACHMM*MMLeachEF*NtoN2O*kgtoGg</f>
        <v>2.4923750932748026E-2</v>
      </c>
      <c r="AT175" s="22">
        <f>Constants!$H66*'Activity data'!AT8*Constants!$H84*FracLEACHMM*MMLeachEF*NtoN2O*kgtoGg</f>
        <v>2.525244693060975E-2</v>
      </c>
      <c r="AU175" s="22">
        <f>Constants!$H66*'Activity data'!AU8*Constants!$H84*FracLEACHMM*MMLeachEF*NtoN2O*kgtoGg</f>
        <v>2.5590294775387577E-2</v>
      </c>
      <c r="AV175" s="22">
        <f>Constants!$H66*'Activity data'!AV8*Constants!$H84*FracLEACHMM*MMLeachEF*NtoN2O*kgtoGg</f>
        <v>2.5792665197993017E-2</v>
      </c>
      <c r="AW175" s="22">
        <f>Constants!$H66*'Activity data'!AW8*Constants!$H84*FracLEACHMM*MMLeachEF*NtoN2O*kgtoGg</f>
        <v>2.5930279262914517E-2</v>
      </c>
      <c r="AX175" s="22">
        <f>Constants!$H66*'Activity data'!AX8*Constants!$H84*FracLEACHMM*MMLeachEF*NtoN2O*kgtoGg</f>
        <v>2.6057948739210364E-2</v>
      </c>
      <c r="AY175" s="22">
        <f>Constants!$H66*'Activity data'!AY8*Constants!$H84*FracLEACHMM*MMLeachEF*NtoN2O*kgtoGg</f>
        <v>2.6179987020980462E-2</v>
      </c>
      <c r="AZ175" s="22">
        <f>Constants!$H66*'Activity data'!AZ8*Constants!$H84*FracLEACHMM*MMLeachEF*NtoN2O*kgtoGg</f>
        <v>2.6242769876386639E-2</v>
      </c>
      <c r="BA175" s="22">
        <f>Constants!$H66*'Activity data'!BA8*Constants!$H84*FracLEACHMM*MMLeachEF*NtoN2O*kgtoGg</f>
        <v>2.6321244904176373E-2</v>
      </c>
      <c r="BB175" s="22">
        <f>Constants!$H66*'Activity data'!BB8*Constants!$H84*FracLEACHMM*MMLeachEF*NtoN2O*kgtoGg</f>
        <v>2.6413832176255359E-2</v>
      </c>
      <c r="BC175" s="22">
        <f>Constants!$H66*'Activity data'!BC8*Constants!$H84*FracLEACHMM*MMLeachEF*NtoN2O*kgtoGg</f>
        <v>2.6504779891507659E-2</v>
      </c>
      <c r="BD175" s="22">
        <f>Constants!$H66*'Activity data'!BD8*Constants!$H84*FracLEACHMM*MMLeachEF*NtoN2O*kgtoGg</f>
        <v>2.6558021392026586E-2</v>
      </c>
      <c r="BE175" s="22">
        <f>Constants!$H66*'Activity data'!BE8*Constants!$H84*FracLEACHMM*MMLeachEF*NtoN2O*kgtoGg</f>
        <v>2.6608742447813E-2</v>
      </c>
      <c r="BF175" s="22">
        <f>Constants!$H66*'Activity data'!BF8*Constants!$H84*FracLEACHMM*MMLeachEF*NtoN2O*kgtoGg</f>
        <v>2.6675526095193993E-2</v>
      </c>
      <c r="BG175" s="22">
        <f>Constants!$H66*'Activity data'!BG8*Constants!$H84*FracLEACHMM*MMLeachEF*NtoN2O*kgtoGg</f>
        <v>2.6882857659099677E-2</v>
      </c>
      <c r="BH175" s="22">
        <f>Constants!$H66*'Activity data'!BH8*Constants!$H84*FracLEACHMM*MMLeachEF*NtoN2O*kgtoGg</f>
        <v>2.7095775161483371E-2</v>
      </c>
      <c r="BI175" s="22">
        <f>Constants!$H66*'Activity data'!BI8*Constants!$H84*FracLEACHMM*MMLeachEF*NtoN2O*kgtoGg</f>
        <v>2.7314057168513053E-2</v>
      </c>
      <c r="BJ175" s="22">
        <f>Constants!$H66*'Activity data'!BJ8*Constants!$H84*FracLEACHMM*MMLeachEF*NtoN2O*kgtoGg</f>
        <v>2.7536384345105087E-2</v>
      </c>
      <c r="BK175" s="22">
        <f>Constants!$H66*'Activity data'!BK8*Constants!$H84*FracLEACHMM*MMLeachEF*NtoN2O*kgtoGg</f>
        <v>2.7768463100216256E-2</v>
      </c>
      <c r="BL175" s="22">
        <f>Constants!$H66*'Activity data'!BL8*Constants!$H84*FracLEACHMM*MMLeachEF*NtoN2O*kgtoGg</f>
        <v>2.7921838662171693E-2</v>
      </c>
      <c r="BM175" s="22">
        <f>Constants!$H66*'Activity data'!BM8*Constants!$H84*FracLEACHMM*MMLeachEF*NtoN2O*kgtoGg</f>
        <v>2.8081417281248792E-2</v>
      </c>
      <c r="BN175" s="22">
        <f>Constants!$H66*'Activity data'!BN8*Constants!$H84*FracLEACHMM*MMLeachEF*NtoN2O*kgtoGg</f>
        <v>2.8251789596058889E-2</v>
      </c>
      <c r="BO175" s="22">
        <f>Constants!$H66*'Activity data'!BO8*Constants!$H84*FracLEACHMM*MMLeachEF*NtoN2O*kgtoGg</f>
        <v>2.8434116749287537E-2</v>
      </c>
      <c r="BP175" s="22">
        <f>Constants!$H66*'Activity data'!BP8*Constants!$H84*FracLEACHMM*MMLeachEF*NtoN2O*kgtoGg</f>
        <v>2.8644894253792574E-2</v>
      </c>
    </row>
    <row r="176" spans="1:68" x14ac:dyDescent="0.25">
      <c r="A176" t="str">
        <f t="shared" si="58"/>
        <v>3C Aggregated and non-CO2 emissions on land</v>
      </c>
      <c r="B176" t="str">
        <f t="shared" si="65"/>
        <v>3C6 Indirect N2O from manure management (N2O)</v>
      </c>
      <c r="C176" t="str">
        <f t="shared" si="67"/>
        <v>Leaching/runoff</v>
      </c>
      <c r="D176" t="str">
        <f t="shared" si="66"/>
        <v xml:space="preserve"> - Subsistence cattle</v>
      </c>
      <c r="E176" t="str">
        <f t="shared" si="64"/>
        <v>Leaching/runoff - Subsistence cattle</v>
      </c>
      <c r="F176" t="str">
        <f t="shared" si="47"/>
        <v>N2O</v>
      </c>
      <c r="G176" t="str">
        <f t="shared" si="48"/>
        <v>Gg N2O</v>
      </c>
      <c r="H176" s="22">
        <f>Constants!$H67*'Activity data'!H9*Constants!$H85*FracLEACHMM*MMLeachEF*NtoN2O*kgtoGg</f>
        <v>3.4964529273561099E-2</v>
      </c>
      <c r="I176" s="22">
        <f>Constants!$H67*'Activity data'!I9*Constants!$H85*FracLEACHMM*MMLeachEF*NtoN2O*kgtoGg</f>
        <v>3.7097441734693364E-2</v>
      </c>
      <c r="J176" s="22">
        <f>Constants!$H67*'Activity data'!J9*Constants!$H85*FracLEACHMM*MMLeachEF*NtoN2O*kgtoGg</f>
        <v>3.8849476970623444E-2</v>
      </c>
      <c r="K176" s="22">
        <f>Constants!$H67*'Activity data'!K9*Constants!$H85*FracLEACHMM*MMLeachEF*NtoN2O*kgtoGg</f>
        <v>3.8392424300380798E-2</v>
      </c>
      <c r="L176" s="22">
        <f>Constants!$H67*'Activity data'!L9*Constants!$H85*FracLEACHMM*MMLeachEF*NtoN2O*kgtoGg</f>
        <v>3.3441020372752331E-2</v>
      </c>
      <c r="M176" s="22">
        <f>Constants!$H67*'Activity data'!M9*Constants!$H85*FracLEACHMM*MMLeachEF*NtoN2O*kgtoGg</f>
        <v>3.2298388697145762E-2</v>
      </c>
      <c r="N176" s="22">
        <f>Constants!$H67*'Activity data'!N9*Constants!$H85*FracLEACHMM*MMLeachEF*NtoN2O*kgtoGg</f>
        <v>3.3212494037631018E-2</v>
      </c>
      <c r="O176" s="22">
        <f>Constants!$H67*'Activity data'!O9*Constants!$H85*FracLEACHMM*MMLeachEF*NtoN2O*kgtoGg</f>
        <v>3.4736002938439779E-2</v>
      </c>
      <c r="P176" s="22">
        <f>Constants!$H67*'Activity data'!P9*Constants!$H85*FracLEACHMM*MMLeachEF*NtoN2O*kgtoGg</f>
        <v>3.6868915399572051E-2</v>
      </c>
      <c r="Q176" s="22">
        <f>Constants!$H67*'Activity data'!Q9*Constants!$H85*FracLEACHMM*MMLeachEF*NtoN2O*kgtoGg</f>
        <v>3.8392424300380798E-2</v>
      </c>
      <c r="R176" s="22">
        <f>Constants!$H67*'Activity data'!R9*Constants!$H85*FracLEACHMM*MMLeachEF*NtoN2O*kgtoGg</f>
        <v>3.7478318959895555E-2</v>
      </c>
      <c r="S176" s="22">
        <f>Constants!$H67*'Activity data'!S9*Constants!$H85*FracLEACHMM*MMLeachEF*NtoN2O*kgtoGg</f>
        <v>3.6564213619410299E-2</v>
      </c>
      <c r="T176" s="22">
        <f>Constants!$H67*'Activity data'!T9*Constants!$H85*FracLEACHMM*MMLeachEF*NtoN2O*kgtoGg</f>
        <v>4.1439442101998333E-2</v>
      </c>
      <c r="U176" s="22">
        <f>Constants!$H67*'Activity data'!U9*Constants!$H85*FracLEACHMM*MMLeachEF*NtoN2O*kgtoGg</f>
        <v>4.242972288752403E-2</v>
      </c>
      <c r="V176" s="22">
        <f>Constants!$H67*'Activity data'!V9*Constants!$H85*FracLEACHMM*MMLeachEF*NtoN2O*kgtoGg</f>
        <v>4.1744143882160085E-2</v>
      </c>
      <c r="W176" s="22">
        <f>Constants!$H67*'Activity data'!W9*Constants!$H85*FracLEACHMM*MMLeachEF*NtoN2O*kgtoGg</f>
        <v>4.0525336761513077E-2</v>
      </c>
      <c r="X176" s="22">
        <f>Constants!$H67*'Activity data'!X9*Constants!$H85*FracLEACHMM*MMLeachEF*NtoN2O*kgtoGg</f>
        <v>4.1820319327200518E-2</v>
      </c>
      <c r="Y176" s="22">
        <f>Constants!$H67*'Activity data'!Y9*Constants!$H85*FracLEACHMM*MMLeachEF*NtoN2O*kgtoGg</f>
        <v>4.3496179118090159E-2</v>
      </c>
      <c r="Z176" s="22">
        <f>Constants!$H67*'Activity data'!Z9*Constants!$H85*FracLEACHMM*MMLeachEF*NtoN2O*kgtoGg</f>
        <v>4.2810600112726221E-2</v>
      </c>
      <c r="AA176" s="22">
        <f>Constants!$H67*'Activity data'!AA9*Constants!$H85*FracLEACHMM*MMLeachEF*NtoN2O*kgtoGg</f>
        <v>4.235354744248359E-2</v>
      </c>
      <c r="AB176" s="22">
        <f>Constants!$H67*'Activity data'!AB9*Constants!$H85*FracLEACHMM*MMLeachEF*NtoN2O*kgtoGg</f>
        <v>4.1744143882160085E-2</v>
      </c>
      <c r="AC176" s="22">
        <f>Constants!$H67*'Activity data'!AC9*Constants!$H85*FracLEACHMM*MMLeachEF*NtoN2O*kgtoGg</f>
        <v>4.2048845662321838E-2</v>
      </c>
      <c r="AD176" s="22">
        <f>Constants!$H67*'Activity data'!AD9*Constants!$H85*FracLEACHMM*MMLeachEF*NtoN2O*kgtoGg</f>
        <v>4.0447057593825331E-2</v>
      </c>
      <c r="AE176" s="22">
        <f>Constants!$H67*'Activity data'!AE9*Constants!$H85*FracLEACHMM*MMLeachEF*NtoN2O*kgtoGg</f>
        <v>4.0303786893574313E-2</v>
      </c>
      <c r="AF176" s="22">
        <f>Constants!$H67*'Activity data'!AF9*Constants!$H85*FracLEACHMM*MMLeachEF*NtoN2O*kgtoGg</f>
        <v>3.9776589786383404E-2</v>
      </c>
      <c r="AG176" s="22">
        <f>Constants!$H67*'Activity data'!AG9*Constants!$H85*FracLEACHMM*MMLeachEF*NtoN2O*kgtoGg</f>
        <v>3.8961153248640905E-2</v>
      </c>
      <c r="AH176" s="22">
        <f>Constants!$H67*'Activity data'!AH9*Constants!$H85*FracLEACHMM*MMLeachEF*NtoN2O*kgtoGg</f>
        <v>3.7980552157143042E-2</v>
      </c>
      <c r="AI176" s="22">
        <f>Constants!$H67*'Activity data'!AI9*Constants!$H85*FracLEACHMM*MMLeachEF*NtoN2O*kgtoGg</f>
        <v>3.7158393829104443E-2</v>
      </c>
      <c r="AJ176" s="22">
        <f>Constants!$H67*'Activity data'!AJ9*Constants!$H85*FracLEACHMM*MMLeachEF*NtoN2O*kgtoGg</f>
        <v>3.6431636561893174E-2</v>
      </c>
      <c r="AK176" s="22">
        <f>Constants!$H67*'Activity data'!AK9*Constants!$H85*FracLEACHMM*MMLeachEF*NtoN2O*kgtoGg</f>
        <v>3.5699602326741908E-2</v>
      </c>
      <c r="AL176" s="22">
        <f>Constants!$H67*'Activity data'!AL9*Constants!$H85*FracLEACHMM*MMLeachEF*NtoN2O*kgtoGg</f>
        <v>3.1120608774497051E-2</v>
      </c>
      <c r="AM176" s="22">
        <f>Constants!$H67*'Activity data'!AM9*Constants!$H85*FracLEACHMM*MMLeachEF*NtoN2O*kgtoGg</f>
        <v>3.1298503331794694E-2</v>
      </c>
      <c r="AN176" s="22">
        <f>Constants!$H67*'Activity data'!AN9*Constants!$H85*FracLEACHMM*MMLeachEF*NtoN2O*kgtoGg</f>
        <v>3.1476322109672494E-2</v>
      </c>
      <c r="AO176" s="22">
        <f>Constants!$H67*'Activity data'!AO9*Constants!$H85*FracLEACHMM*MMLeachEF*NtoN2O*kgtoGg</f>
        <v>3.1729659588169389E-2</v>
      </c>
      <c r="AP176" s="22">
        <f>Constants!$H67*'Activity data'!AP9*Constants!$H85*FracLEACHMM*MMLeachEF*NtoN2O*kgtoGg</f>
        <v>3.2026305046360455E-2</v>
      </c>
      <c r="AQ176" s="22">
        <f>Constants!$H67*'Activity data'!AQ9*Constants!$H85*FracLEACHMM*MMLeachEF*NtoN2O*kgtoGg</f>
        <v>3.229766357253782E-2</v>
      </c>
      <c r="AR176" s="22">
        <f>Constants!$H67*'Activity data'!AR9*Constants!$H85*FracLEACHMM*MMLeachEF*NtoN2O*kgtoGg</f>
        <v>3.2683087719586959E-2</v>
      </c>
      <c r="AS176" s="22">
        <f>Constants!$H67*'Activity data'!AS9*Constants!$H85*FracLEACHMM*MMLeachEF*NtoN2O*kgtoGg</f>
        <v>3.3085491077049764E-2</v>
      </c>
      <c r="AT176" s="22">
        <f>Constants!$H67*'Activity data'!AT9*Constants!$H85*FracLEACHMM*MMLeachEF*NtoN2O*kgtoGg</f>
        <v>3.3521824618243476E-2</v>
      </c>
      <c r="AU176" s="22">
        <f>Constants!$H67*'Activity data'!AU9*Constants!$H85*FracLEACHMM*MMLeachEF*NtoN2O*kgtoGg</f>
        <v>3.3970306946764513E-2</v>
      </c>
      <c r="AV176" s="22">
        <f>Constants!$H67*'Activity data'!AV9*Constants!$H85*FracLEACHMM*MMLeachEF*NtoN2O*kgtoGg</f>
        <v>3.4238947282219545E-2</v>
      </c>
      <c r="AW176" s="22">
        <f>Constants!$H67*'Activity data'!AW9*Constants!$H85*FracLEACHMM*MMLeachEF*NtoN2O*kgtoGg</f>
        <v>3.4421625600957448E-2</v>
      </c>
      <c r="AX176" s="22">
        <f>Constants!$H67*'Activity data'!AX9*Constants!$H85*FracLEACHMM*MMLeachEF*NtoN2O*kgtoGg</f>
        <v>3.459110279282137E-2</v>
      </c>
      <c r="AY176" s="22">
        <f>Constants!$H67*'Activity data'!AY9*Constants!$H85*FracLEACHMM*MMLeachEF*NtoN2O*kgtoGg</f>
        <v>3.4753104752055279E-2</v>
      </c>
      <c r="AZ176" s="22">
        <f>Constants!$H67*'Activity data'!AZ9*Constants!$H85*FracLEACHMM*MMLeachEF*NtoN2O*kgtoGg</f>
        <v>3.4836447006916425E-2</v>
      </c>
      <c r="BA176" s="22">
        <f>Constants!$H67*'Activity data'!BA9*Constants!$H85*FracLEACHMM*MMLeachEF*NtoN2O*kgtoGg</f>
        <v>3.4940620124306113E-2</v>
      </c>
      <c r="BB176" s="22">
        <f>Constants!$H67*'Activity data'!BB9*Constants!$H85*FracLEACHMM*MMLeachEF*NtoN2O*kgtoGg</f>
        <v>3.506352679964897E-2</v>
      </c>
      <c r="BC176" s="22">
        <f>Constants!$H67*'Activity data'!BC9*Constants!$H85*FracLEACHMM*MMLeachEF*NtoN2O*kgtoGg</f>
        <v>3.5184257015160168E-2</v>
      </c>
      <c r="BD176" s="22">
        <f>Constants!$H67*'Activity data'!BD9*Constants!$H85*FracLEACHMM*MMLeachEF*NtoN2O*kgtoGg</f>
        <v>3.525493342318161E-2</v>
      </c>
      <c r="BE176" s="22">
        <f>Constants!$H67*'Activity data'!BE9*Constants!$H85*FracLEACHMM*MMLeachEF*NtoN2O*kgtoGg</f>
        <v>3.532226402053705E-2</v>
      </c>
      <c r="BF176" s="22">
        <f>Constants!$H67*'Activity data'!BF9*Constants!$H85*FracLEACHMM*MMLeachEF*NtoN2O*kgtoGg</f>
        <v>3.5410917200208052E-2</v>
      </c>
      <c r="BG176" s="22">
        <f>Constants!$H67*'Activity data'!BG9*Constants!$H85*FracLEACHMM*MMLeachEF*NtoN2O*kgtoGg</f>
        <v>3.5686143293828632E-2</v>
      </c>
      <c r="BH176" s="22">
        <f>Constants!$H67*'Activity data'!BH9*Constants!$H85*FracLEACHMM*MMLeachEF*NtoN2O*kgtoGg</f>
        <v>3.5968784544107214E-2</v>
      </c>
      <c r="BI176" s="22">
        <f>Constants!$H67*'Activity data'!BI9*Constants!$H85*FracLEACHMM*MMLeachEF*NtoN2O*kgtoGg</f>
        <v>3.6258547004635239E-2</v>
      </c>
      <c r="BJ176" s="22">
        <f>Constants!$H67*'Activity data'!BJ9*Constants!$H85*FracLEACHMM*MMLeachEF*NtoN2O*kgtoGg</f>
        <v>3.6553679299817024E-2</v>
      </c>
      <c r="BK176" s="22">
        <f>Constants!$H67*'Activity data'!BK9*Constants!$H85*FracLEACHMM*MMLeachEF*NtoN2O*kgtoGg</f>
        <v>3.686175650706093E-2</v>
      </c>
      <c r="BL176" s="22">
        <f>Constants!$H67*'Activity data'!BL9*Constants!$H85*FracLEACHMM*MMLeachEF*NtoN2O*kgtoGg</f>
        <v>3.7065357714608178E-2</v>
      </c>
      <c r="BM176" s="22">
        <f>Constants!$H67*'Activity data'!BM9*Constants!$H85*FracLEACHMM*MMLeachEF*NtoN2O*kgtoGg</f>
        <v>3.7277193284294671E-2</v>
      </c>
      <c r="BN176" s="22">
        <f>Constants!$H67*'Activity data'!BN9*Constants!$H85*FracLEACHMM*MMLeachEF*NtoN2O*kgtoGg</f>
        <v>3.750335714368469E-2</v>
      </c>
      <c r="BO176" s="22">
        <f>Constants!$H67*'Activity data'!BO9*Constants!$H85*FracLEACHMM*MMLeachEF*NtoN2O*kgtoGg</f>
        <v>3.7745390672968768E-2</v>
      </c>
      <c r="BP176" s="22">
        <f>Constants!$H67*'Activity data'!BP9*Constants!$H85*FracLEACHMM*MMLeachEF*NtoN2O*kgtoGg</f>
        <v>3.8025191143747063E-2</v>
      </c>
    </row>
    <row r="177" spans="1:68" x14ac:dyDescent="0.25">
      <c r="A177" t="str">
        <f t="shared" si="58"/>
        <v>3C Aggregated and non-CO2 emissions on land</v>
      </c>
      <c r="B177" t="str">
        <f t="shared" si="65"/>
        <v>3C6 Indirect N2O from manure management (N2O)</v>
      </c>
      <c r="C177" t="str">
        <f t="shared" si="67"/>
        <v>Leaching/runoff</v>
      </c>
      <c r="D177" t="str">
        <f t="shared" si="66"/>
        <v xml:space="preserve"> - Feedlot</v>
      </c>
      <c r="E177" t="str">
        <f t="shared" si="64"/>
        <v>Leaching/runoff - Feedlot</v>
      </c>
      <c r="F177" t="str">
        <f t="shared" si="47"/>
        <v>N2O</v>
      </c>
      <c r="G177" t="str">
        <f t="shared" si="48"/>
        <v>Gg N2O</v>
      </c>
      <c r="H177" s="22">
        <f>Constants!$H68*'Activity data'!H10*Constants!$H86*FracLEACHMM*MMLeachEF*NtoN2O*kgtoGg</f>
        <v>3.2554021499999995E-2</v>
      </c>
      <c r="I177" s="22">
        <f>Constants!$H68*'Activity data'!I10*Constants!$H86*FracLEACHMM*MMLeachEF*NtoN2O*kgtoGg</f>
        <v>3.2554021499999995E-2</v>
      </c>
      <c r="J177" s="22">
        <f>Constants!$H68*'Activity data'!J10*Constants!$H86*FracLEACHMM*MMLeachEF*NtoN2O*kgtoGg</f>
        <v>3.2554021499999995E-2</v>
      </c>
      <c r="K177" s="22">
        <f>Constants!$H68*'Activity data'!K10*Constants!$H86*FracLEACHMM*MMLeachEF*NtoN2O*kgtoGg</f>
        <v>3.2554021499999995E-2</v>
      </c>
      <c r="L177" s="22">
        <f>Constants!$H68*'Activity data'!L10*Constants!$H86*FracLEACHMM*MMLeachEF*NtoN2O*kgtoGg</f>
        <v>3.2554021499999995E-2</v>
      </c>
      <c r="M177" s="22">
        <f>Constants!$H68*'Activity data'!M10*Constants!$H86*FracLEACHMM*MMLeachEF*NtoN2O*kgtoGg</f>
        <v>3.2554021499999995E-2</v>
      </c>
      <c r="N177" s="22">
        <f>Constants!$H68*'Activity data'!N10*Constants!$H86*FracLEACHMM*MMLeachEF*NtoN2O*kgtoGg</f>
        <v>3.2554021499999995E-2</v>
      </c>
      <c r="O177" s="22">
        <f>Constants!$H68*'Activity data'!O10*Constants!$H86*FracLEACHMM*MMLeachEF*NtoN2O*kgtoGg</f>
        <v>3.2554021499999995E-2</v>
      </c>
      <c r="P177" s="22">
        <f>Constants!$H68*'Activity data'!P10*Constants!$H86*FracLEACHMM*MMLeachEF*NtoN2O*kgtoGg</f>
        <v>3.2554021499999995E-2</v>
      </c>
      <c r="Q177" s="22">
        <f>Constants!$H68*'Activity data'!Q10*Constants!$H86*FracLEACHMM*MMLeachEF*NtoN2O*kgtoGg</f>
        <v>3.2554021499999995E-2</v>
      </c>
      <c r="R177" s="22">
        <f>Constants!$H68*'Activity data'!R10*Constants!$H86*FracLEACHMM*MMLeachEF*NtoN2O*kgtoGg</f>
        <v>3.2554021499999995E-2</v>
      </c>
      <c r="S177" s="22">
        <f>Constants!$H68*'Activity data'!S10*Constants!$H86*FracLEACHMM*MMLeachEF*NtoN2O*kgtoGg</f>
        <v>3.2554021499999995E-2</v>
      </c>
      <c r="T177" s="22">
        <f>Constants!$H68*'Activity data'!T10*Constants!$H86*FracLEACHMM*MMLeachEF*NtoN2O*kgtoGg</f>
        <v>3.2554021499999995E-2</v>
      </c>
      <c r="U177" s="22">
        <f>Constants!$H68*'Activity data'!U10*Constants!$H86*FracLEACHMM*MMLeachEF*NtoN2O*kgtoGg</f>
        <v>3.2554021499999995E-2</v>
      </c>
      <c r="V177" s="22">
        <f>Constants!$H68*'Activity data'!V10*Constants!$H86*FracLEACHMM*MMLeachEF*NtoN2O*kgtoGg</f>
        <v>3.2554021499999995E-2</v>
      </c>
      <c r="W177" s="22">
        <f>Constants!$H68*'Activity data'!W10*Constants!$H86*FracLEACHMM*MMLeachEF*NtoN2O*kgtoGg</f>
        <v>3.2554021499999995E-2</v>
      </c>
      <c r="X177" s="22">
        <f>Constants!$H68*'Activity data'!X10*Constants!$H86*FracLEACHMM*MMLeachEF*NtoN2O*kgtoGg</f>
        <v>3.2554021499999995E-2</v>
      </c>
      <c r="Y177" s="22">
        <f>Constants!$H68*'Activity data'!Y10*Constants!$H86*FracLEACHMM*MMLeachEF*NtoN2O*kgtoGg</f>
        <v>3.2554021499999995E-2</v>
      </c>
      <c r="Z177" s="22">
        <f>Constants!$H68*'Activity data'!Z10*Constants!$H86*FracLEACHMM*MMLeachEF*NtoN2O*kgtoGg</f>
        <v>3.0317695864706243E-2</v>
      </c>
      <c r="AA177" s="22">
        <f>Constants!$H68*'Activity data'!AA10*Constants!$H86*FracLEACHMM*MMLeachEF*NtoN2O*kgtoGg</f>
        <v>3.1067342637581243E-2</v>
      </c>
      <c r="AB177" s="22">
        <f>Constants!$H68*'Activity data'!AB10*Constants!$H86*FracLEACHMM*MMLeachEF*NtoN2O*kgtoGg</f>
        <v>3.0990059132174997E-2</v>
      </c>
      <c r="AC177" s="22">
        <f>Constants!$H68*'Activity data'!AC10*Constants!$H86*FracLEACHMM*MMLeachEF*NtoN2O*kgtoGg</f>
        <v>3.5793934653262499E-2</v>
      </c>
      <c r="AD177" s="22">
        <f>Constants!$H68*'Activity data'!AD10*Constants!$H86*FracLEACHMM*MMLeachEF*NtoN2O*kgtoGg</f>
        <v>4.2107390606723458E-2</v>
      </c>
      <c r="AE177" s="22">
        <f>Constants!$H68*'Activity data'!AE10*Constants!$H86*FracLEACHMM*MMLeachEF*NtoN2O*kgtoGg</f>
        <v>4.3745856107080199E-2</v>
      </c>
      <c r="AF177" s="22">
        <f>Constants!$H68*'Activity data'!AF10*Constants!$H86*FracLEACHMM*MMLeachEF*NtoN2O*kgtoGg</f>
        <v>4.4988338909822997E-2</v>
      </c>
      <c r="AG177" s="22">
        <f>Constants!$H68*'Activity data'!AG10*Constants!$H86*FracLEACHMM*MMLeachEF*NtoN2O*kgtoGg</f>
        <v>4.5897365313319269E-2</v>
      </c>
      <c r="AH177" s="22">
        <f>Constants!$H68*'Activity data'!AH10*Constants!$H86*FracLEACHMM*MMLeachEF*NtoN2O*kgtoGg</f>
        <v>4.6584151162224391E-2</v>
      </c>
      <c r="AI177" s="22">
        <f>Constants!$H68*'Activity data'!AI10*Constants!$H86*FracLEACHMM*MMLeachEF*NtoN2O*kgtoGg</f>
        <v>4.7437660105963543E-2</v>
      </c>
      <c r="AJ177" s="22">
        <f>Constants!$H68*'Activity data'!AJ10*Constants!$H86*FracLEACHMM*MMLeachEF*NtoN2O*kgtoGg</f>
        <v>4.8398351873800059E-2</v>
      </c>
      <c r="AK177" s="22">
        <f>Constants!$H68*'Activity data'!AK10*Constants!$H86*FracLEACHMM*MMLeachEF*NtoN2O*kgtoGg</f>
        <v>4.934259847434088E-2</v>
      </c>
      <c r="AL177" s="22">
        <f>Constants!$H68*'Activity data'!AL10*Constants!$H86*FracLEACHMM*MMLeachEF*NtoN2O*kgtoGg</f>
        <v>4.474634135748945E-2</v>
      </c>
      <c r="AM177" s="22">
        <f>Constants!$H68*'Activity data'!AM10*Constants!$H86*FracLEACHMM*MMLeachEF*NtoN2O*kgtoGg</f>
        <v>4.608049763533914E-2</v>
      </c>
      <c r="AN177" s="22">
        <f>Constants!$H68*'Activity data'!AN10*Constants!$H86*FracLEACHMM*MMLeachEF*NtoN2O*kgtoGg</f>
        <v>4.7437548015823554E-2</v>
      </c>
      <c r="AO177" s="22">
        <f>Constants!$H68*'Activity data'!AO10*Constants!$H86*FracLEACHMM*MMLeachEF*NtoN2O*kgtoGg</f>
        <v>4.8935155435278398E-2</v>
      </c>
      <c r="AP177" s="22">
        <f>Constants!$H68*'Activity data'!AP10*Constants!$H86*FracLEACHMM*MMLeachEF*NtoN2O*kgtoGg</f>
        <v>5.0531621393105228E-2</v>
      </c>
      <c r="AQ177" s="22">
        <f>Constants!$H68*'Activity data'!AQ10*Constants!$H86*FracLEACHMM*MMLeachEF*NtoN2O*kgtoGg</f>
        <v>5.2122074433908074E-2</v>
      </c>
      <c r="AR177" s="22">
        <f>Constants!$H68*'Activity data'!AR10*Constants!$H86*FracLEACHMM*MMLeachEF*NtoN2O*kgtoGg</f>
        <v>5.3934927771282365E-2</v>
      </c>
      <c r="AS177" s="22">
        <f>Constants!$H68*'Activity data'!AS10*Constants!$H86*FracLEACHMM*MMLeachEF*NtoN2O*kgtoGg</f>
        <v>5.5820200306673763E-2</v>
      </c>
      <c r="AT177" s="22">
        <f>Constants!$H68*'Activity data'!AT10*Constants!$H86*FracLEACHMM*MMLeachEF*NtoN2O*kgtoGg</f>
        <v>5.7810401875702543E-2</v>
      </c>
      <c r="AU177" s="22">
        <f>Constants!$H68*'Activity data'!AU10*Constants!$H86*FracLEACHMM*MMLeachEF*NtoN2O*kgtoGg</f>
        <v>5.9872430071030186E-2</v>
      </c>
      <c r="AV177" s="22">
        <f>Constants!$H68*'Activity data'!AV10*Constants!$H86*FracLEACHMM*MMLeachEF*NtoN2O*kgtoGg</f>
        <v>6.1663431810801424E-2</v>
      </c>
      <c r="AW177" s="22">
        <f>Constants!$H68*'Activity data'!AW10*Constants!$H86*FracLEACHMM*MMLeachEF*NtoN2O*kgtoGg</f>
        <v>6.4041052409662777E-2</v>
      </c>
      <c r="AX177" s="22">
        <f>Constants!$H68*'Activity data'!AX10*Constants!$H86*FracLEACHMM*MMLeachEF*NtoN2O*kgtoGg</f>
        <v>6.6487258985323483E-2</v>
      </c>
      <c r="AY177" s="22">
        <f>Constants!$H68*'Activity data'!AY10*Constants!$H86*FracLEACHMM*MMLeachEF*NtoN2O*kgtoGg</f>
        <v>6.9016134008945018E-2</v>
      </c>
      <c r="AZ177" s="22">
        <f>Constants!$H68*'Activity data'!AZ10*Constants!$H86*FracLEACHMM*MMLeachEF*NtoN2O*kgtoGg</f>
        <v>7.1485627641374366E-2</v>
      </c>
      <c r="BA177" s="22">
        <f>Constants!$H68*'Activity data'!BA10*Constants!$H86*FracLEACHMM*MMLeachEF*NtoN2O*kgtoGg</f>
        <v>7.4096373394190326E-2</v>
      </c>
      <c r="BB177" s="22">
        <f>Constants!$H68*'Activity data'!BB10*Constants!$H86*FracLEACHMM*MMLeachEF*NtoN2O*kgtoGg</f>
        <v>7.6853868114516305E-2</v>
      </c>
      <c r="BC177" s="22">
        <f>Constants!$H68*'Activity data'!BC10*Constants!$H86*FracLEACHMM*MMLeachEF*NtoN2O*kgtoGg</f>
        <v>7.9721120133366838E-2</v>
      </c>
      <c r="BD177" s="22">
        <f>Constants!$H68*'Activity data'!BD10*Constants!$H86*FracLEACHMM*MMLeachEF*NtoN2O*kgtoGg</f>
        <v>8.2592326025758681E-2</v>
      </c>
      <c r="BE177" s="22">
        <f>Constants!$H68*'Activity data'!BE10*Constants!$H86*FracLEACHMM*MMLeachEF*NtoN2O*kgtoGg</f>
        <v>8.5576002330505122E-2</v>
      </c>
      <c r="BF177" s="22">
        <f>Constants!$H68*'Activity data'!BF10*Constants!$H86*FracLEACHMM*MMLeachEF*NtoN2O*kgtoGg</f>
        <v>8.8740587328066958E-2</v>
      </c>
      <c r="BG177" s="22">
        <f>Constants!$H68*'Activity data'!BG10*Constants!$H86*FracLEACHMM*MMLeachEF*NtoN2O*kgtoGg</f>
        <v>9.1943932177871918E-2</v>
      </c>
      <c r="BH177" s="22">
        <f>Constants!$H68*'Activity data'!BH10*Constants!$H86*FracLEACHMM*MMLeachEF*NtoN2O*kgtoGg</f>
        <v>9.5285974716119798E-2</v>
      </c>
      <c r="BI177" s="22">
        <f>Constants!$H68*'Activity data'!BI10*Constants!$H86*FracLEACHMM*MMLeachEF*NtoN2O*kgtoGg</f>
        <v>9.8773436336356199E-2</v>
      </c>
      <c r="BJ177" s="22">
        <f>Constants!$H68*'Activity data'!BJ10*Constants!$H86*FracLEACHMM*MMLeachEF*NtoN2O*kgtoGg</f>
        <v>0.10240934306333752</v>
      </c>
      <c r="BK177" s="22">
        <f>Constants!$H68*'Activity data'!BK10*Constants!$H86*FracLEACHMM*MMLeachEF*NtoN2O*kgtoGg</f>
        <v>0.10622354986722828</v>
      </c>
      <c r="BL177" s="22">
        <f>Constants!$H68*'Activity data'!BL10*Constants!$H86*FracLEACHMM*MMLeachEF*NtoN2O*kgtoGg</f>
        <v>0.10987840407775545</v>
      </c>
      <c r="BM177" s="22">
        <f>Constants!$H68*'Activity data'!BM10*Constants!$H86*FracLEACHMM*MMLeachEF*NtoN2O*kgtoGg</f>
        <v>0.11369865485134238</v>
      </c>
      <c r="BN177" s="22">
        <f>Constants!$H68*'Activity data'!BN10*Constants!$H86*FracLEACHMM*MMLeachEF*NtoN2O*kgtoGg</f>
        <v>0.11771301983706477</v>
      </c>
      <c r="BO177" s="22">
        <f>Constants!$H68*'Activity data'!BO10*Constants!$H86*FracLEACHMM*MMLeachEF*NtoN2O*kgtoGg</f>
        <v>0.1219384138153442</v>
      </c>
      <c r="BP177" s="22">
        <f>Constants!$H68*'Activity data'!BP10*Constants!$H86*FracLEACHMM*MMLeachEF*NtoN2O*kgtoGg</f>
        <v>0.12646088418375437</v>
      </c>
    </row>
    <row r="178" spans="1:68" x14ac:dyDescent="0.25">
      <c r="A178" t="str">
        <f t="shared" si="58"/>
        <v>3C Aggregated and non-CO2 emissions on land</v>
      </c>
      <c r="B178" t="str">
        <f t="shared" si="65"/>
        <v>3C6 Indirect N2O from manure management (N2O)</v>
      </c>
      <c r="C178" t="str">
        <f t="shared" si="67"/>
        <v>Leaching/runoff</v>
      </c>
      <c r="D178" t="str">
        <f t="shared" si="66"/>
        <v xml:space="preserve"> - Commercial sheep</v>
      </c>
      <c r="E178" t="str">
        <f t="shared" si="64"/>
        <v>Leaching/runoff - Commercial sheep</v>
      </c>
      <c r="F178" t="str">
        <f t="shared" si="47"/>
        <v>N2O</v>
      </c>
      <c r="G178" t="str">
        <f t="shared" si="48"/>
        <v>Gg N2O</v>
      </c>
      <c r="H178" s="22">
        <f>Constants!$H69*'Activity data'!H11*Constants!$H87*FracLEACHMM*MMLeachEF*NtoN2O*kgtoGg</f>
        <v>6.9270979206507962E-3</v>
      </c>
      <c r="I178" s="22">
        <f>Constants!$H69*'Activity data'!I11*Constants!$H87*FracLEACHMM*MMLeachEF*NtoN2O*kgtoGg</f>
        <v>6.6156222878065631E-3</v>
      </c>
      <c r="J178" s="22">
        <f>Constants!$H69*'Activity data'!J11*Constants!$H87*FracLEACHMM*MMLeachEF*NtoN2O*kgtoGg</f>
        <v>6.3422723815345083E-3</v>
      </c>
      <c r="K178" s="22">
        <f>Constants!$H69*'Activity data'!K11*Constants!$H87*FracLEACHMM*MMLeachEF*NtoN2O*kgtoGg</f>
        <v>5.9314387945930795E-3</v>
      </c>
      <c r="L178" s="22">
        <f>Constants!$H69*'Activity data'!L11*Constants!$H87*FracLEACHMM*MMLeachEF*NtoN2O*kgtoGg</f>
        <v>5.9732615613177133E-3</v>
      </c>
      <c r="M178" s="22">
        <f>Constants!$H69*'Activity data'!M11*Constants!$H87*FracLEACHMM*MMLeachEF*NtoN2O*kgtoGg</f>
        <v>5.8877675077922183E-3</v>
      </c>
      <c r="N178" s="22">
        <f>Constants!$H69*'Activity data'!N11*Constants!$H87*FracLEACHMM*MMLeachEF*NtoN2O*kgtoGg</f>
        <v>5.90740803360213E-3</v>
      </c>
      <c r="O178" s="22">
        <f>Constants!$H69*'Activity data'!O11*Constants!$H87*FracLEACHMM*MMLeachEF*NtoN2O*kgtoGg</f>
        <v>5.7789358883043596E-3</v>
      </c>
      <c r="P178" s="22">
        <f>Constants!$H69*'Activity data'!P11*Constants!$H87*FracLEACHMM*MMLeachEF*NtoN2O*kgtoGg</f>
        <v>5.7948793739618174E-3</v>
      </c>
      <c r="Q178" s="22">
        <f>Constants!$H69*'Activity data'!Q11*Constants!$H87*FracLEACHMM*MMLeachEF*NtoN2O*kgtoGg</f>
        <v>5.6525433280923453E-3</v>
      </c>
      <c r="R178" s="22">
        <f>Constants!$H69*'Activity data'!R11*Constants!$H87*FracLEACHMM*MMLeachEF*NtoN2O*kgtoGg</f>
        <v>5.449899314735971E-3</v>
      </c>
      <c r="S178" s="22">
        <f>Constants!$H69*'Activity data'!S11*Constants!$H87*FracLEACHMM*MMLeachEF*NtoN2O*kgtoGg</f>
        <v>5.3140330891332929E-3</v>
      </c>
      <c r="T178" s="22">
        <f>Constants!$H69*'Activity data'!T11*Constants!$H87*FracLEACHMM*MMLeachEF*NtoN2O*kgtoGg</f>
        <v>5.2253041254744018E-3</v>
      </c>
      <c r="U178" s="22">
        <f>Constants!$H69*'Activity data'!U11*Constants!$H87*FracLEACHMM*MMLeachEF*NtoN2O*kgtoGg</f>
        <v>5.2435582612271421E-3</v>
      </c>
      <c r="V178" s="22">
        <f>Constants!$H69*'Activity data'!V11*Constants!$H87*FracLEACHMM*MMLeachEF*NtoN2O*kgtoGg</f>
        <v>5.1502079973776843E-3</v>
      </c>
      <c r="W178" s="22">
        <f>Constants!$H69*'Activity data'!W11*Constants!$H87*FracLEACHMM*MMLeachEF*NtoN2O*kgtoGg</f>
        <v>5.1379615518726812E-3</v>
      </c>
      <c r="X178" s="22">
        <f>Constants!$H69*'Activity data'!X11*Constants!$H87*FracLEACHMM*MMLeachEF*NtoN2O*kgtoGg</f>
        <v>5.0707216340999273E-3</v>
      </c>
      <c r="Y178" s="22">
        <f>Constants!$H69*'Activity data'!Y11*Constants!$H87*FracLEACHMM*MMLeachEF*NtoN2O*kgtoGg</f>
        <v>5.0658692688998318E-3</v>
      </c>
      <c r="Z178" s="22">
        <f>Constants!$H69*'Activity data'!Z11*Constants!$H87*FracLEACHMM*MMLeachEF*NtoN2O*kgtoGg</f>
        <v>5.0822748845763448E-3</v>
      </c>
      <c r="AA178" s="22">
        <f>Constants!$H69*'Activity data'!AA11*Constants!$H87*FracLEACHMM*MMLeachEF*NtoN2O*kgtoGg</f>
        <v>5.0642518138331325E-3</v>
      </c>
      <c r="AB178" s="22">
        <f>Constants!$H69*'Activity data'!AB11*Constants!$H87*FracLEACHMM*MMLeachEF*NtoN2O*kgtoGg</f>
        <v>4.9662802497931072E-3</v>
      </c>
      <c r="AC178" s="22">
        <f>Constants!$H69*'Activity data'!AC11*Constants!$H87*FracLEACHMM*MMLeachEF*NtoN2O*kgtoGg</f>
        <v>4.9274613281923407E-3</v>
      </c>
      <c r="AD178" s="22">
        <f>Constants!$H69*'Activity data'!AD11*Constants!$H87*FracLEACHMM*MMLeachEF*NtoN2O*kgtoGg</f>
        <v>4.3943799525167212E-3</v>
      </c>
      <c r="AE178" s="22">
        <f>Constants!$H69*'Activity data'!AE11*Constants!$H87*FracLEACHMM*MMLeachEF*NtoN2O*kgtoGg</f>
        <v>4.3968507529081888E-3</v>
      </c>
      <c r="AF178" s="22">
        <f>Constants!$H69*'Activity data'!AF11*Constants!$H87*FracLEACHMM*MMLeachEF*NtoN2O*kgtoGg</f>
        <v>4.4022495264221971E-3</v>
      </c>
      <c r="AG178" s="22">
        <f>Constants!$H69*'Activity data'!AG11*Constants!$H87*FracLEACHMM*MMLeachEF*NtoN2O*kgtoGg</f>
        <v>4.4104320101039755E-3</v>
      </c>
      <c r="AH178" s="22">
        <f>Constants!$H69*'Activity data'!AH11*Constants!$H87*FracLEACHMM*MMLeachEF*NtoN2O*kgtoGg</f>
        <v>4.4213168895171386E-3</v>
      </c>
      <c r="AI178" s="22">
        <f>Constants!$H69*'Activity data'!AI11*Constants!$H87*FracLEACHMM*MMLeachEF*NtoN2O*kgtoGg</f>
        <v>4.4349958817734691E-3</v>
      </c>
      <c r="AJ178" s="22">
        <f>Constants!$H69*'Activity data'!AJ11*Constants!$H87*FracLEACHMM*MMLeachEF*NtoN2O*kgtoGg</f>
        <v>4.4502557075798638E-3</v>
      </c>
      <c r="AK178" s="22">
        <f>Constants!$H69*'Activity data'!AK11*Constants!$H87*FracLEACHMM*MMLeachEF*NtoN2O*kgtoGg</f>
        <v>4.4670543854273166E-3</v>
      </c>
      <c r="AL178" s="22">
        <f>Constants!$H69*'Activity data'!AL11*Constants!$H87*FracLEACHMM*MMLeachEF*NtoN2O*kgtoGg</f>
        <v>4.4825413013275042E-3</v>
      </c>
      <c r="AM178" s="22">
        <f>Constants!$H69*'Activity data'!AM11*Constants!$H87*FracLEACHMM*MMLeachEF*NtoN2O*kgtoGg</f>
        <v>4.4941738627505929E-3</v>
      </c>
      <c r="AN178" s="22">
        <f>Constants!$H69*'Activity data'!AN11*Constants!$H87*FracLEACHMM*MMLeachEF*NtoN2O*kgtoGg</f>
        <v>4.5042601655403761E-3</v>
      </c>
      <c r="AO178" s="22">
        <f>Constants!$H69*'Activity data'!AO11*Constants!$H87*FracLEACHMM*MMLeachEF*NtoN2O*kgtoGg</f>
        <v>4.5127381099992862E-3</v>
      </c>
      <c r="AP178" s="22">
        <f>Constants!$H69*'Activity data'!AP11*Constants!$H87*FracLEACHMM*MMLeachEF*NtoN2O*kgtoGg</f>
        <v>4.5212505785911855E-3</v>
      </c>
      <c r="AQ178" s="22">
        <f>Constants!$H69*'Activity data'!AQ11*Constants!$H87*FracLEACHMM*MMLeachEF*NtoN2O*kgtoGg</f>
        <v>4.5296770283426479E-3</v>
      </c>
      <c r="AR178" s="22">
        <f>Constants!$H69*'Activity data'!AR11*Constants!$H87*FracLEACHMM*MMLeachEF*NtoN2O*kgtoGg</f>
        <v>4.53806281407995E-3</v>
      </c>
      <c r="AS178" s="22">
        <f>Constants!$H69*'Activity data'!AS11*Constants!$H87*FracLEACHMM*MMLeachEF*NtoN2O*kgtoGg</f>
        <v>4.5462764065652807E-3</v>
      </c>
      <c r="AT178" s="22">
        <f>Constants!$H69*'Activity data'!AT11*Constants!$H87*FracLEACHMM*MMLeachEF*NtoN2O*kgtoGg</f>
        <v>4.5542784691045826E-3</v>
      </c>
      <c r="AU178" s="22">
        <f>Constants!$H69*'Activity data'!AU11*Constants!$H87*FracLEACHMM*MMLeachEF*NtoN2O*kgtoGg</f>
        <v>4.562219113760718E-3</v>
      </c>
      <c r="AV178" s="22">
        <f>Constants!$H69*'Activity data'!AV11*Constants!$H87*FracLEACHMM*MMLeachEF*NtoN2O*kgtoGg</f>
        <v>4.5698961987371426E-3</v>
      </c>
      <c r="AW178" s="22">
        <f>Constants!$H69*'Activity data'!AW11*Constants!$H87*FracLEACHMM*MMLeachEF*NtoN2O*kgtoGg</f>
        <v>4.5775883514465694E-3</v>
      </c>
      <c r="AX178" s="22">
        <f>Constants!$H69*'Activity data'!AX11*Constants!$H87*FracLEACHMM*MMLeachEF*NtoN2O*kgtoGg</f>
        <v>4.585089577271031E-3</v>
      </c>
      <c r="AY178" s="22">
        <f>Constants!$H69*'Activity data'!AY11*Constants!$H87*FracLEACHMM*MMLeachEF*NtoN2O*kgtoGg</f>
        <v>4.5923704793432406E-3</v>
      </c>
      <c r="AZ178" s="22">
        <f>Constants!$H69*'Activity data'!AZ11*Constants!$H87*FracLEACHMM*MMLeachEF*NtoN2O*kgtoGg</f>
        <v>4.599396004899968E-3</v>
      </c>
      <c r="BA178" s="22">
        <f>Constants!$H69*'Activity data'!BA11*Constants!$H87*FracLEACHMM*MMLeachEF*NtoN2O*kgtoGg</f>
        <v>4.6062253245773488E-3</v>
      </c>
      <c r="BB178" s="22">
        <f>Constants!$H69*'Activity data'!BB11*Constants!$H87*FracLEACHMM*MMLeachEF*NtoN2O*kgtoGg</f>
        <v>4.6128310933444099E-3</v>
      </c>
      <c r="BC178" s="22">
        <f>Constants!$H69*'Activity data'!BC11*Constants!$H87*FracLEACHMM*MMLeachEF*NtoN2O*kgtoGg</f>
        <v>4.6191692582675742E-3</v>
      </c>
      <c r="BD178" s="22">
        <f>Constants!$H69*'Activity data'!BD11*Constants!$H87*FracLEACHMM*MMLeachEF*NtoN2O*kgtoGg</f>
        <v>4.6251684835097737E-3</v>
      </c>
      <c r="BE178" s="22">
        <f>Constants!$H69*'Activity data'!BE11*Constants!$H87*FracLEACHMM*MMLeachEF*NtoN2O*kgtoGg</f>
        <v>4.6309166912529721E-3</v>
      </c>
      <c r="BF178" s="22">
        <f>Constants!$H69*'Activity data'!BF11*Constants!$H87*FracLEACHMM*MMLeachEF*NtoN2O*kgtoGg</f>
        <v>4.6364200503406245E-3</v>
      </c>
      <c r="BG178" s="22">
        <f>Constants!$H69*'Activity data'!BG11*Constants!$H87*FracLEACHMM*MMLeachEF*NtoN2O*kgtoGg</f>
        <v>4.6416449071056748E-3</v>
      </c>
      <c r="BH178" s="22">
        <f>Constants!$H69*'Activity data'!BH11*Constants!$H87*FracLEACHMM*MMLeachEF*NtoN2O*kgtoGg</f>
        <v>4.6465676780949429E-3</v>
      </c>
      <c r="BI178" s="22">
        <f>Constants!$H69*'Activity data'!BI11*Constants!$H87*FracLEACHMM*MMLeachEF*NtoN2O*kgtoGg</f>
        <v>4.6511718515801544E-3</v>
      </c>
      <c r="BJ178" s="22">
        <f>Constants!$H69*'Activity data'!BJ11*Constants!$H87*FracLEACHMM*MMLeachEF*NtoN2O*kgtoGg</f>
        <v>4.6554430279306773E-3</v>
      </c>
      <c r="BK178" s="22">
        <f>Constants!$H69*'Activity data'!BK11*Constants!$H87*FracLEACHMM*MMLeachEF*NtoN2O*kgtoGg</f>
        <v>4.6593759998567828E-3</v>
      </c>
      <c r="BL178" s="22">
        <f>Constants!$H69*'Activity data'!BL11*Constants!$H87*FracLEACHMM*MMLeachEF*NtoN2O*kgtoGg</f>
        <v>4.6628181239999518E-3</v>
      </c>
      <c r="BM178" s="22">
        <f>Constants!$H69*'Activity data'!BM11*Constants!$H87*FracLEACHMM*MMLeachEF*NtoN2O*kgtoGg</f>
        <v>4.6658864067792606E-3</v>
      </c>
      <c r="BN178" s="22">
        <f>Constants!$H69*'Activity data'!BN11*Constants!$H87*FracLEACHMM*MMLeachEF*NtoN2O*kgtoGg</f>
        <v>4.6685774576687043E-3</v>
      </c>
      <c r="BO178" s="22">
        <f>Constants!$H69*'Activity data'!BO11*Constants!$H87*FracLEACHMM*MMLeachEF*NtoN2O*kgtoGg</f>
        <v>4.6708749686252575E-3</v>
      </c>
      <c r="BP178" s="22">
        <f>Constants!$H69*'Activity data'!BP11*Constants!$H87*FracLEACHMM*MMLeachEF*NtoN2O*kgtoGg</f>
        <v>4.6727990995617799E-3</v>
      </c>
    </row>
    <row r="179" spans="1:68" x14ac:dyDescent="0.25">
      <c r="A179" t="str">
        <f t="shared" si="58"/>
        <v>3C Aggregated and non-CO2 emissions on land</v>
      </c>
      <c r="B179" t="str">
        <f t="shared" si="65"/>
        <v>3C6 Indirect N2O from manure management (N2O)</v>
      </c>
      <c r="C179" t="str">
        <f t="shared" si="67"/>
        <v>Leaching/runoff</v>
      </c>
      <c r="D179" t="str">
        <f t="shared" si="66"/>
        <v xml:space="preserve"> - Subsistence sheep</v>
      </c>
      <c r="E179" t="str">
        <f t="shared" si="64"/>
        <v>Leaching/runoff - Subsistence sheep</v>
      </c>
      <c r="F179" t="str">
        <f t="shared" si="47"/>
        <v>N2O</v>
      </c>
      <c r="G179" t="str">
        <f t="shared" si="48"/>
        <v>Gg N2O</v>
      </c>
      <c r="H179" s="22">
        <f>Constants!$H70*'Activity data'!H12*Constants!$H88*FracLEACHMM*MMLeachEF*NtoN2O*kgtoGg</f>
        <v>5.3816678004133863E-3</v>
      </c>
      <c r="I179" s="22">
        <f>Constants!$H70*'Activity data'!I12*Constants!$H88*FracLEACHMM*MMLeachEF*NtoN2O*kgtoGg</f>
        <v>5.1396821372839546E-3</v>
      </c>
      <c r="J179" s="22">
        <f>Constants!$H70*'Activity data'!J12*Constants!$H88*FracLEACHMM*MMLeachEF*NtoN2O*kgtoGg</f>
        <v>4.9273163809915805E-3</v>
      </c>
      <c r="K179" s="22">
        <f>Constants!$H70*'Activity data'!K12*Constants!$H88*FracLEACHMM*MMLeachEF*NtoN2O*kgtoGg</f>
        <v>4.6081394454989032E-3</v>
      </c>
      <c r="L179" s="22">
        <f>Constants!$H70*'Activity data'!L12*Constants!$H88*FracLEACHMM*MMLeachEF*NtoN2O*kgtoGg</f>
        <v>4.640631585726222E-3</v>
      </c>
      <c r="M179" s="22">
        <f>Constants!$H70*'Activity data'!M12*Constants!$H88*FracLEACHMM*MMLeachEF*NtoN2O*kgtoGg</f>
        <v>4.574211188576453E-3</v>
      </c>
      <c r="N179" s="22">
        <f>Constants!$H70*'Activity data'!N12*Constants!$H88*FracLEACHMM*MMLeachEF*NtoN2O*kgtoGg</f>
        <v>4.5894699284622113E-3</v>
      </c>
      <c r="O179" s="22">
        <f>Constants!$H70*'Activity data'!O12*Constants!$H88*FracLEACHMM*MMLeachEF*NtoN2O*kgtoGg</f>
        <v>4.4896598181506653E-3</v>
      </c>
      <c r="P179" s="22">
        <f>Constants!$H70*'Activity data'!P12*Constants!$H88*FracLEACHMM*MMLeachEF*NtoN2O*kgtoGg</f>
        <v>4.5020463246461771E-3</v>
      </c>
      <c r="Q179" s="22">
        <f>Constants!$H70*'Activity data'!Q12*Constants!$H88*FracLEACHMM*MMLeachEF*NtoN2O*kgtoGg</f>
        <v>4.3914653391211545E-3</v>
      </c>
      <c r="R179" s="22">
        <f>Constants!$H70*'Activity data'!R12*Constants!$H88*FracLEACHMM*MMLeachEF*NtoN2O*kgtoGg</f>
        <v>4.2340310464175105E-3</v>
      </c>
      <c r="S179" s="22">
        <f>Constants!$H70*'Activity data'!S12*Constants!$H88*FracLEACHMM*MMLeachEF*NtoN2O*kgtoGg</f>
        <v>4.1284764693254421E-3</v>
      </c>
      <c r="T179" s="22">
        <f>Constants!$H70*'Activity data'!T12*Constants!$H88*FracLEACHMM*MMLeachEF*NtoN2O*kgtoGg</f>
        <v>4.0595428679591952E-3</v>
      </c>
      <c r="U179" s="22">
        <f>Constants!$H70*'Activity data'!U12*Constants!$H88*FracLEACHMM*MMLeachEF*NtoN2O*kgtoGg</f>
        <v>4.0737245203236053E-3</v>
      </c>
      <c r="V179" s="22">
        <f>Constants!$H70*'Activity data'!V12*Constants!$H88*FracLEACHMM*MMLeachEF*NtoN2O*kgtoGg</f>
        <v>4.0012006272195314E-3</v>
      </c>
      <c r="W179" s="22">
        <f>Constants!$H70*'Activity data'!W12*Constants!$H88*FracLEACHMM*MMLeachEF*NtoN2O*kgtoGg</f>
        <v>3.9916863541142947E-3</v>
      </c>
      <c r="X179" s="22">
        <f>Constants!$H70*'Activity data'!X12*Constants!$H88*FracLEACHMM*MMLeachEF*NtoN2O*kgtoGg</f>
        <v>3.939447609328935E-3</v>
      </c>
      <c r="Y179" s="22">
        <f>Constants!$H70*'Activity data'!Y12*Constants!$H88*FracLEACHMM*MMLeachEF*NtoN2O*kgtoGg</f>
        <v>3.9356778030042172E-3</v>
      </c>
      <c r="Z179" s="22">
        <f>Constants!$H70*'Activity data'!Z12*Constants!$H88*FracLEACHMM*MMLeachEF*NtoN2O*kgtoGg</f>
        <v>3.9484233386734985E-3</v>
      </c>
      <c r="AA179" s="22">
        <f>Constants!$H70*'Activity data'!AA12*Constants!$H88*FracLEACHMM*MMLeachEF*NtoN2O*kgtoGg</f>
        <v>3.9344212008959783E-3</v>
      </c>
      <c r="AB179" s="22">
        <f>Constants!$H70*'Activity data'!AB12*Constants!$H88*FracLEACHMM*MMLeachEF*NtoN2O*kgtoGg</f>
        <v>3.8583070160540809E-3</v>
      </c>
      <c r="AC179" s="22">
        <f>Constants!$H70*'Activity data'!AC12*Constants!$H88*FracLEACHMM*MMLeachEF*NtoN2O*kgtoGg</f>
        <v>3.8281485654563466E-3</v>
      </c>
      <c r="AD179" s="22">
        <f>Constants!$H70*'Activity data'!AD12*Constants!$H88*FracLEACHMM*MMLeachEF*NtoN2O*kgtoGg</f>
        <v>3.6553332337733585E-3</v>
      </c>
      <c r="AE179" s="22">
        <f>Constants!$H70*'Activity data'!AE12*Constants!$H88*FracLEACHMM*MMLeachEF*NtoN2O*kgtoGg</f>
        <v>3.6573884950121551E-3</v>
      </c>
      <c r="AF179" s="22">
        <f>Constants!$H70*'Activity data'!AF12*Constants!$H88*FracLEACHMM*MMLeachEF*NtoN2O*kgtoGg</f>
        <v>3.6618793029214859E-3</v>
      </c>
      <c r="AG179" s="22">
        <f>Constants!$H70*'Activity data'!AG12*Constants!$H88*FracLEACHMM*MMLeachEF*NtoN2O*kgtoGg</f>
        <v>3.6686856566869783E-3</v>
      </c>
      <c r="AH179" s="22">
        <f>Constants!$H70*'Activity data'!AH12*Constants!$H88*FracLEACHMM*MMLeachEF*NtoN2O*kgtoGg</f>
        <v>3.6777399173322741E-3</v>
      </c>
      <c r="AI179" s="22">
        <f>Constants!$H70*'Activity data'!AI12*Constants!$H88*FracLEACHMM*MMLeachEF*NtoN2O*kgtoGg</f>
        <v>3.6891183769874195E-3</v>
      </c>
      <c r="AJ179" s="22">
        <f>Constants!$H70*'Activity data'!AJ12*Constants!$H88*FracLEACHMM*MMLeachEF*NtoN2O*kgtoGg</f>
        <v>3.7018118056427554E-3</v>
      </c>
      <c r="AK179" s="22">
        <f>Constants!$H70*'Activity data'!AK12*Constants!$H88*FracLEACHMM*MMLeachEF*NtoN2O*kgtoGg</f>
        <v>3.7157852822384879E-3</v>
      </c>
      <c r="AL179" s="22">
        <f>Constants!$H70*'Activity data'!AL12*Constants!$H88*FracLEACHMM*MMLeachEF*NtoN2O*kgtoGg</f>
        <v>3.7286676089808945E-3</v>
      </c>
      <c r="AM179" s="22">
        <f>Constants!$H70*'Activity data'!AM12*Constants!$H88*FracLEACHMM*MMLeachEF*NtoN2O*kgtoGg</f>
        <v>3.7383438064929873E-3</v>
      </c>
      <c r="AN179" s="22">
        <f>Constants!$H70*'Activity data'!AN12*Constants!$H88*FracLEACHMM*MMLeachEF*NtoN2O*kgtoGg</f>
        <v>3.7467337951129468E-3</v>
      </c>
      <c r="AO179" s="22">
        <f>Constants!$H70*'Activity data'!AO12*Constants!$H88*FracLEACHMM*MMLeachEF*NtoN2O*kgtoGg</f>
        <v>3.7537859190689082E-3</v>
      </c>
      <c r="AP179" s="22">
        <f>Constants!$H70*'Activity data'!AP12*Constants!$H88*FracLEACHMM*MMLeachEF*NtoN2O*kgtoGg</f>
        <v>3.7608667608899716E-3</v>
      </c>
      <c r="AQ179" s="22">
        <f>Constants!$H70*'Activity data'!AQ12*Constants!$H88*FracLEACHMM*MMLeachEF*NtoN2O*kgtoGg</f>
        <v>3.7678760505171914E-3</v>
      </c>
      <c r="AR179" s="22">
        <f>Constants!$H70*'Activity data'!AR12*Constants!$H88*FracLEACHMM*MMLeachEF*NtoN2O*kgtoGg</f>
        <v>3.7748515150032125E-3</v>
      </c>
      <c r="AS179" s="22">
        <f>Constants!$H70*'Activity data'!AS12*Constants!$H88*FracLEACHMM*MMLeachEF*NtoN2O*kgtoGg</f>
        <v>3.7816837456943956E-3</v>
      </c>
      <c r="AT179" s="22">
        <f>Constants!$H70*'Activity data'!AT12*Constants!$H88*FracLEACHMM*MMLeachEF*NtoN2O*kgtoGg</f>
        <v>3.7883400215409781E-3</v>
      </c>
      <c r="AU179" s="22">
        <f>Constants!$H70*'Activity data'!AU12*Constants!$H88*FracLEACHMM*MMLeachEF*NtoN2O*kgtoGg</f>
        <v>3.7949452087625629E-3</v>
      </c>
      <c r="AV179" s="22">
        <f>Constants!$H70*'Activity data'!AV12*Constants!$H88*FracLEACHMM*MMLeachEF*NtoN2O*kgtoGg</f>
        <v>3.801331161765275E-3</v>
      </c>
      <c r="AW179" s="22">
        <f>Constants!$H70*'Activity data'!AW12*Constants!$H88*FracLEACHMM*MMLeachEF*NtoN2O*kgtoGg</f>
        <v>3.807729648409999E-3</v>
      </c>
      <c r="AX179" s="22">
        <f>Constants!$H70*'Activity data'!AX12*Constants!$H88*FracLEACHMM*MMLeachEF*NtoN2O*kgtoGg</f>
        <v>3.813969318248856E-3</v>
      </c>
      <c r="AY179" s="22">
        <f>Constants!$H70*'Activity data'!AY12*Constants!$H88*FracLEACHMM*MMLeachEF*NtoN2O*kgtoGg</f>
        <v>3.8200257183790168E-3</v>
      </c>
      <c r="AZ179" s="22">
        <f>Constants!$H70*'Activity data'!AZ12*Constants!$H88*FracLEACHMM*MMLeachEF*NtoN2O*kgtoGg</f>
        <v>3.8258696912101607E-3</v>
      </c>
      <c r="BA179" s="22">
        <f>Constants!$H70*'Activity data'!BA12*Constants!$H88*FracLEACHMM*MMLeachEF*NtoN2O*kgtoGg</f>
        <v>3.8315504560622066E-3</v>
      </c>
      <c r="BB179" s="22">
        <f>Constants!$H70*'Activity data'!BB12*Constants!$H88*FracLEACHMM*MMLeachEF*NtoN2O*kgtoGg</f>
        <v>3.8370452667908588E-3</v>
      </c>
      <c r="BC179" s="22">
        <f>Constants!$H70*'Activity data'!BC12*Constants!$H88*FracLEACHMM*MMLeachEF*NtoN2O*kgtoGg</f>
        <v>3.8423174792838878E-3</v>
      </c>
      <c r="BD179" s="22">
        <f>Constants!$H70*'Activity data'!BD12*Constants!$H88*FracLEACHMM*MMLeachEF*NtoN2O*kgtoGg</f>
        <v>3.8473077549636557E-3</v>
      </c>
      <c r="BE179" s="22">
        <f>Constants!$H70*'Activity data'!BE12*Constants!$H88*FracLEACHMM*MMLeachEF*NtoN2O*kgtoGg</f>
        <v>3.8520892292615962E-3</v>
      </c>
      <c r="BF179" s="22">
        <f>Constants!$H70*'Activity data'!BF12*Constants!$H88*FracLEACHMM*MMLeachEF*NtoN2O*kgtoGg</f>
        <v>3.8566670335452168E-3</v>
      </c>
      <c r="BG179" s="22">
        <f>Constants!$H70*'Activity data'!BG12*Constants!$H88*FracLEACHMM*MMLeachEF*NtoN2O*kgtoGg</f>
        <v>3.8610131740204065E-3</v>
      </c>
      <c r="BH179" s="22">
        <f>Constants!$H70*'Activity data'!BH12*Constants!$H88*FracLEACHMM*MMLeachEF*NtoN2O*kgtoGg</f>
        <v>3.8651080334985944E-3</v>
      </c>
      <c r="BI179" s="22">
        <f>Constants!$H70*'Activity data'!BI12*Constants!$H88*FracLEACHMM*MMLeachEF*NtoN2O*kgtoGg</f>
        <v>3.8689378771935888E-3</v>
      </c>
      <c r="BJ179" s="22">
        <f>Constants!$H70*'Activity data'!BJ12*Constants!$H88*FracLEACHMM*MMLeachEF*NtoN2O*kgtoGg</f>
        <v>3.8724907272043008E-3</v>
      </c>
      <c r="BK179" s="22">
        <f>Constants!$H70*'Activity data'!BK12*Constants!$H88*FracLEACHMM*MMLeachEF*NtoN2O*kgtoGg</f>
        <v>3.8757622520028687E-3</v>
      </c>
      <c r="BL179" s="22">
        <f>Constants!$H70*'Activity data'!BL12*Constants!$H88*FracLEACHMM*MMLeachEF*NtoN2O*kgtoGg</f>
        <v>3.8786254797872795E-3</v>
      </c>
      <c r="BM179" s="22">
        <f>Constants!$H70*'Activity data'!BM12*Constants!$H88*FracLEACHMM*MMLeachEF*NtoN2O*kgtoGg</f>
        <v>3.8811777388397537E-3</v>
      </c>
      <c r="BN179" s="22">
        <f>Constants!$H70*'Activity data'!BN12*Constants!$H88*FracLEACHMM*MMLeachEF*NtoN2O*kgtoGg</f>
        <v>3.8834162088528714E-3</v>
      </c>
      <c r="BO179" s="22">
        <f>Constants!$H70*'Activity data'!BO12*Constants!$H88*FracLEACHMM*MMLeachEF*NtoN2O*kgtoGg</f>
        <v>3.8853273244699089E-3</v>
      </c>
      <c r="BP179" s="22">
        <f>Constants!$H70*'Activity data'!BP12*Constants!$H88*FracLEACHMM*MMLeachEF*NtoN2O*kgtoGg</f>
        <v>3.8869278551100445E-3</v>
      </c>
    </row>
    <row r="180" spans="1:68" x14ac:dyDescent="0.25">
      <c r="A180" t="str">
        <f t="shared" si="58"/>
        <v>3C Aggregated and non-CO2 emissions on land</v>
      </c>
      <c r="B180" t="str">
        <f t="shared" si="65"/>
        <v>3C6 Indirect N2O from manure management (N2O)</v>
      </c>
      <c r="C180" t="str">
        <f t="shared" si="67"/>
        <v>Leaching/runoff</v>
      </c>
      <c r="D180" t="str">
        <f t="shared" si="66"/>
        <v xml:space="preserve"> - Commercial goats</v>
      </c>
      <c r="E180" t="str">
        <f t="shared" si="64"/>
        <v>Leaching/runoff - Commercial goats</v>
      </c>
      <c r="F180" t="str">
        <f t="shared" si="47"/>
        <v>N2O</v>
      </c>
      <c r="G180" t="str">
        <f t="shared" si="48"/>
        <v>Gg N2O</v>
      </c>
      <c r="H180" s="22">
        <f>Constants!$H71*'Activity data'!H13*Constants!$H89*FracLEACHMM*MMLeachEF*NtoN2O*kgtoGg</f>
        <v>7.2865318808700474E-4</v>
      </c>
      <c r="I180" s="22">
        <f>Constants!$H71*'Activity data'!I13*Constants!$H89*FracLEACHMM*MMLeachEF*NtoN2O*kgtoGg</f>
        <v>6.4433535341651871E-4</v>
      </c>
      <c r="J180" s="22">
        <f>Constants!$H71*'Activity data'!J13*Constants!$H89*FracLEACHMM*MMLeachEF*NtoN2O*kgtoGg</f>
        <v>6.0020639321514246E-4</v>
      </c>
      <c r="K180" s="22">
        <f>Constants!$H71*'Activity data'!K13*Constants!$H89*FracLEACHMM*MMLeachEF*NtoN2O*kgtoGg</f>
        <v>5.6710967306411041E-4</v>
      </c>
      <c r="L180" s="22">
        <f>Constants!$H71*'Activity data'!L13*Constants!$H89*FracLEACHMM*MMLeachEF*NtoN2O*kgtoGg</f>
        <v>6.138653570869968E-4</v>
      </c>
      <c r="M180" s="22">
        <f>Constants!$H71*'Activity data'!M13*Constants!$H89*FracLEACHMM*MMLeachEF*NtoN2O*kgtoGg</f>
        <v>6.2227087331583042E-4</v>
      </c>
      <c r="N180" s="22">
        <f>Constants!$H71*'Activity data'!N13*Constants!$H89*FracLEACHMM*MMLeachEF*NtoN2O*kgtoGg</f>
        <v>6.3198975145541928E-4</v>
      </c>
      <c r="O180" s="22">
        <f>Constants!$H71*'Activity data'!O13*Constants!$H89*FracLEACHMM*MMLeachEF*NtoN2O*kgtoGg</f>
        <v>6.2883768286960682E-4</v>
      </c>
      <c r="P180" s="22">
        <f>Constants!$H71*'Activity data'!P13*Constants!$H89*FracLEACHMM*MMLeachEF*NtoN2O*kgtoGg</f>
        <v>6.1990682187647121E-4</v>
      </c>
      <c r="Q180" s="22">
        <f>Constants!$H71*'Activity data'!Q13*Constants!$H89*FracLEACHMM*MMLeachEF*NtoN2O*kgtoGg</f>
        <v>6.1071328850118467E-4</v>
      </c>
      <c r="R180" s="22">
        <f>Constants!$H71*'Activity data'!R13*Constants!$H89*FracLEACHMM*MMLeachEF*NtoN2O*kgtoGg</f>
        <v>6.1859345996571587E-4</v>
      </c>
      <c r="S180" s="22">
        <f>Constants!$H71*'Activity data'!S13*Constants!$H89*FracLEACHMM*MMLeachEF*NtoN2O*kgtoGg</f>
        <v>6.3750587148059137E-4</v>
      </c>
      <c r="T180" s="22">
        <f>Constants!$H71*'Activity data'!T13*Constants!$H89*FracLEACHMM*MMLeachEF*NtoN2O*kgtoGg</f>
        <v>5.8208199884672053E-4</v>
      </c>
      <c r="U180" s="22">
        <f>Constants!$H71*'Activity data'!U13*Constants!$H89*FracLEACHMM*MMLeachEF*NtoN2O*kgtoGg</f>
        <v>5.6737234544626167E-4</v>
      </c>
      <c r="V180" s="22">
        <f>Constants!$H71*'Activity data'!V13*Constants!$H89*FracLEACHMM*MMLeachEF*NtoN2O*kgtoGg</f>
        <v>5.6842303497486597E-4</v>
      </c>
      <c r="W180" s="22">
        <f>Constants!$H71*'Activity data'!W13*Constants!$H89*FracLEACHMM*MMLeachEF*NtoN2O*kgtoGg</f>
        <v>5.6106820827463643E-4</v>
      </c>
      <c r="X180" s="22">
        <f>Constants!$H71*'Activity data'!X13*Constants!$H89*FracLEACHMM*MMLeachEF*NtoN2O*kgtoGg</f>
        <v>5.7288846547143355E-4</v>
      </c>
      <c r="Y180" s="22">
        <f>Constants!$H71*'Activity data'!Y13*Constants!$H89*FracLEACHMM*MMLeachEF*NtoN2O*kgtoGg</f>
        <v>5.558147606316157E-4</v>
      </c>
      <c r="Z180" s="22">
        <f>Constants!$H71*'Activity data'!Z13*Constants!$H89*FracLEACHMM*MMLeachEF*NtoN2O*kgtoGg</f>
        <v>5.5528941586731361E-4</v>
      </c>
      <c r="AA180" s="22">
        <f>Constants!$H71*'Activity data'!AA13*Constants!$H89*FracLEACHMM*MMLeachEF*NtoN2O*kgtoGg</f>
        <v>5.4557053772772487E-4</v>
      </c>
      <c r="AB180" s="22">
        <f>Constants!$H71*'Activity data'!AB13*Constants!$H89*FracLEACHMM*MMLeachEF*NtoN2O*kgtoGg</f>
        <v>5.3900372817394858E-4</v>
      </c>
      <c r="AC180" s="22">
        <f>Constants!$H71*'Activity data'!AC13*Constants!$H89*FracLEACHMM*MMLeachEF*NtoN2O*kgtoGg</f>
        <v>5.3401295291307879E-4</v>
      </c>
      <c r="AD180" s="22">
        <f>Constants!$H71*'Activity data'!AD13*Constants!$H89*FracLEACHMM*MMLeachEF*NtoN2O*kgtoGg</f>
        <v>5.43194147518617E-4</v>
      </c>
      <c r="AE180" s="22">
        <f>Constants!$H71*'Activity data'!AE13*Constants!$H89*FracLEACHMM*MMLeachEF*NtoN2O*kgtoGg</f>
        <v>5.446249265009948E-4</v>
      </c>
      <c r="AF180" s="22">
        <f>Constants!$H71*'Activity data'!AF13*Constants!$H89*FracLEACHMM*MMLeachEF*NtoN2O*kgtoGg</f>
        <v>5.4651789742544293E-4</v>
      </c>
      <c r="AG180" s="22">
        <f>Constants!$H71*'Activity data'!AG13*Constants!$H89*FracLEACHMM*MMLeachEF*NtoN2O*kgtoGg</f>
        <v>5.4885347963570569E-4</v>
      </c>
      <c r="AH180" s="22">
        <f>Constants!$H71*'Activity data'!AH13*Constants!$H89*FracLEACHMM*MMLeachEF*NtoN2O*kgtoGg</f>
        <v>5.5162267073422888E-4</v>
      </c>
      <c r="AI180" s="22">
        <f>Constants!$H71*'Activity data'!AI13*Constants!$H89*FracLEACHMM*MMLeachEF*NtoN2O*kgtoGg</f>
        <v>5.5484854983523402E-4</v>
      </c>
      <c r="AJ180" s="22">
        <f>Constants!$H71*'Activity data'!AJ13*Constants!$H89*FracLEACHMM*MMLeachEF*NtoN2O*kgtoGg</f>
        <v>5.5830134760352103E-4</v>
      </c>
      <c r="AK180" s="22">
        <f>Constants!$H71*'Activity data'!AK13*Constants!$H89*FracLEACHMM*MMLeachEF*NtoN2O*kgtoGg</f>
        <v>5.6197796816575662E-4</v>
      </c>
      <c r="AL180" s="22">
        <f>Constants!$H71*'Activity data'!AL13*Constants!$H89*FracLEACHMM*MMLeachEF*NtoN2O*kgtoGg</f>
        <v>5.6533630917118588E-4</v>
      </c>
      <c r="AM180" s="22">
        <f>Constants!$H71*'Activity data'!AM13*Constants!$H89*FracLEACHMM*MMLeachEF*NtoN2O*kgtoGg</f>
        <v>5.6789808902858545E-4</v>
      </c>
      <c r="AN180" s="22">
        <f>Constants!$H71*'Activity data'!AN13*Constants!$H89*FracLEACHMM*MMLeachEF*NtoN2O*kgtoGg</f>
        <v>5.7011386120691201E-4</v>
      </c>
      <c r="AO180" s="22">
        <f>Constants!$H71*'Activity data'!AO13*Constants!$H89*FracLEACHMM*MMLeachEF*NtoN2O*kgtoGg</f>
        <v>5.7197817092195249E-4</v>
      </c>
      <c r="AP180" s="22">
        <f>Constants!$H71*'Activity data'!AP13*Constants!$H89*FracLEACHMM*MMLeachEF*NtoN2O*kgtoGg</f>
        <v>5.7380853138413058E-4</v>
      </c>
      <c r="AQ180" s="22">
        <f>Constants!$H71*'Activity data'!AQ13*Constants!$H89*FracLEACHMM*MMLeachEF*NtoN2O*kgtoGg</f>
        <v>5.7558522782547397E-4</v>
      </c>
      <c r="AR180" s="22">
        <f>Constants!$H71*'Activity data'!AR13*Constants!$H89*FracLEACHMM*MMLeachEF*NtoN2O*kgtoGg</f>
        <v>5.7731973352849464E-4</v>
      </c>
      <c r="AS180" s="22">
        <f>Constants!$H71*'Activity data'!AS13*Constants!$H89*FracLEACHMM*MMLeachEF*NtoN2O*kgtoGg</f>
        <v>5.7898980957338589E-4</v>
      </c>
      <c r="AT180" s="22">
        <f>Constants!$H71*'Activity data'!AT13*Constants!$H89*FracLEACHMM*MMLeachEF*NtoN2O*kgtoGg</f>
        <v>5.8059050432267506E-4</v>
      </c>
      <c r="AU180" s="22">
        <f>Constants!$H71*'Activity data'!AU13*Constants!$H89*FracLEACHMM*MMLeachEF*NtoN2O*kgtoGg</f>
        <v>5.8215223440833124E-4</v>
      </c>
      <c r="AV180" s="22">
        <f>Constants!$H71*'Activity data'!AV13*Constants!$H89*FracLEACHMM*MMLeachEF*NtoN2O*kgtoGg</f>
        <v>5.8363902866373323E-4</v>
      </c>
      <c r="AW180" s="22">
        <f>Constants!$H71*'Activity data'!AW13*Constants!$H89*FracLEACHMM*MMLeachEF*NtoN2O*kgtoGg</f>
        <v>5.8510486884545102E-4</v>
      </c>
      <c r="AX180" s="22">
        <f>Constants!$H71*'Activity data'!AX13*Constants!$H89*FracLEACHMM*MMLeachEF*NtoN2O*kgtoGg</f>
        <v>5.8651280045463018E-4</v>
      </c>
      <c r="AY180" s="22">
        <f>Constants!$H71*'Activity data'!AY13*Constants!$H89*FracLEACHMM*MMLeachEF*NtoN2O*kgtoGg</f>
        <v>5.8785890201075029E-4</v>
      </c>
      <c r="AZ180" s="22">
        <f>Constants!$H71*'Activity data'!AZ13*Constants!$H89*FracLEACHMM*MMLeachEF*NtoN2O*kgtoGg</f>
        <v>5.8913811929322093E-4</v>
      </c>
      <c r="BA180" s="22">
        <f>Constants!$H71*'Activity data'!BA13*Constants!$H89*FracLEACHMM*MMLeachEF*NtoN2O*kgtoGg</f>
        <v>5.9036279846709202E-4</v>
      </c>
      <c r="BB180" s="22">
        <f>Constants!$H71*'Activity data'!BB13*Constants!$H89*FracLEACHMM*MMLeachEF*NtoN2O*kgtoGg</f>
        <v>5.9152909609875974E-4</v>
      </c>
      <c r="BC180" s="22">
        <f>Constants!$H71*'Activity data'!BC13*Constants!$H89*FracLEACHMM*MMLeachEF*NtoN2O*kgtoGg</f>
        <v>5.9263003224326743E-4</v>
      </c>
      <c r="BD180" s="22">
        <f>Constants!$H71*'Activity data'!BD13*Constants!$H89*FracLEACHMM*MMLeachEF*NtoN2O*kgtoGg</f>
        <v>5.9365357740359009E-4</v>
      </c>
      <c r="BE180" s="22">
        <f>Constants!$H71*'Activity data'!BE13*Constants!$H89*FracLEACHMM*MMLeachEF*NtoN2O*kgtoGg</f>
        <v>5.9461702014285611E-4</v>
      </c>
      <c r="BF180" s="22">
        <f>Constants!$H71*'Activity data'!BF13*Constants!$H89*FracLEACHMM*MMLeachEF*NtoN2O*kgtoGg</f>
        <v>5.9552245059936633E-4</v>
      </c>
      <c r="BG180" s="22">
        <f>Constants!$H71*'Activity data'!BG13*Constants!$H89*FracLEACHMM*MMLeachEF*NtoN2O*kgtoGg</f>
        <v>5.9636459029658001E-4</v>
      </c>
      <c r="BH180" s="22">
        <f>Constants!$H71*'Activity data'!BH13*Constants!$H89*FracLEACHMM*MMLeachEF*NtoN2O*kgtoGg</f>
        <v>5.9713999138281124E-4</v>
      </c>
      <c r="BI180" s="22">
        <f>Constants!$H71*'Activity data'!BI13*Constants!$H89*FracLEACHMM*MMLeachEF*NtoN2O*kgtoGg</f>
        <v>5.9784647635680694E-4</v>
      </c>
      <c r="BJ180" s="22">
        <f>Constants!$H71*'Activity data'!BJ13*Constants!$H89*FracLEACHMM*MMLeachEF*NtoN2O*kgtoGg</f>
        <v>5.984822260019009E-4</v>
      </c>
      <c r="BK180" s="22">
        <f>Constants!$H71*'Activity data'!BK13*Constants!$H89*FracLEACHMM*MMLeachEF*NtoN2O*kgtoGg</f>
        <v>5.9904706845385078E-4</v>
      </c>
      <c r="BL180" s="22">
        <f>Constants!$H71*'Activity data'!BL13*Constants!$H89*FracLEACHMM*MMLeachEF*NtoN2O*kgtoGg</f>
        <v>5.9951399985834323E-4</v>
      </c>
      <c r="BM180" s="22">
        <f>Constants!$H71*'Activity data'!BM13*Constants!$H89*FracLEACHMM*MMLeachEF*NtoN2O*kgtoGg</f>
        <v>5.9990509125663872E-4</v>
      </c>
      <c r="BN180" s="22">
        <f>Constants!$H71*'Activity data'!BN13*Constants!$H89*FracLEACHMM*MMLeachEF*NtoN2O*kgtoGg</f>
        <v>6.0022042632779495E-4</v>
      </c>
      <c r="BO180" s="22">
        <f>Constants!$H71*'Activity data'!BO13*Constants!$H89*FracLEACHMM*MMLeachEF*NtoN2O*kgtoGg</f>
        <v>6.0045772360048822E-4</v>
      </c>
      <c r="BP180" s="22">
        <f>Constants!$H71*'Activity data'!BP13*Constants!$H89*FracLEACHMM*MMLeachEF*NtoN2O*kgtoGg</f>
        <v>6.0062127589284868E-4</v>
      </c>
    </row>
    <row r="181" spans="1:68" x14ac:dyDescent="0.25">
      <c r="A181" t="str">
        <f t="shared" si="58"/>
        <v>3C Aggregated and non-CO2 emissions on land</v>
      </c>
      <c r="B181" t="str">
        <f t="shared" si="65"/>
        <v>3C6 Indirect N2O from manure management (N2O)</v>
      </c>
      <c r="C181" t="str">
        <f t="shared" si="67"/>
        <v>Leaching/runoff</v>
      </c>
      <c r="D181" t="str">
        <f t="shared" si="66"/>
        <v xml:space="preserve"> - Subsistence goats</v>
      </c>
      <c r="E181" t="str">
        <f t="shared" si="64"/>
        <v>Leaching/runoff - Subsistence goats</v>
      </c>
      <c r="F181" t="str">
        <f t="shared" si="47"/>
        <v>N2O</v>
      </c>
      <c r="G181" t="str">
        <f t="shared" si="48"/>
        <v>Gg N2O</v>
      </c>
      <c r="H181" s="22">
        <f>Constants!$H72*'Activity data'!H14*Constants!$H90*FracLEACHMM*MMLeachEF*NtoN2O*kgtoGg</f>
        <v>9.1435792098573387E-3</v>
      </c>
      <c r="I181" s="22">
        <f>Constants!$H72*'Activity data'!I14*Constants!$H90*FracLEACHMM*MMLeachEF*NtoN2O*kgtoGg</f>
        <v>8.0855082198197752E-3</v>
      </c>
      <c r="J181" s="22">
        <f>Constants!$H72*'Activity data'!J14*Constants!$H90*FracLEACHMM*MMLeachEF*NtoN2O*kgtoGg</f>
        <v>7.5317514399870309E-3</v>
      </c>
      <c r="K181" s="22">
        <f>Constants!$H72*'Activity data'!K14*Constants!$H90*FracLEACHMM*MMLeachEF*NtoN2O*kgtoGg</f>
        <v>7.1164338551124723E-3</v>
      </c>
      <c r="L181" s="22">
        <f>Constants!$H72*'Activity data'!L14*Constants!$H90*FracLEACHMM*MMLeachEF*NtoN2O*kgtoGg</f>
        <v>7.7031523480304998E-3</v>
      </c>
      <c r="M181" s="22">
        <f>Constants!$H72*'Activity data'!M14*Constants!$H90*FracLEACHMM*MMLeachEF*NtoN2O*kgtoGg</f>
        <v>7.808629829903403E-3</v>
      </c>
      <c r="N181" s="22">
        <f>Constants!$H72*'Activity data'!N14*Constants!$H90*FracLEACHMM*MMLeachEF*NtoN2O*kgtoGg</f>
        <v>7.9305881683189496E-3</v>
      </c>
      <c r="O181" s="22">
        <f>Constants!$H72*'Activity data'!O14*Constants!$H90*FracLEACHMM*MMLeachEF*NtoN2O*kgtoGg</f>
        <v>7.8910341126166086E-3</v>
      </c>
      <c r="P181" s="22">
        <f>Constants!$H72*'Activity data'!P14*Constants!$H90*FracLEACHMM*MMLeachEF*NtoN2O*kgtoGg</f>
        <v>7.7789642881266486E-3</v>
      </c>
      <c r="Q181" s="22">
        <f>Constants!$H72*'Activity data'!Q14*Constants!$H90*FracLEACHMM*MMLeachEF*NtoN2O*kgtoGg</f>
        <v>7.6635982923281606E-3</v>
      </c>
      <c r="R181" s="22">
        <f>Constants!$H72*'Activity data'!R14*Constants!$H90*FracLEACHMM*MMLeachEF*NtoN2O*kgtoGg</f>
        <v>7.7624834315840096E-3</v>
      </c>
      <c r="S181" s="22">
        <f>Constants!$H72*'Activity data'!S14*Constants!$H90*FracLEACHMM*MMLeachEF*NtoN2O*kgtoGg</f>
        <v>7.9998077657980407E-3</v>
      </c>
      <c r="T181" s="22">
        <f>Constants!$H72*'Activity data'!T14*Constants!$H90*FracLEACHMM*MMLeachEF*NtoN2O*kgtoGg</f>
        <v>7.3043156196985837E-3</v>
      </c>
      <c r="U181" s="22">
        <f>Constants!$H72*'Activity data'!U14*Constants!$H90*FracLEACHMM*MMLeachEF*NtoN2O*kgtoGg</f>
        <v>7.1197300264210003E-3</v>
      </c>
      <c r="V181" s="22">
        <f>Constants!$H72*'Activity data'!V14*Constants!$H90*FracLEACHMM*MMLeachEF*NtoN2O*kgtoGg</f>
        <v>7.1329147116551139E-3</v>
      </c>
      <c r="W181" s="22">
        <f>Constants!$H72*'Activity data'!W14*Constants!$H90*FracLEACHMM*MMLeachEF*NtoN2O*kgtoGg</f>
        <v>7.0406219150163226E-3</v>
      </c>
      <c r="X181" s="22">
        <f>Constants!$H72*'Activity data'!X14*Constants!$H90*FracLEACHMM*MMLeachEF*NtoN2O*kgtoGg</f>
        <v>7.1889496239000948E-3</v>
      </c>
      <c r="Y181" s="22">
        <f>Constants!$H72*'Activity data'!Y14*Constants!$H90*FracLEACHMM*MMLeachEF*NtoN2O*kgtoGg</f>
        <v>6.9746984888457595E-3</v>
      </c>
      <c r="Z181" s="22">
        <f>Constants!$H72*'Activity data'!Z14*Constants!$H90*FracLEACHMM*MMLeachEF*NtoN2O*kgtoGg</f>
        <v>6.9681061462287001E-3</v>
      </c>
      <c r="AA181" s="22">
        <f>Constants!$H72*'Activity data'!AA14*Constants!$H90*FracLEACHMM*MMLeachEF*NtoN2O*kgtoGg</f>
        <v>6.846147807813157E-3</v>
      </c>
      <c r="AB181" s="22">
        <f>Constants!$H72*'Activity data'!AB14*Constants!$H90*FracLEACHMM*MMLeachEF*NtoN2O*kgtoGg</f>
        <v>6.7637435250999514E-3</v>
      </c>
      <c r="AC181" s="22">
        <f>Constants!$H72*'Activity data'!AC14*Constants!$H90*FracLEACHMM*MMLeachEF*NtoN2O*kgtoGg</f>
        <v>6.7011162702379145E-3</v>
      </c>
      <c r="AD181" s="22">
        <f>Constants!$H72*'Activity data'!AD14*Constants!$H90*FracLEACHMM*MMLeachEF*NtoN2O*kgtoGg</f>
        <v>6.6988157994452794E-3</v>
      </c>
      <c r="AE181" s="22">
        <f>Constants!$H72*'Activity data'!AE14*Constants!$H90*FracLEACHMM*MMLeachEF*NtoN2O*kgtoGg</f>
        <v>6.7164605492947569E-3</v>
      </c>
      <c r="AF181" s="22">
        <f>Constants!$H72*'Activity data'!AF14*Constants!$H90*FracLEACHMM*MMLeachEF*NtoN2O*kgtoGg</f>
        <v>6.7398051740380693E-3</v>
      </c>
      <c r="AG181" s="22">
        <f>Constants!$H72*'Activity data'!AG14*Constants!$H90*FracLEACHMM*MMLeachEF*NtoN2O*kgtoGg</f>
        <v>6.7686081997747824E-3</v>
      </c>
      <c r="AH181" s="22">
        <f>Constants!$H72*'Activity data'!AH14*Constants!$H90*FracLEACHMM*MMLeachEF*NtoN2O*kgtoGg</f>
        <v>6.8027586065256837E-3</v>
      </c>
      <c r="AI181" s="22">
        <f>Constants!$H72*'Activity data'!AI14*Constants!$H90*FracLEACHMM*MMLeachEF*NtoN2O*kgtoGg</f>
        <v>6.8425410121123968E-3</v>
      </c>
      <c r="AJ181" s="22">
        <f>Constants!$H72*'Activity data'!AJ14*Constants!$H90*FracLEACHMM*MMLeachEF*NtoN2O*kgtoGg</f>
        <v>6.8851218395166473E-3</v>
      </c>
      <c r="AK181" s="22">
        <f>Constants!$H72*'Activity data'!AK14*Constants!$H90*FracLEACHMM*MMLeachEF*NtoN2O*kgtoGg</f>
        <v>6.9304629095988234E-3</v>
      </c>
      <c r="AL181" s="22">
        <f>Constants!$H72*'Activity data'!AL14*Constants!$H90*FracLEACHMM*MMLeachEF*NtoN2O*kgtoGg</f>
        <v>6.9718788708897604E-3</v>
      </c>
      <c r="AM181" s="22">
        <f>Constants!$H72*'Activity data'!AM14*Constants!$H90*FracLEACHMM*MMLeachEF*NtoN2O*kgtoGg</f>
        <v>7.0034714266303559E-3</v>
      </c>
      <c r="AN181" s="22">
        <f>Constants!$H72*'Activity data'!AN14*Constants!$H90*FracLEACHMM*MMLeachEF*NtoN2O*kgtoGg</f>
        <v>7.0307969229449832E-3</v>
      </c>
      <c r="AO181" s="22">
        <f>Constants!$H72*'Activity data'!AO14*Constants!$H90*FracLEACHMM*MMLeachEF*NtoN2O*kgtoGg</f>
        <v>7.0537880899728712E-3</v>
      </c>
      <c r="AP181" s="22">
        <f>Constants!$H72*'Activity data'!AP14*Constants!$H90*FracLEACHMM*MMLeachEF*NtoN2O*kgtoGg</f>
        <v>7.0763605857162995E-3</v>
      </c>
      <c r="AQ181" s="22">
        <f>Constants!$H72*'Activity data'!AQ14*Constants!$H90*FracLEACHMM*MMLeachEF*NtoN2O*kgtoGg</f>
        <v>7.0982712823732079E-3</v>
      </c>
      <c r="AR181" s="22">
        <f>Constants!$H72*'Activity data'!AR14*Constants!$H90*FracLEACHMM*MMLeachEF*NtoN2O*kgtoGg</f>
        <v>7.1196616715383009E-3</v>
      </c>
      <c r="AS181" s="22">
        <f>Constants!$H72*'Activity data'!AS14*Constants!$H90*FracLEACHMM*MMLeachEF*NtoN2O*kgtoGg</f>
        <v>7.1402574968926396E-3</v>
      </c>
      <c r="AT181" s="22">
        <f>Constants!$H72*'Activity data'!AT14*Constants!$H90*FracLEACHMM*MMLeachEF*NtoN2O*kgtoGg</f>
        <v>7.15999769351591E-3</v>
      </c>
      <c r="AU181" s="22">
        <f>Constants!$H72*'Activity data'!AU14*Constants!$H90*FracLEACHMM*MMLeachEF*NtoN2O*kgtoGg</f>
        <v>7.1792573674650017E-3</v>
      </c>
      <c r="AV181" s="22">
        <f>Constants!$H72*'Activity data'!AV14*Constants!$H90*FracLEACHMM*MMLeachEF*NtoN2O*kgtoGg</f>
        <v>7.1975929126731177E-3</v>
      </c>
      <c r="AW181" s="22">
        <f>Constants!$H72*'Activity data'!AW14*Constants!$H90*FracLEACHMM*MMLeachEF*NtoN2O*kgtoGg</f>
        <v>7.2156700466290118E-3</v>
      </c>
      <c r="AX181" s="22">
        <f>Constants!$H72*'Activity data'!AX14*Constants!$H90*FracLEACHMM*MMLeachEF*NtoN2O*kgtoGg</f>
        <v>7.2330330365492686E-3</v>
      </c>
      <c r="AY181" s="22">
        <f>Constants!$H72*'Activity data'!AY14*Constants!$H90*FracLEACHMM*MMLeachEF*NtoN2O*kgtoGg</f>
        <v>7.2496335216851778E-3</v>
      </c>
      <c r="AZ181" s="22">
        <f>Constants!$H72*'Activity data'!AZ14*Constants!$H90*FracLEACHMM*MMLeachEF*NtoN2O*kgtoGg</f>
        <v>7.2654091720339205E-3</v>
      </c>
      <c r="BA181" s="22">
        <f>Constants!$H72*'Activity data'!BA14*Constants!$H90*FracLEACHMM*MMLeachEF*NtoN2O*kgtoGg</f>
        <v>7.2805122438115823E-3</v>
      </c>
      <c r="BB181" s="22">
        <f>Constants!$H72*'Activity data'!BB14*Constants!$H90*FracLEACHMM*MMLeachEF*NtoN2O*kgtoGg</f>
        <v>7.2948953387649432E-3</v>
      </c>
      <c r="BC181" s="22">
        <f>Constants!$H72*'Activity data'!BC14*Constants!$H90*FracLEACHMM*MMLeachEF*NtoN2O*kgtoGg</f>
        <v>7.3084723783422272E-3</v>
      </c>
      <c r="BD181" s="22">
        <f>Constants!$H72*'Activity data'!BD14*Constants!$H90*FracLEACHMM*MMLeachEF*NtoN2O*kgtoGg</f>
        <v>7.3210950115622942E-3</v>
      </c>
      <c r="BE181" s="22">
        <f>Constants!$H72*'Activity data'!BE14*Constants!$H90*FracLEACHMM*MMLeachEF*NtoN2O*kgtoGg</f>
        <v>7.3329764456188636E-3</v>
      </c>
      <c r="BF181" s="22">
        <f>Constants!$H72*'Activity data'!BF14*Constants!$H90*FracLEACHMM*MMLeachEF*NtoN2O*kgtoGg</f>
        <v>7.3441424566575994E-3</v>
      </c>
      <c r="BG181" s="22">
        <f>Constants!$H72*'Activity data'!BG14*Constants!$H90*FracLEACHMM*MMLeachEF*NtoN2O*kgtoGg</f>
        <v>7.354527949091208E-3</v>
      </c>
      <c r="BH181" s="22">
        <f>Constants!$H72*'Activity data'!BH14*Constants!$H90*FracLEACHMM*MMLeachEF*NtoN2O*kgtoGg</f>
        <v>7.3640904030886946E-3</v>
      </c>
      <c r="BI181" s="22">
        <f>Constants!$H72*'Activity data'!BI14*Constants!$H90*FracLEACHMM*MMLeachEF*NtoN2O*kgtoGg</f>
        <v>7.3728029651210633E-3</v>
      </c>
      <c r="BJ181" s="22">
        <f>Constants!$H72*'Activity data'!BJ14*Constants!$H90*FracLEACHMM*MMLeachEF*NtoN2O*kgtoGg</f>
        <v>7.3806432001208375E-3</v>
      </c>
      <c r="BK181" s="22">
        <f>Constants!$H72*'Activity data'!BK14*Constants!$H90*FracLEACHMM*MMLeachEF*NtoN2O*kgtoGg</f>
        <v>7.3876089886121214E-3</v>
      </c>
      <c r="BL181" s="22">
        <f>Constants!$H72*'Activity data'!BL14*Constants!$H90*FracLEACHMM*MMLeachEF*NtoN2O*kgtoGg</f>
        <v>7.393367311826683E-3</v>
      </c>
      <c r="BM181" s="22">
        <f>Constants!$H72*'Activity data'!BM14*Constants!$H90*FracLEACHMM*MMLeachEF*NtoN2O*kgtoGg</f>
        <v>7.3981903557602336E-3</v>
      </c>
      <c r="BN181" s="22">
        <f>Constants!$H72*'Activity data'!BN14*Constants!$H90*FracLEACHMM*MMLeachEF*NtoN2O*kgtoGg</f>
        <v>7.4020791523653328E-3</v>
      </c>
      <c r="BO181" s="22">
        <f>Constants!$H72*'Activity data'!BO14*Constants!$H90*FracLEACHMM*MMLeachEF*NtoN2O*kgtoGg</f>
        <v>7.4050055659262027E-3</v>
      </c>
      <c r="BP181" s="22">
        <f>Constants!$H72*'Activity data'!BP14*Constants!$H90*FracLEACHMM*MMLeachEF*NtoN2O*kgtoGg</f>
        <v>7.4070225366264664E-3</v>
      </c>
    </row>
    <row r="182" spans="1:68" x14ac:dyDescent="0.25">
      <c r="A182" t="str">
        <f t="shared" si="58"/>
        <v>3C Aggregated and non-CO2 emissions on land</v>
      </c>
      <c r="B182" t="str">
        <f t="shared" si="65"/>
        <v>3C6 Indirect N2O from manure management (N2O)</v>
      </c>
      <c r="C182" t="str">
        <f t="shared" si="67"/>
        <v>Leaching/runoff</v>
      </c>
      <c r="D182" t="str">
        <f t="shared" si="66"/>
        <v xml:space="preserve"> - Horses</v>
      </c>
      <c r="E182" t="str">
        <f t="shared" si="64"/>
        <v>Leaching/runoff - Horses</v>
      </c>
      <c r="F182" t="str">
        <f t="shared" si="47"/>
        <v>N2O</v>
      </c>
      <c r="G182" t="str">
        <f t="shared" si="48"/>
        <v>Gg N2O</v>
      </c>
      <c r="H182" s="22">
        <f>Constants!$H73*'Activity data'!H15*Constants!$H91*FracLEACHMM*MMLeachEF*NtoN2O*kgtoGg</f>
        <v>0</v>
      </c>
      <c r="I182" s="22">
        <f>Constants!$H73*'Activity data'!I15*Constants!$H91*FracLEACHMM*MMLeachEF*NtoN2O*kgtoGg</f>
        <v>0</v>
      </c>
      <c r="J182" s="22">
        <f>Constants!$H73*'Activity data'!J15*Constants!$H91*FracLEACHMM*MMLeachEF*NtoN2O*kgtoGg</f>
        <v>0</v>
      </c>
      <c r="K182" s="22">
        <f>Constants!$H73*'Activity data'!K15*Constants!$H91*FracLEACHMM*MMLeachEF*NtoN2O*kgtoGg</f>
        <v>0</v>
      </c>
      <c r="L182" s="22">
        <f>Constants!$H73*'Activity data'!L15*Constants!$H91*FracLEACHMM*MMLeachEF*NtoN2O*kgtoGg</f>
        <v>0</v>
      </c>
      <c r="M182" s="22">
        <f>Constants!$H73*'Activity data'!M15*Constants!$H91*FracLEACHMM*MMLeachEF*NtoN2O*kgtoGg</f>
        <v>0</v>
      </c>
      <c r="N182" s="22">
        <f>Constants!$H73*'Activity data'!N15*Constants!$H91*FracLEACHMM*MMLeachEF*NtoN2O*kgtoGg</f>
        <v>0</v>
      </c>
      <c r="O182" s="22">
        <f>Constants!$H73*'Activity data'!O15*Constants!$H91*FracLEACHMM*MMLeachEF*NtoN2O*kgtoGg</f>
        <v>0</v>
      </c>
      <c r="P182" s="22">
        <f>Constants!$H73*'Activity data'!P15*Constants!$H91*FracLEACHMM*MMLeachEF*NtoN2O*kgtoGg</f>
        <v>0</v>
      </c>
      <c r="Q182" s="22">
        <f>Constants!$H73*'Activity data'!Q15*Constants!$H91*FracLEACHMM*MMLeachEF*NtoN2O*kgtoGg</f>
        <v>0</v>
      </c>
      <c r="R182" s="22">
        <f>Constants!$H73*'Activity data'!R15*Constants!$H91*FracLEACHMM*MMLeachEF*NtoN2O*kgtoGg</f>
        <v>0</v>
      </c>
      <c r="S182" s="22">
        <f>Constants!$H73*'Activity data'!S15*Constants!$H91*FracLEACHMM*MMLeachEF*NtoN2O*kgtoGg</f>
        <v>0</v>
      </c>
      <c r="T182" s="22">
        <f>Constants!$H73*'Activity data'!T15*Constants!$H91*FracLEACHMM*MMLeachEF*NtoN2O*kgtoGg</f>
        <v>0</v>
      </c>
      <c r="U182" s="22">
        <f>Constants!$H73*'Activity data'!U15*Constants!$H91*FracLEACHMM*MMLeachEF*NtoN2O*kgtoGg</f>
        <v>0</v>
      </c>
      <c r="V182" s="22">
        <f>Constants!$H73*'Activity data'!V15*Constants!$H91*FracLEACHMM*MMLeachEF*NtoN2O*kgtoGg</f>
        <v>0</v>
      </c>
      <c r="W182" s="22">
        <f>Constants!$H73*'Activity data'!W15*Constants!$H91*FracLEACHMM*MMLeachEF*NtoN2O*kgtoGg</f>
        <v>0</v>
      </c>
      <c r="X182" s="22">
        <f>Constants!$H73*'Activity data'!X15*Constants!$H91*FracLEACHMM*MMLeachEF*NtoN2O*kgtoGg</f>
        <v>0</v>
      </c>
      <c r="Y182" s="22">
        <f>Constants!$H73*'Activity data'!Y15*Constants!$H91*FracLEACHMM*MMLeachEF*NtoN2O*kgtoGg</f>
        <v>0</v>
      </c>
      <c r="Z182" s="22">
        <f>Constants!$H73*'Activity data'!Z15*Constants!$H91*FracLEACHMM*MMLeachEF*NtoN2O*kgtoGg</f>
        <v>0</v>
      </c>
      <c r="AA182" s="22">
        <f>Constants!$H73*'Activity data'!AA15*Constants!$H91*FracLEACHMM*MMLeachEF*NtoN2O*kgtoGg</f>
        <v>0</v>
      </c>
      <c r="AB182" s="22">
        <f>Constants!$H73*'Activity data'!AB15*Constants!$H91*FracLEACHMM*MMLeachEF*NtoN2O*kgtoGg</f>
        <v>0</v>
      </c>
      <c r="AC182" s="22">
        <f>Constants!$H73*'Activity data'!AC15*Constants!$H91*FracLEACHMM*MMLeachEF*NtoN2O*kgtoGg</f>
        <v>0</v>
      </c>
      <c r="AD182" s="22">
        <f>Constants!$H73*'Activity data'!AD15*Constants!$H91*FracLEACHMM*MMLeachEF*NtoN2O*kgtoGg</f>
        <v>0</v>
      </c>
      <c r="AE182" s="22">
        <f>Constants!$H73*'Activity data'!AE15*Constants!$H91*FracLEACHMM*MMLeachEF*NtoN2O*kgtoGg</f>
        <v>0</v>
      </c>
      <c r="AF182" s="22">
        <f>Constants!$H73*'Activity data'!AF15*Constants!$H91*FracLEACHMM*MMLeachEF*NtoN2O*kgtoGg</f>
        <v>0</v>
      </c>
      <c r="AG182" s="22">
        <f>Constants!$H73*'Activity data'!AG15*Constants!$H91*FracLEACHMM*MMLeachEF*NtoN2O*kgtoGg</f>
        <v>0</v>
      </c>
      <c r="AH182" s="22">
        <f>Constants!$H73*'Activity data'!AH15*Constants!$H91*FracLEACHMM*MMLeachEF*NtoN2O*kgtoGg</f>
        <v>0</v>
      </c>
      <c r="AI182" s="22">
        <f>Constants!$H73*'Activity data'!AI15*Constants!$H91*FracLEACHMM*MMLeachEF*NtoN2O*kgtoGg</f>
        <v>0</v>
      </c>
      <c r="AJ182" s="22">
        <f>Constants!$H73*'Activity data'!AJ15*Constants!$H91*FracLEACHMM*MMLeachEF*NtoN2O*kgtoGg</f>
        <v>0</v>
      </c>
      <c r="AK182" s="22">
        <f>Constants!$H73*'Activity data'!AK15*Constants!$H91*FracLEACHMM*MMLeachEF*NtoN2O*kgtoGg</f>
        <v>0</v>
      </c>
      <c r="AL182" s="22">
        <f>Constants!$H73*'Activity data'!AL15*Constants!$H91*FracLEACHMM*MMLeachEF*NtoN2O*kgtoGg</f>
        <v>0</v>
      </c>
      <c r="AM182" s="22">
        <f>Constants!$H73*'Activity data'!AM15*Constants!$H91*FracLEACHMM*MMLeachEF*NtoN2O*kgtoGg</f>
        <v>0</v>
      </c>
      <c r="AN182" s="22">
        <f>Constants!$H73*'Activity data'!AN15*Constants!$H91*FracLEACHMM*MMLeachEF*NtoN2O*kgtoGg</f>
        <v>0</v>
      </c>
      <c r="AO182" s="22">
        <f>Constants!$H73*'Activity data'!AO15*Constants!$H91*FracLEACHMM*MMLeachEF*NtoN2O*kgtoGg</f>
        <v>0</v>
      </c>
      <c r="AP182" s="22">
        <f>Constants!$H73*'Activity data'!AP15*Constants!$H91*FracLEACHMM*MMLeachEF*NtoN2O*kgtoGg</f>
        <v>0</v>
      </c>
      <c r="AQ182" s="22">
        <f>Constants!$H73*'Activity data'!AQ15*Constants!$H91*FracLEACHMM*MMLeachEF*NtoN2O*kgtoGg</f>
        <v>0</v>
      </c>
      <c r="AR182" s="22">
        <f>Constants!$H73*'Activity data'!AR15*Constants!$H91*FracLEACHMM*MMLeachEF*NtoN2O*kgtoGg</f>
        <v>0</v>
      </c>
      <c r="AS182" s="22">
        <f>Constants!$H73*'Activity data'!AS15*Constants!$H91*FracLEACHMM*MMLeachEF*NtoN2O*kgtoGg</f>
        <v>0</v>
      </c>
      <c r="AT182" s="22">
        <f>Constants!$H73*'Activity data'!AT15*Constants!$H91*FracLEACHMM*MMLeachEF*NtoN2O*kgtoGg</f>
        <v>0</v>
      </c>
      <c r="AU182" s="22">
        <f>Constants!$H73*'Activity data'!AU15*Constants!$H91*FracLEACHMM*MMLeachEF*NtoN2O*kgtoGg</f>
        <v>0</v>
      </c>
      <c r="AV182" s="22">
        <f>Constants!$H73*'Activity data'!AV15*Constants!$H91*FracLEACHMM*MMLeachEF*NtoN2O*kgtoGg</f>
        <v>0</v>
      </c>
      <c r="AW182" s="22">
        <f>Constants!$H73*'Activity data'!AW15*Constants!$H91*FracLEACHMM*MMLeachEF*NtoN2O*kgtoGg</f>
        <v>0</v>
      </c>
      <c r="AX182" s="22">
        <f>Constants!$H73*'Activity data'!AX15*Constants!$H91*FracLEACHMM*MMLeachEF*NtoN2O*kgtoGg</f>
        <v>0</v>
      </c>
      <c r="AY182" s="22">
        <f>Constants!$H73*'Activity data'!AY15*Constants!$H91*FracLEACHMM*MMLeachEF*NtoN2O*kgtoGg</f>
        <v>0</v>
      </c>
      <c r="AZ182" s="22">
        <f>Constants!$H73*'Activity data'!AZ15*Constants!$H91*FracLEACHMM*MMLeachEF*NtoN2O*kgtoGg</f>
        <v>0</v>
      </c>
      <c r="BA182" s="22">
        <f>Constants!$H73*'Activity data'!BA15*Constants!$H91*FracLEACHMM*MMLeachEF*NtoN2O*kgtoGg</f>
        <v>0</v>
      </c>
      <c r="BB182" s="22">
        <f>Constants!$H73*'Activity data'!BB15*Constants!$H91*FracLEACHMM*MMLeachEF*NtoN2O*kgtoGg</f>
        <v>0</v>
      </c>
      <c r="BC182" s="22">
        <f>Constants!$H73*'Activity data'!BC15*Constants!$H91*FracLEACHMM*MMLeachEF*NtoN2O*kgtoGg</f>
        <v>0</v>
      </c>
      <c r="BD182" s="22">
        <f>Constants!$H73*'Activity data'!BD15*Constants!$H91*FracLEACHMM*MMLeachEF*NtoN2O*kgtoGg</f>
        <v>0</v>
      </c>
      <c r="BE182" s="22">
        <f>Constants!$H73*'Activity data'!BE15*Constants!$H91*FracLEACHMM*MMLeachEF*NtoN2O*kgtoGg</f>
        <v>0</v>
      </c>
      <c r="BF182" s="22">
        <f>Constants!$H73*'Activity data'!BF15*Constants!$H91*FracLEACHMM*MMLeachEF*NtoN2O*kgtoGg</f>
        <v>0</v>
      </c>
      <c r="BG182" s="22">
        <f>Constants!$H73*'Activity data'!BG15*Constants!$H91*FracLEACHMM*MMLeachEF*NtoN2O*kgtoGg</f>
        <v>0</v>
      </c>
      <c r="BH182" s="22">
        <f>Constants!$H73*'Activity data'!BH15*Constants!$H91*FracLEACHMM*MMLeachEF*NtoN2O*kgtoGg</f>
        <v>0</v>
      </c>
      <c r="BI182" s="22">
        <f>Constants!$H73*'Activity data'!BI15*Constants!$H91*FracLEACHMM*MMLeachEF*NtoN2O*kgtoGg</f>
        <v>0</v>
      </c>
      <c r="BJ182" s="22">
        <f>Constants!$H73*'Activity data'!BJ15*Constants!$H91*FracLEACHMM*MMLeachEF*NtoN2O*kgtoGg</f>
        <v>0</v>
      </c>
      <c r="BK182" s="22">
        <f>Constants!$H73*'Activity data'!BK15*Constants!$H91*FracLEACHMM*MMLeachEF*NtoN2O*kgtoGg</f>
        <v>0</v>
      </c>
      <c r="BL182" s="22">
        <f>Constants!$H73*'Activity data'!BL15*Constants!$H91*FracLEACHMM*MMLeachEF*NtoN2O*kgtoGg</f>
        <v>0</v>
      </c>
      <c r="BM182" s="22">
        <f>Constants!$H73*'Activity data'!BM15*Constants!$H91*FracLEACHMM*MMLeachEF*NtoN2O*kgtoGg</f>
        <v>0</v>
      </c>
      <c r="BN182" s="22">
        <f>Constants!$H73*'Activity data'!BN15*Constants!$H91*FracLEACHMM*MMLeachEF*NtoN2O*kgtoGg</f>
        <v>0</v>
      </c>
      <c r="BO182" s="22">
        <f>Constants!$H73*'Activity data'!BO15*Constants!$H91*FracLEACHMM*MMLeachEF*NtoN2O*kgtoGg</f>
        <v>0</v>
      </c>
      <c r="BP182" s="22">
        <f>Constants!$H73*'Activity data'!BP15*Constants!$H91*FracLEACHMM*MMLeachEF*NtoN2O*kgtoGg</f>
        <v>0</v>
      </c>
    </row>
    <row r="183" spans="1:68" x14ac:dyDescent="0.25">
      <c r="A183" t="str">
        <f t="shared" si="58"/>
        <v>3C Aggregated and non-CO2 emissions on land</v>
      </c>
      <c r="B183" t="str">
        <f t="shared" si="65"/>
        <v>3C6 Indirect N2O from manure management (N2O)</v>
      </c>
      <c r="C183" t="str">
        <f t="shared" si="67"/>
        <v>Leaching/runoff</v>
      </c>
      <c r="D183" t="str">
        <f t="shared" si="66"/>
        <v xml:space="preserve"> - Mules &amp; Asses</v>
      </c>
      <c r="E183" t="str">
        <f t="shared" si="64"/>
        <v>Leaching/runoff - Mules &amp; Asses</v>
      </c>
      <c r="F183" t="str">
        <f t="shared" si="47"/>
        <v>N2O</v>
      </c>
      <c r="G183" t="str">
        <f t="shared" si="48"/>
        <v>Gg N2O</v>
      </c>
      <c r="H183" s="22">
        <f>Constants!$H74*'Activity data'!H16*Constants!$H92*FracLEACHMM*MMLeachEF*NtoN2O*kgtoGg</f>
        <v>0</v>
      </c>
      <c r="I183" s="22">
        <f>Constants!$H74*'Activity data'!I16*Constants!$H92*FracLEACHMM*MMLeachEF*NtoN2O*kgtoGg</f>
        <v>0</v>
      </c>
      <c r="J183" s="22">
        <f>Constants!$H74*'Activity data'!J16*Constants!$H92*FracLEACHMM*MMLeachEF*NtoN2O*kgtoGg</f>
        <v>0</v>
      </c>
      <c r="K183" s="22">
        <f>Constants!$H74*'Activity data'!K16*Constants!$H92*FracLEACHMM*MMLeachEF*NtoN2O*kgtoGg</f>
        <v>0</v>
      </c>
      <c r="L183" s="22">
        <f>Constants!$H74*'Activity data'!L16*Constants!$H92*FracLEACHMM*MMLeachEF*NtoN2O*kgtoGg</f>
        <v>0</v>
      </c>
      <c r="M183" s="22">
        <f>Constants!$H74*'Activity data'!M16*Constants!$H92*FracLEACHMM*MMLeachEF*NtoN2O*kgtoGg</f>
        <v>0</v>
      </c>
      <c r="N183" s="22">
        <f>Constants!$H74*'Activity data'!N16*Constants!$H92*FracLEACHMM*MMLeachEF*NtoN2O*kgtoGg</f>
        <v>0</v>
      </c>
      <c r="O183" s="22">
        <f>Constants!$H74*'Activity data'!O16*Constants!$H92*FracLEACHMM*MMLeachEF*NtoN2O*kgtoGg</f>
        <v>0</v>
      </c>
      <c r="P183" s="22">
        <f>Constants!$H74*'Activity data'!P16*Constants!$H92*FracLEACHMM*MMLeachEF*NtoN2O*kgtoGg</f>
        <v>0</v>
      </c>
      <c r="Q183" s="22">
        <f>Constants!$H74*'Activity data'!Q16*Constants!$H92*FracLEACHMM*MMLeachEF*NtoN2O*kgtoGg</f>
        <v>0</v>
      </c>
      <c r="R183" s="22">
        <f>Constants!$H74*'Activity data'!R16*Constants!$H92*FracLEACHMM*MMLeachEF*NtoN2O*kgtoGg</f>
        <v>0</v>
      </c>
      <c r="S183" s="22">
        <f>Constants!$H74*'Activity data'!S16*Constants!$H92*FracLEACHMM*MMLeachEF*NtoN2O*kgtoGg</f>
        <v>0</v>
      </c>
      <c r="T183" s="22">
        <f>Constants!$H74*'Activity data'!T16*Constants!$H92*FracLEACHMM*MMLeachEF*NtoN2O*kgtoGg</f>
        <v>0</v>
      </c>
      <c r="U183" s="22">
        <f>Constants!$H74*'Activity data'!U16*Constants!$H92*FracLEACHMM*MMLeachEF*NtoN2O*kgtoGg</f>
        <v>0</v>
      </c>
      <c r="V183" s="22">
        <f>Constants!$H74*'Activity data'!V16*Constants!$H92*FracLEACHMM*MMLeachEF*NtoN2O*kgtoGg</f>
        <v>0</v>
      </c>
      <c r="W183" s="22">
        <f>Constants!$H74*'Activity data'!W16*Constants!$H92*FracLEACHMM*MMLeachEF*NtoN2O*kgtoGg</f>
        <v>0</v>
      </c>
      <c r="X183" s="22">
        <f>Constants!$H74*'Activity data'!X16*Constants!$H92*FracLEACHMM*MMLeachEF*NtoN2O*kgtoGg</f>
        <v>0</v>
      </c>
      <c r="Y183" s="22">
        <f>Constants!$H74*'Activity data'!Y16*Constants!$H92*FracLEACHMM*MMLeachEF*NtoN2O*kgtoGg</f>
        <v>0</v>
      </c>
      <c r="Z183" s="22">
        <f>Constants!$H74*'Activity data'!Z16*Constants!$H92*FracLEACHMM*MMLeachEF*NtoN2O*kgtoGg</f>
        <v>0</v>
      </c>
      <c r="AA183" s="22">
        <f>Constants!$H74*'Activity data'!AA16*Constants!$H92*FracLEACHMM*MMLeachEF*NtoN2O*kgtoGg</f>
        <v>0</v>
      </c>
      <c r="AB183" s="22">
        <f>Constants!$H74*'Activity data'!AB16*Constants!$H92*FracLEACHMM*MMLeachEF*NtoN2O*kgtoGg</f>
        <v>0</v>
      </c>
      <c r="AC183" s="22">
        <f>Constants!$H74*'Activity data'!AC16*Constants!$H92*FracLEACHMM*MMLeachEF*NtoN2O*kgtoGg</f>
        <v>0</v>
      </c>
      <c r="AD183" s="22">
        <f>Constants!$H74*'Activity data'!AD16*Constants!$H92*FracLEACHMM*MMLeachEF*NtoN2O*kgtoGg</f>
        <v>0</v>
      </c>
      <c r="AE183" s="22">
        <f>Constants!$H74*'Activity data'!AE16*Constants!$H92*FracLEACHMM*MMLeachEF*NtoN2O*kgtoGg</f>
        <v>0</v>
      </c>
      <c r="AF183" s="22">
        <f>Constants!$H74*'Activity data'!AF16*Constants!$H92*FracLEACHMM*MMLeachEF*NtoN2O*kgtoGg</f>
        <v>0</v>
      </c>
      <c r="AG183" s="22">
        <f>Constants!$H74*'Activity data'!AG16*Constants!$H92*FracLEACHMM*MMLeachEF*NtoN2O*kgtoGg</f>
        <v>0</v>
      </c>
      <c r="AH183" s="22">
        <f>Constants!$H74*'Activity data'!AH16*Constants!$H92*FracLEACHMM*MMLeachEF*NtoN2O*kgtoGg</f>
        <v>0</v>
      </c>
      <c r="AI183" s="22">
        <f>Constants!$H74*'Activity data'!AI16*Constants!$H92*FracLEACHMM*MMLeachEF*NtoN2O*kgtoGg</f>
        <v>0</v>
      </c>
      <c r="AJ183" s="22">
        <f>Constants!$H74*'Activity data'!AJ16*Constants!$H92*FracLEACHMM*MMLeachEF*NtoN2O*kgtoGg</f>
        <v>0</v>
      </c>
      <c r="AK183" s="22">
        <f>Constants!$H74*'Activity data'!AK16*Constants!$H92*FracLEACHMM*MMLeachEF*NtoN2O*kgtoGg</f>
        <v>0</v>
      </c>
      <c r="AL183" s="22">
        <f>Constants!$H74*'Activity data'!AL16*Constants!$H92*FracLEACHMM*MMLeachEF*NtoN2O*kgtoGg</f>
        <v>0</v>
      </c>
      <c r="AM183" s="22">
        <f>Constants!$H74*'Activity data'!AM16*Constants!$H92*FracLEACHMM*MMLeachEF*NtoN2O*kgtoGg</f>
        <v>0</v>
      </c>
      <c r="AN183" s="22">
        <f>Constants!$H74*'Activity data'!AN16*Constants!$H92*FracLEACHMM*MMLeachEF*NtoN2O*kgtoGg</f>
        <v>0</v>
      </c>
      <c r="AO183" s="22">
        <f>Constants!$H74*'Activity data'!AO16*Constants!$H92*FracLEACHMM*MMLeachEF*NtoN2O*kgtoGg</f>
        <v>0</v>
      </c>
      <c r="AP183" s="22">
        <f>Constants!$H74*'Activity data'!AP16*Constants!$H92*FracLEACHMM*MMLeachEF*NtoN2O*kgtoGg</f>
        <v>0</v>
      </c>
      <c r="AQ183" s="22">
        <f>Constants!$H74*'Activity data'!AQ16*Constants!$H92*FracLEACHMM*MMLeachEF*NtoN2O*kgtoGg</f>
        <v>0</v>
      </c>
      <c r="AR183" s="22">
        <f>Constants!$H74*'Activity data'!AR16*Constants!$H92*FracLEACHMM*MMLeachEF*NtoN2O*kgtoGg</f>
        <v>0</v>
      </c>
      <c r="AS183" s="22">
        <f>Constants!$H74*'Activity data'!AS16*Constants!$H92*FracLEACHMM*MMLeachEF*NtoN2O*kgtoGg</f>
        <v>0</v>
      </c>
      <c r="AT183" s="22">
        <f>Constants!$H74*'Activity data'!AT16*Constants!$H92*FracLEACHMM*MMLeachEF*NtoN2O*kgtoGg</f>
        <v>0</v>
      </c>
      <c r="AU183" s="22">
        <f>Constants!$H74*'Activity data'!AU16*Constants!$H92*FracLEACHMM*MMLeachEF*NtoN2O*kgtoGg</f>
        <v>0</v>
      </c>
      <c r="AV183" s="22">
        <f>Constants!$H74*'Activity data'!AV16*Constants!$H92*FracLEACHMM*MMLeachEF*NtoN2O*kgtoGg</f>
        <v>0</v>
      </c>
      <c r="AW183" s="22">
        <f>Constants!$H74*'Activity data'!AW16*Constants!$H92*FracLEACHMM*MMLeachEF*NtoN2O*kgtoGg</f>
        <v>0</v>
      </c>
      <c r="AX183" s="22">
        <f>Constants!$H74*'Activity data'!AX16*Constants!$H92*FracLEACHMM*MMLeachEF*NtoN2O*kgtoGg</f>
        <v>0</v>
      </c>
      <c r="AY183" s="22">
        <f>Constants!$H74*'Activity data'!AY16*Constants!$H92*FracLEACHMM*MMLeachEF*NtoN2O*kgtoGg</f>
        <v>0</v>
      </c>
      <c r="AZ183" s="22">
        <f>Constants!$H74*'Activity data'!AZ16*Constants!$H92*FracLEACHMM*MMLeachEF*NtoN2O*kgtoGg</f>
        <v>0</v>
      </c>
      <c r="BA183" s="22">
        <f>Constants!$H74*'Activity data'!BA16*Constants!$H92*FracLEACHMM*MMLeachEF*NtoN2O*kgtoGg</f>
        <v>0</v>
      </c>
      <c r="BB183" s="22">
        <f>Constants!$H74*'Activity data'!BB16*Constants!$H92*FracLEACHMM*MMLeachEF*NtoN2O*kgtoGg</f>
        <v>0</v>
      </c>
      <c r="BC183" s="22">
        <f>Constants!$H74*'Activity data'!BC16*Constants!$H92*FracLEACHMM*MMLeachEF*NtoN2O*kgtoGg</f>
        <v>0</v>
      </c>
      <c r="BD183" s="22">
        <f>Constants!$H74*'Activity data'!BD16*Constants!$H92*FracLEACHMM*MMLeachEF*NtoN2O*kgtoGg</f>
        <v>0</v>
      </c>
      <c r="BE183" s="22">
        <f>Constants!$H74*'Activity data'!BE16*Constants!$H92*FracLEACHMM*MMLeachEF*NtoN2O*kgtoGg</f>
        <v>0</v>
      </c>
      <c r="BF183" s="22">
        <f>Constants!$H74*'Activity data'!BF16*Constants!$H92*FracLEACHMM*MMLeachEF*NtoN2O*kgtoGg</f>
        <v>0</v>
      </c>
      <c r="BG183" s="22">
        <f>Constants!$H74*'Activity data'!BG16*Constants!$H92*FracLEACHMM*MMLeachEF*NtoN2O*kgtoGg</f>
        <v>0</v>
      </c>
      <c r="BH183" s="22">
        <f>Constants!$H74*'Activity data'!BH16*Constants!$H92*FracLEACHMM*MMLeachEF*NtoN2O*kgtoGg</f>
        <v>0</v>
      </c>
      <c r="BI183" s="22">
        <f>Constants!$H74*'Activity data'!BI16*Constants!$H92*FracLEACHMM*MMLeachEF*NtoN2O*kgtoGg</f>
        <v>0</v>
      </c>
      <c r="BJ183" s="22">
        <f>Constants!$H74*'Activity data'!BJ16*Constants!$H92*FracLEACHMM*MMLeachEF*NtoN2O*kgtoGg</f>
        <v>0</v>
      </c>
      <c r="BK183" s="22">
        <f>Constants!$H74*'Activity data'!BK16*Constants!$H92*FracLEACHMM*MMLeachEF*NtoN2O*kgtoGg</f>
        <v>0</v>
      </c>
      <c r="BL183" s="22">
        <f>Constants!$H74*'Activity data'!BL16*Constants!$H92*FracLEACHMM*MMLeachEF*NtoN2O*kgtoGg</f>
        <v>0</v>
      </c>
      <c r="BM183" s="22">
        <f>Constants!$H74*'Activity data'!BM16*Constants!$H92*FracLEACHMM*MMLeachEF*NtoN2O*kgtoGg</f>
        <v>0</v>
      </c>
      <c r="BN183" s="22">
        <f>Constants!$H74*'Activity data'!BN16*Constants!$H92*FracLEACHMM*MMLeachEF*NtoN2O*kgtoGg</f>
        <v>0</v>
      </c>
      <c r="BO183" s="22">
        <f>Constants!$H74*'Activity data'!BO16*Constants!$H92*FracLEACHMM*MMLeachEF*NtoN2O*kgtoGg</f>
        <v>0</v>
      </c>
      <c r="BP183" s="22">
        <f>Constants!$H74*'Activity data'!BP16*Constants!$H92*FracLEACHMM*MMLeachEF*NtoN2O*kgtoGg</f>
        <v>0</v>
      </c>
    </row>
    <row r="184" spans="1:68" x14ac:dyDescent="0.25">
      <c r="A184" t="str">
        <f t="shared" si="58"/>
        <v>3C Aggregated and non-CO2 emissions on land</v>
      </c>
      <c r="B184" t="str">
        <f t="shared" si="65"/>
        <v>3C6 Indirect N2O from manure management (N2O)</v>
      </c>
      <c r="C184" t="str">
        <f t="shared" si="67"/>
        <v>Leaching/runoff</v>
      </c>
      <c r="D184" t="str">
        <f t="shared" si="66"/>
        <v xml:space="preserve"> - Commercial swine</v>
      </c>
      <c r="E184" t="str">
        <f t="shared" si="64"/>
        <v>Leaching/runoff - Commercial swine</v>
      </c>
      <c r="F184" t="str">
        <f t="shared" si="47"/>
        <v>N2O</v>
      </c>
      <c r="G184" t="str">
        <f t="shared" si="48"/>
        <v>Gg N2O</v>
      </c>
      <c r="H184" s="22">
        <f>Constants!$H75*'Activity data'!H17*Constants!$H93*FracLEACHMM*MMLeachEF*NtoN2O*kgtoGg</f>
        <v>2.473216868571429E-2</v>
      </c>
      <c r="I184" s="22">
        <f>Constants!$H75*'Activity data'!I17*Constants!$H93*FracLEACHMM*MMLeachEF*NtoN2O*kgtoGg</f>
        <v>2.7020381142857142E-2</v>
      </c>
      <c r="J184" s="22">
        <f>Constants!$H75*'Activity data'!J17*Constants!$H93*FracLEACHMM*MMLeachEF*NtoN2O*kgtoGg</f>
        <v>2.6841868114285718E-2</v>
      </c>
      <c r="K184" s="22">
        <f>Constants!$H75*'Activity data'!K17*Constants!$H93*FracLEACHMM*MMLeachEF*NtoN2O*kgtoGg</f>
        <v>2.6825639657142863E-2</v>
      </c>
      <c r="L184" s="22">
        <f>Constants!$H75*'Activity data'!L17*Constants!$H93*FracLEACHMM*MMLeachEF*NtoN2O*kgtoGg</f>
        <v>2.5478677714285716E-2</v>
      </c>
      <c r="M184" s="22">
        <f>Constants!$H75*'Activity data'!M17*Constants!$H93*FracLEACHMM*MMLeachEF*NtoN2O*kgtoGg</f>
        <v>2.572210457142857E-2</v>
      </c>
      <c r="N184" s="22">
        <f>Constants!$H75*'Activity data'!N17*Constants!$H93*FracLEACHMM*MMLeachEF*NtoN2O*kgtoGg</f>
        <v>2.7701976342857142E-2</v>
      </c>
      <c r="O184" s="22">
        <f>Constants!$H75*'Activity data'!O17*Constants!$H93*FracLEACHMM*MMLeachEF*NtoN2O*kgtoGg</f>
        <v>2.7572148685714289E-2</v>
      </c>
      <c r="P184" s="22">
        <f>Constants!$H75*'Activity data'!P17*Constants!$H93*FracLEACHMM*MMLeachEF*NtoN2O*kgtoGg</f>
        <v>2.8172601599999996E-2</v>
      </c>
      <c r="Q184" s="22">
        <f>Constants!$H75*'Activity data'!Q17*Constants!$H93*FracLEACHMM*MMLeachEF*NtoN2O*kgtoGg</f>
        <v>2.8886653714285716E-2</v>
      </c>
      <c r="R184" s="22">
        <f>Constants!$H75*'Activity data'!R17*Constants!$H93*FracLEACHMM*MMLeachEF*NtoN2O*kgtoGg</f>
        <v>2.6728268914285716E-2</v>
      </c>
      <c r="S184" s="22">
        <f>Constants!$H75*'Activity data'!S17*Constants!$H93*FracLEACHMM*MMLeachEF*NtoN2O*kgtoGg</f>
        <v>2.7231351085714284E-2</v>
      </c>
      <c r="T184" s="22">
        <f>Constants!$H75*'Activity data'!T17*Constants!$H93*FracLEACHMM*MMLeachEF*NtoN2O*kgtoGg</f>
        <v>2.775066171428571E-2</v>
      </c>
      <c r="U184" s="22">
        <f>Constants!$H75*'Activity data'!U17*Constants!$H93*FracLEACHMM*MMLeachEF*NtoN2O*kgtoGg</f>
        <v>2.6987924228571426E-2</v>
      </c>
      <c r="V184" s="22">
        <f>Constants!$H75*'Activity data'!V17*Constants!$H93*FracLEACHMM*MMLeachEF*NtoN2O*kgtoGg</f>
        <v>2.6987924228571426E-2</v>
      </c>
      <c r="W184" s="22">
        <f>Constants!$H75*'Activity data'!W17*Constants!$H93*FracLEACHMM*MMLeachEF*NtoN2O*kgtoGg</f>
        <v>2.6793182742857146E-2</v>
      </c>
      <c r="X184" s="22">
        <f>Constants!$H75*'Activity data'!X17*Constants!$H93*FracLEACHMM*MMLeachEF*NtoN2O*kgtoGg</f>
        <v>2.6322557485714288E-2</v>
      </c>
      <c r="Y184" s="22">
        <f>Constants!$H75*'Activity data'!Y17*Constants!$H93*FracLEACHMM*MMLeachEF*NtoN2O*kgtoGg</f>
        <v>2.6793182742857146E-2</v>
      </c>
      <c r="Z184" s="22">
        <f>Constants!$H75*'Activity data'!Z17*Constants!$H93*FracLEACHMM*MMLeachEF*NtoN2O*kgtoGg</f>
        <v>2.6208958285714283E-2</v>
      </c>
      <c r="AA184" s="22">
        <f>Constants!$H75*'Activity data'!AA17*Constants!$H93*FracLEACHMM*MMLeachEF*NtoN2O*kgtoGg</f>
        <v>2.617650137142857E-2</v>
      </c>
      <c r="AB184" s="22">
        <f>Constants!$H75*'Activity data'!AB17*Constants!$H93*FracLEACHMM*MMLeachEF*NtoN2O*kgtoGg</f>
        <v>2.5868160685714285E-2</v>
      </c>
      <c r="AC184" s="22">
        <f>Constants!$H75*'Activity data'!AC17*Constants!$H93*FracLEACHMM*MMLeachEF*NtoN2O*kgtoGg</f>
        <v>2.5705876114285712E-2</v>
      </c>
      <c r="AD184" s="22">
        <f>Constants!$H75*'Activity data'!AD17*Constants!$H93*FracLEACHMM*MMLeachEF*NtoN2O*kgtoGg</f>
        <v>2.7003619982449534E-2</v>
      </c>
      <c r="AE184" s="22">
        <f>Constants!$H75*'Activity data'!AE17*Constants!$H93*FracLEACHMM*MMLeachEF*NtoN2O*kgtoGg</f>
        <v>2.7002582606160563E-2</v>
      </c>
      <c r="AF184" s="22">
        <f>Constants!$H75*'Activity data'!AF17*Constants!$H93*FracLEACHMM*MMLeachEF*NtoN2O*kgtoGg</f>
        <v>2.6748655004449361E-2</v>
      </c>
      <c r="AG184" s="22">
        <f>Constants!$H75*'Activity data'!AG17*Constants!$H93*FracLEACHMM*MMLeachEF*NtoN2O*kgtoGg</f>
        <v>2.6302606701323297E-2</v>
      </c>
      <c r="AH184" s="22">
        <f>Constants!$H75*'Activity data'!AH17*Constants!$H93*FracLEACHMM*MMLeachEF*NtoN2O*kgtoGg</f>
        <v>2.5745818196873167E-2</v>
      </c>
      <c r="AI184" s="22">
        <f>Constants!$H75*'Activity data'!AI17*Constants!$H93*FracLEACHMM*MMLeachEF*NtoN2O*kgtoGg</f>
        <v>2.5304139511678266E-2</v>
      </c>
      <c r="AJ184" s="22">
        <f>Constants!$H75*'Activity data'!AJ17*Constants!$H93*FracLEACHMM*MMLeachEF*NtoN2O*kgtoGg</f>
        <v>2.4936580833274859E-2</v>
      </c>
      <c r="AK184" s="22">
        <f>Constants!$H75*'Activity data'!AK17*Constants!$H93*FracLEACHMM*MMLeachEF*NtoN2O*kgtoGg</f>
        <v>2.4571293752734567E-2</v>
      </c>
      <c r="AL184" s="22">
        <f>Constants!$H75*'Activity data'!AL17*Constants!$H93*FracLEACHMM*MMLeachEF*NtoN2O*kgtoGg</f>
        <v>2.1410605271852484E-2</v>
      </c>
      <c r="AM184" s="22">
        <f>Constants!$H75*'Activity data'!AM17*Constants!$H93*FracLEACHMM*MMLeachEF*NtoN2O*kgtoGg</f>
        <v>2.1446145981850597E-2</v>
      </c>
      <c r="AN184" s="22">
        <f>Constants!$H75*'Activity data'!AN17*Constants!$H93*FracLEACHMM*MMLeachEF*NtoN2O*kgtoGg</f>
        <v>2.1490314969635983E-2</v>
      </c>
      <c r="AO184" s="22">
        <f>Constants!$H75*'Activity data'!AO17*Constants!$H93*FracLEACHMM*MMLeachEF*NtoN2O*kgtoGg</f>
        <v>2.1597469934648835E-2</v>
      </c>
      <c r="AP184" s="22">
        <f>Constants!$H75*'Activity data'!AP17*Constants!$H93*FracLEACHMM*MMLeachEF*NtoN2O*kgtoGg</f>
        <v>2.1740426064405138E-2</v>
      </c>
      <c r="AQ184" s="22">
        <f>Constants!$H75*'Activity data'!AQ17*Constants!$H93*FracLEACHMM*MMLeachEF*NtoN2O*kgtoGg</f>
        <v>2.1869351045220666E-2</v>
      </c>
      <c r="AR184" s="22">
        <f>Constants!$H75*'Activity data'!AR17*Constants!$H93*FracLEACHMM*MMLeachEF*NtoN2O*kgtoGg</f>
        <v>2.2084528486030729E-2</v>
      </c>
      <c r="AS184" s="22">
        <f>Constants!$H75*'Activity data'!AS17*Constants!$H93*FracLEACHMM*MMLeachEF*NtoN2O*kgtoGg</f>
        <v>2.2315610337097704E-2</v>
      </c>
      <c r="AT184" s="22">
        <f>Constants!$H75*'Activity data'!AT17*Constants!$H93*FracLEACHMM*MMLeachEF*NtoN2O*kgtoGg</f>
        <v>2.2574589789813325E-2</v>
      </c>
      <c r="AU184" s="22">
        <f>Constants!$H75*'Activity data'!AU17*Constants!$H93*FracLEACHMM*MMLeachEF*NtoN2O*kgtoGg</f>
        <v>2.284525851277653E-2</v>
      </c>
      <c r="AV184" s="22">
        <f>Constants!$H75*'Activity data'!AV17*Constants!$H93*FracLEACHMM*MMLeachEF*NtoN2O*kgtoGg</f>
        <v>2.2989956952567298E-2</v>
      </c>
      <c r="AW184" s="22">
        <f>Constants!$H75*'Activity data'!AW17*Constants!$H93*FracLEACHMM*MMLeachEF*NtoN2O*kgtoGg</f>
        <v>2.3284946995659226E-2</v>
      </c>
      <c r="AX184" s="22">
        <f>Constants!$H75*'Activity data'!AX17*Constants!$H93*FracLEACHMM*MMLeachEF*NtoN2O*kgtoGg</f>
        <v>2.3582422855511105E-2</v>
      </c>
      <c r="AY184" s="22">
        <f>Constants!$H75*'Activity data'!AY17*Constants!$H93*FracLEACHMM*MMLeachEF*NtoN2O*kgtoGg</f>
        <v>2.3886747353449877E-2</v>
      </c>
      <c r="AZ184" s="22">
        <f>Constants!$H75*'Activity data'!AZ17*Constants!$H93*FracLEACHMM*MMLeachEF*NtoN2O*kgtoGg</f>
        <v>2.4145527696332037E-2</v>
      </c>
      <c r="BA184" s="22">
        <f>Constants!$H75*'Activity data'!BA17*Constants!$H93*FracLEACHMM*MMLeachEF*NtoN2O*kgtoGg</f>
        <v>2.44318689659501E-2</v>
      </c>
      <c r="BB184" s="22">
        <f>Constants!$H75*'Activity data'!BB17*Constants!$H93*FracLEACHMM*MMLeachEF*NtoN2O*kgtoGg</f>
        <v>2.474504311081099E-2</v>
      </c>
      <c r="BC184" s="22">
        <f>Constants!$H75*'Activity data'!BC17*Constants!$H93*FracLEACHMM*MMLeachEF*NtoN2O*kgtoGg</f>
        <v>2.5070080487266496E-2</v>
      </c>
      <c r="BD184" s="22">
        <f>Constants!$H75*'Activity data'!BD17*Constants!$H93*FracLEACHMM*MMLeachEF*NtoN2O*kgtoGg</f>
        <v>2.5370857884906728E-2</v>
      </c>
      <c r="BE184" s="22">
        <f>Constants!$H75*'Activity data'!BE17*Constants!$H93*FracLEACHMM*MMLeachEF*NtoN2O*kgtoGg</f>
        <v>2.5682879272183257E-2</v>
      </c>
      <c r="BF184" s="22">
        <f>Constants!$H75*'Activity data'!BF17*Constants!$H93*FracLEACHMM*MMLeachEF*NtoN2O*kgtoGg</f>
        <v>2.6025954308877088E-2</v>
      </c>
      <c r="BG184" s="22">
        <f>Constants!$H75*'Activity data'!BG17*Constants!$H93*FracLEACHMM*MMLeachEF*NtoN2O*kgtoGg</f>
        <v>2.6388751349113664E-2</v>
      </c>
      <c r="BH184" s="22">
        <f>Constants!$H75*'Activity data'!BH17*Constants!$H93*FracLEACHMM*MMLeachEF*NtoN2O*kgtoGg</f>
        <v>2.6766982228587727E-2</v>
      </c>
      <c r="BI184" s="22">
        <f>Constants!$H75*'Activity data'!BI17*Constants!$H93*FracLEACHMM*MMLeachEF*NtoN2O*kgtoGg</f>
        <v>2.7160823305845516E-2</v>
      </c>
      <c r="BJ184" s="22">
        <f>Constants!$H75*'Activity data'!BJ17*Constants!$H93*FracLEACHMM*MMLeachEF*NtoN2O*kgtoGg</f>
        <v>2.7569310871330518E-2</v>
      </c>
      <c r="BK184" s="22">
        <f>Constants!$H75*'Activity data'!BK17*Constants!$H93*FracLEACHMM*MMLeachEF*NtoN2O*kgtoGg</f>
        <v>2.79989756658129E-2</v>
      </c>
      <c r="BL184" s="22">
        <f>Constants!$H75*'Activity data'!BL17*Constants!$H93*FracLEACHMM*MMLeachEF*NtoN2O*kgtoGg</f>
        <v>2.8355516683797329E-2</v>
      </c>
      <c r="BM184" s="22">
        <f>Constants!$H75*'Activity data'!BM17*Constants!$H93*FracLEACHMM*MMLeachEF*NtoN2O*kgtoGg</f>
        <v>2.8729408900408277E-2</v>
      </c>
      <c r="BN184" s="22">
        <f>Constants!$H75*'Activity data'!BN17*Constants!$H93*FracLEACHMM*MMLeachEF*NtoN2O*kgtoGg</f>
        <v>2.9126184396202348E-2</v>
      </c>
      <c r="BO184" s="22">
        <f>Constants!$H75*'Activity data'!BO17*Constants!$H93*FracLEACHMM*MMLeachEF*NtoN2O*kgtoGg</f>
        <v>2.9547814441696168E-2</v>
      </c>
      <c r="BP184" s="22">
        <f>Constants!$H75*'Activity data'!BP17*Constants!$H93*FracLEACHMM*MMLeachEF*NtoN2O*kgtoGg</f>
        <v>3.0013256046437238E-2</v>
      </c>
    </row>
    <row r="185" spans="1:68" x14ac:dyDescent="0.25">
      <c r="A185" t="str">
        <f t="shared" si="58"/>
        <v>3C Aggregated and non-CO2 emissions on land</v>
      </c>
      <c r="B185" t="str">
        <f>B184</f>
        <v>3C6 Indirect N2O from manure management (N2O)</v>
      </c>
      <c r="C185" t="str">
        <f t="shared" si="67"/>
        <v>Leaching/runoff</v>
      </c>
      <c r="D185" t="str">
        <f>D169</f>
        <v xml:space="preserve"> - Subsistence swine</v>
      </c>
      <c r="E185" t="str">
        <f t="shared" si="64"/>
        <v>Leaching/runoff - Subsistence swine</v>
      </c>
      <c r="F185" t="str">
        <f t="shared" si="47"/>
        <v>N2O</v>
      </c>
      <c r="G185" t="str">
        <f t="shared" si="48"/>
        <v>Gg N2O</v>
      </c>
      <c r="H185" s="22">
        <f>Constants!$H76*'Activity data'!H18*Constants!$H94*FracLEACHMM*MMLeachEF*NtoN2O*kgtoGg</f>
        <v>3.5396781390192064E-3</v>
      </c>
      <c r="I185" s="22">
        <f>Constants!$H76*'Activity data'!I18*Constants!$H94*FracLEACHMM*MMLeachEF*NtoN2O*kgtoGg</f>
        <v>3.867168045582008E-3</v>
      </c>
      <c r="J185" s="22">
        <f>Constants!$H76*'Activity data'!J18*Constants!$H94*FracLEACHMM*MMLeachEF*NtoN2O*kgtoGg</f>
        <v>3.8416191876232074E-3</v>
      </c>
      <c r="K185" s="22">
        <f>Constants!$H76*'Activity data'!K18*Constants!$H94*FracLEACHMM*MMLeachEF*NtoN2O*kgtoGg</f>
        <v>3.8392965641724079E-3</v>
      </c>
      <c r="L185" s="22">
        <f>Constants!$H76*'Activity data'!L18*Constants!$H94*FracLEACHMM*MMLeachEF*NtoN2O*kgtoGg</f>
        <v>3.6465188177560062E-3</v>
      </c>
      <c r="M185" s="22">
        <f>Constants!$H76*'Activity data'!M18*Constants!$H94*FracLEACHMM*MMLeachEF*NtoN2O*kgtoGg</f>
        <v>3.6813581695180077E-3</v>
      </c>
      <c r="N185" s="22">
        <f>Constants!$H76*'Activity data'!N18*Constants!$H94*FracLEACHMM*MMLeachEF*NtoN2O*kgtoGg</f>
        <v>3.9647182305156074E-3</v>
      </c>
      <c r="O185" s="22">
        <f>Constants!$H76*'Activity data'!O18*Constants!$H94*FracLEACHMM*MMLeachEF*NtoN2O*kgtoGg</f>
        <v>3.9461372429092081E-3</v>
      </c>
      <c r="P185" s="22">
        <f>Constants!$H76*'Activity data'!P18*Constants!$H94*FracLEACHMM*MMLeachEF*NtoN2O*kgtoGg</f>
        <v>4.0320743105888082E-3</v>
      </c>
      <c r="Q185" s="22">
        <f>Constants!$H76*'Activity data'!Q18*Constants!$H94*FracLEACHMM*MMLeachEF*NtoN2O*kgtoGg</f>
        <v>4.1342697424240071E-3</v>
      </c>
      <c r="R185" s="22">
        <f>Constants!$H76*'Activity data'!R18*Constants!$H94*FracLEACHMM*MMLeachEF*NtoN2O*kgtoGg</f>
        <v>3.8253608234676073E-3</v>
      </c>
      <c r="S185" s="22">
        <f>Constants!$H76*'Activity data'!S18*Constants!$H94*FracLEACHMM*MMLeachEF*NtoN2O*kgtoGg</f>
        <v>3.8973621504424074E-3</v>
      </c>
      <c r="T185" s="22">
        <f>Constants!$H76*'Activity data'!T18*Constants!$H94*FracLEACHMM*MMLeachEF*NtoN2O*kgtoGg</f>
        <v>3.9716861008680087E-3</v>
      </c>
      <c r="U185" s="22">
        <f>Constants!$H76*'Activity data'!U18*Constants!$H94*FracLEACHMM*MMLeachEF*NtoN2O*kgtoGg</f>
        <v>3.8625227986804071E-3</v>
      </c>
      <c r="V185" s="22">
        <f>Constants!$H76*'Activity data'!V18*Constants!$H94*FracLEACHMM*MMLeachEF*NtoN2O*kgtoGg</f>
        <v>3.8625227986804071E-3</v>
      </c>
      <c r="W185" s="22">
        <f>Constants!$H76*'Activity data'!W18*Constants!$H94*FracLEACHMM*MMLeachEF*NtoN2O*kgtoGg</f>
        <v>3.8346513172708078E-3</v>
      </c>
      <c r="X185" s="22">
        <f>Constants!$H76*'Activity data'!X18*Constants!$H94*FracLEACHMM*MMLeachEF*NtoN2O*kgtoGg</f>
        <v>3.7672952371976065E-3</v>
      </c>
      <c r="Y185" s="22">
        <f>Constants!$H76*'Activity data'!Y18*Constants!$H94*FracLEACHMM*MMLeachEF*NtoN2O*kgtoGg</f>
        <v>3.8346513172708078E-3</v>
      </c>
      <c r="Z185" s="22">
        <f>Constants!$H76*'Activity data'!Z18*Constants!$H94*FracLEACHMM*MMLeachEF*NtoN2O*kgtoGg</f>
        <v>3.7510368730420082E-3</v>
      </c>
      <c r="AA185" s="22">
        <f>Constants!$H76*'Activity data'!AA18*Constants!$H94*FracLEACHMM*MMLeachEF*NtoN2O*kgtoGg</f>
        <v>3.7463916261404073E-3</v>
      </c>
      <c r="AB185" s="22">
        <f>Constants!$H76*'Activity data'!AB18*Constants!$H94*FracLEACHMM*MMLeachEF*NtoN2O*kgtoGg</f>
        <v>3.7022617805752074E-3</v>
      </c>
      <c r="AC185" s="22">
        <f>Constants!$H76*'Activity data'!AC18*Constants!$H94*FracLEACHMM*MMLeachEF*NtoN2O*kgtoGg</f>
        <v>3.6790355460672068E-3</v>
      </c>
      <c r="AD185" s="22">
        <f>Constants!$H76*'Activity data'!AD18*Constants!$H94*FracLEACHMM*MMLeachEF*NtoN2O*kgtoGg</f>
        <v>4.0358240191588398E-3</v>
      </c>
      <c r="AE185" s="22">
        <f>Constants!$H76*'Activity data'!AE18*Constants!$H94*FracLEACHMM*MMLeachEF*NtoN2O*kgtoGg</f>
        <v>4.0356689781626083E-3</v>
      </c>
      <c r="AF185" s="22">
        <f>Constants!$H76*'Activity data'!AF18*Constants!$H94*FracLEACHMM*MMLeachEF*NtoN2O*kgtoGg</f>
        <v>3.9977182473058016E-3</v>
      </c>
      <c r="AG185" s="22">
        <f>Constants!$H76*'Activity data'!AG18*Constants!$H94*FracLEACHMM*MMLeachEF*NtoN2O*kgtoGg</f>
        <v>3.9310541312861267E-3</v>
      </c>
      <c r="AH185" s="22">
        <f>Constants!$H76*'Activity data'!AH18*Constants!$H94*FracLEACHMM*MMLeachEF*NtoN2O*kgtoGg</f>
        <v>3.8478393467012515E-3</v>
      </c>
      <c r="AI185" s="22">
        <f>Constants!$H76*'Activity data'!AI18*Constants!$H94*FracLEACHMM*MMLeachEF*NtoN2O*kgtoGg</f>
        <v>3.7818282916049872E-3</v>
      </c>
      <c r="AJ185" s="22">
        <f>Constants!$H76*'Activity data'!AJ18*Constants!$H94*FracLEACHMM*MMLeachEF*NtoN2O*kgtoGg</f>
        <v>3.7268948366195112E-3</v>
      </c>
      <c r="AK185" s="22">
        <f>Constants!$H76*'Activity data'!AK18*Constants!$H94*FracLEACHMM*MMLeachEF*NtoN2O*kgtoGg</f>
        <v>3.6723008831239775E-3</v>
      </c>
      <c r="AL185" s="22">
        <f>Constants!$H76*'Activity data'!AL18*Constants!$H94*FracLEACHMM*MMLeachEF*NtoN2O*kgtoGg</f>
        <v>3.1999204209299061E-3</v>
      </c>
      <c r="AM185" s="22">
        <f>Constants!$H76*'Activity data'!AM18*Constants!$H94*FracLEACHMM*MMLeachEF*NtoN2O*kgtoGg</f>
        <v>3.2052321551033812E-3</v>
      </c>
      <c r="AN185" s="22">
        <f>Constants!$H76*'Activity data'!AN18*Constants!$H94*FracLEACHMM*MMLeachEF*NtoN2O*kgtoGg</f>
        <v>3.2118334278928096E-3</v>
      </c>
      <c r="AO185" s="22">
        <f>Constants!$H76*'Activity data'!AO18*Constants!$H94*FracLEACHMM*MMLeachEF*NtoN2O*kgtoGg</f>
        <v>3.2278482652313618E-3</v>
      </c>
      <c r="AP185" s="22">
        <f>Constants!$H76*'Activity data'!AP18*Constants!$H94*FracLEACHMM*MMLeachEF*NtoN2O*kgtoGg</f>
        <v>3.249213762988013E-3</v>
      </c>
      <c r="AQ185" s="22">
        <f>Constants!$H76*'Activity data'!AQ18*Constants!$H94*FracLEACHMM*MMLeachEF*NtoN2O*kgtoGg</f>
        <v>3.2684822364216887E-3</v>
      </c>
      <c r="AR185" s="22">
        <f>Constants!$H76*'Activity data'!AR18*Constants!$H94*FracLEACHMM*MMLeachEF*NtoN2O*kgtoGg</f>
        <v>3.3006415648586447E-3</v>
      </c>
      <c r="AS185" s="22">
        <f>Constants!$H76*'Activity data'!AS18*Constants!$H94*FracLEACHMM*MMLeachEF*NtoN2O*kgtoGg</f>
        <v>3.3351778857494702E-3</v>
      </c>
      <c r="AT185" s="22">
        <f>Constants!$H76*'Activity data'!AT18*Constants!$H94*FracLEACHMM*MMLeachEF*NtoN2O*kgtoGg</f>
        <v>3.3738836406229885E-3</v>
      </c>
      <c r="AU185" s="22">
        <f>Constants!$H76*'Activity data'!AU18*Constants!$H94*FracLEACHMM*MMLeachEF*NtoN2O*kgtoGg</f>
        <v>3.4143364145133017E-3</v>
      </c>
      <c r="AV185" s="22">
        <f>Constants!$H76*'Activity data'!AV18*Constants!$H94*FracLEACHMM*MMLeachEF*NtoN2O*kgtoGg</f>
        <v>3.4359623090867678E-3</v>
      </c>
      <c r="AW185" s="22">
        <f>Constants!$H76*'Activity data'!AW18*Constants!$H94*FracLEACHMM*MMLeachEF*NtoN2O*kgtoGg</f>
        <v>3.4800500240707907E-3</v>
      </c>
      <c r="AX185" s="22">
        <f>Constants!$H76*'Activity data'!AX18*Constants!$H94*FracLEACHMM*MMLeachEF*NtoN2O*kgtoGg</f>
        <v>3.5245092566140723E-3</v>
      </c>
      <c r="AY185" s="22">
        <f>Constants!$H76*'Activity data'!AY18*Constants!$H94*FracLEACHMM*MMLeachEF*NtoN2O*kgtoGg</f>
        <v>3.5699920518540433E-3</v>
      </c>
      <c r="AZ185" s="22">
        <f>Constants!$H76*'Activity data'!AZ18*Constants!$H94*FracLEACHMM*MMLeachEF*NtoN2O*kgtoGg</f>
        <v>3.6086680487821881E-3</v>
      </c>
      <c r="BA185" s="22">
        <f>Constants!$H76*'Activity data'!BA18*Constants!$H94*FracLEACHMM*MMLeachEF*NtoN2O*kgtoGg</f>
        <v>3.6514631619689411E-3</v>
      </c>
      <c r="BB185" s="22">
        <f>Constants!$H76*'Activity data'!BB18*Constants!$H94*FracLEACHMM*MMLeachEF*NtoN2O*kgtoGg</f>
        <v>3.6982685805324739E-3</v>
      </c>
      <c r="BC185" s="22">
        <f>Constants!$H76*'Activity data'!BC18*Constants!$H94*FracLEACHMM*MMLeachEF*NtoN2O*kgtoGg</f>
        <v>3.7468470174930025E-3</v>
      </c>
      <c r="BD185" s="22">
        <f>Constants!$H76*'Activity data'!BD18*Constants!$H94*FracLEACHMM*MMLeachEF*NtoN2O*kgtoGg</f>
        <v>3.7917996811212672E-3</v>
      </c>
      <c r="BE185" s="22">
        <f>Constants!$H76*'Activity data'!BE18*Constants!$H94*FracLEACHMM*MMLeachEF*NtoN2O*kgtoGg</f>
        <v>3.8384328143856333E-3</v>
      </c>
      <c r="BF185" s="22">
        <f>Constants!$H76*'Activity data'!BF18*Constants!$H94*FracLEACHMM*MMLeachEF*NtoN2O*kgtoGg</f>
        <v>3.8897070685175858E-3</v>
      </c>
      <c r="BG185" s="22">
        <f>Constants!$H76*'Activity data'!BG18*Constants!$H94*FracLEACHMM*MMLeachEF*NtoN2O*kgtoGg</f>
        <v>3.9439288732244391E-3</v>
      </c>
      <c r="BH185" s="22">
        <f>Constants!$H76*'Activity data'!BH18*Constants!$H94*FracLEACHMM*MMLeachEF*NtoN2O*kgtoGg</f>
        <v>4.0004573412284004E-3</v>
      </c>
      <c r="BI185" s="22">
        <f>Constants!$H76*'Activity data'!BI18*Constants!$H94*FracLEACHMM*MMLeachEF*NtoN2O*kgtoGg</f>
        <v>4.0593188301828965E-3</v>
      </c>
      <c r="BJ185" s="22">
        <f>Constants!$H76*'Activity data'!BJ18*Constants!$H94*FracLEACHMM*MMLeachEF*NtoN2O*kgtoGg</f>
        <v>4.1203693089477264E-3</v>
      </c>
      <c r="BK185" s="22">
        <f>Constants!$H76*'Activity data'!BK18*Constants!$H94*FracLEACHMM*MMLeachEF*NtoN2O*kgtoGg</f>
        <v>4.1845848288997187E-3</v>
      </c>
      <c r="BL185" s="22">
        <f>Constants!$H76*'Activity data'!BL18*Constants!$H94*FracLEACHMM*MMLeachEF*NtoN2O*kgtoGg</f>
        <v>4.2378716402654568E-3</v>
      </c>
      <c r="BM185" s="22">
        <f>Constants!$H76*'Activity data'!BM18*Constants!$H94*FracLEACHMM*MMLeachEF*NtoN2O*kgtoGg</f>
        <v>4.2937516737334034E-3</v>
      </c>
      <c r="BN185" s="22">
        <f>Constants!$H76*'Activity data'!BN18*Constants!$H94*FracLEACHMM*MMLeachEF*NtoN2O*kgtoGg</f>
        <v>4.3530517259923272E-3</v>
      </c>
      <c r="BO185" s="22">
        <f>Constants!$H76*'Activity data'!BO18*Constants!$H94*FracLEACHMM*MMLeachEF*NtoN2O*kgtoGg</f>
        <v>4.4160664131309016E-3</v>
      </c>
      <c r="BP185" s="22">
        <f>Constants!$H76*'Activity data'!BP18*Constants!$H94*FracLEACHMM*MMLeachEF*NtoN2O*kgtoGg</f>
        <v>4.485628953603279E-3</v>
      </c>
    </row>
    <row r="186" spans="1:68" x14ac:dyDescent="0.25">
      <c r="A186" t="str">
        <f t="shared" si="58"/>
        <v>3C Aggregated and non-CO2 emissions on land</v>
      </c>
      <c r="B186" t="str">
        <f t="shared" ref="B186" si="68">B185</f>
        <v>3C6 Indirect N2O from manure management (N2O)</v>
      </c>
      <c r="C186" t="str">
        <f t="shared" si="67"/>
        <v>Leaching/runoff</v>
      </c>
      <c r="D186" t="str">
        <f t="shared" si="66"/>
        <v xml:space="preserve"> - Commercial layers</v>
      </c>
      <c r="E186" t="str">
        <f t="shared" si="64"/>
        <v>Leaching/runoff - Commercial layers</v>
      </c>
      <c r="F186" t="str">
        <f t="shared" si="47"/>
        <v>N2O</v>
      </c>
      <c r="G186" t="str">
        <f t="shared" si="48"/>
        <v>Gg N2O</v>
      </c>
      <c r="H186" s="22">
        <f>Constants!$H77*'Activity data'!H19*Constants!$H95*FracLEACHMM*MMLeachEF*NtoN2O*kgtoGg</f>
        <v>1.0355170129968004E-2</v>
      </c>
      <c r="I186" s="22">
        <f>Constants!$H77*'Activity data'!I19*Constants!$H95*FracLEACHMM*MMLeachEF*NtoN2O*kgtoGg</f>
        <v>1.0059892645860616E-2</v>
      </c>
      <c r="J186" s="22">
        <f>Constants!$H77*'Activity data'!J19*Constants!$H95*FracLEACHMM*MMLeachEF*NtoN2O*kgtoGg</f>
        <v>9.5411084013231947E-3</v>
      </c>
      <c r="K186" s="22">
        <f>Constants!$H77*'Activity data'!K19*Constants!$H95*FracLEACHMM*MMLeachEF*NtoN2O*kgtoGg</f>
        <v>9.3910912656011026E-3</v>
      </c>
      <c r="L186" s="22">
        <f>Constants!$H77*'Activity data'!L19*Constants!$H95*FracLEACHMM*MMLeachEF*NtoN2O*kgtoGg</f>
        <v>8.9826126081481942E-3</v>
      </c>
      <c r="M186" s="22">
        <f>Constants!$H77*'Activity data'!M19*Constants!$H95*FracLEACHMM*MMLeachEF*NtoN2O*kgtoGg</f>
        <v>9.8011483650425734E-3</v>
      </c>
      <c r="N186" s="22">
        <f>Constants!$H77*'Activity data'!N19*Constants!$H95*FracLEACHMM*MMLeachEF*NtoN2O*kgtoGg</f>
        <v>1.0353003890839162E-2</v>
      </c>
      <c r="O186" s="22">
        <f>Constants!$H77*'Activity data'!O19*Constants!$H95*FracLEACHMM*MMLeachEF*NtoN2O*kgtoGg</f>
        <v>1.038704838936534E-2</v>
      </c>
      <c r="P186" s="22">
        <f>Constants!$H77*'Activity data'!P19*Constants!$H95*FracLEACHMM*MMLeachEF*NtoN2O*kgtoGg</f>
        <v>1.1694940012383678E-2</v>
      </c>
      <c r="Q186" s="22">
        <f>Constants!$H77*'Activity data'!Q19*Constants!$H95*FracLEACHMM*MMLeachEF*NtoN2O*kgtoGg</f>
        <v>1.2538149270078789E-2</v>
      </c>
      <c r="R186" s="22">
        <f>Constants!$H77*'Activity data'!R19*Constants!$H95*FracLEACHMM*MMLeachEF*NtoN2O*kgtoGg</f>
        <v>1.2272486005224258E-2</v>
      </c>
      <c r="S186" s="22">
        <f>Constants!$H77*'Activity data'!S19*Constants!$H95*FracLEACHMM*MMLeachEF*NtoN2O*kgtoGg</f>
        <v>1.2599872153312836E-2</v>
      </c>
      <c r="T186" s="22">
        <f>Constants!$H77*'Activity data'!T19*Constants!$H95*FracLEACHMM*MMLeachEF*NtoN2O*kgtoGg</f>
        <v>1.2500981239572611E-2</v>
      </c>
      <c r="U186" s="22">
        <f>Constants!$H77*'Activity data'!U19*Constants!$H95*FracLEACHMM*MMLeachEF*NtoN2O*kgtoGg</f>
        <v>1.2001910795150582E-2</v>
      </c>
      <c r="V186" s="22">
        <f>Constants!$H77*'Activity data'!V19*Constants!$H95*FracLEACHMM*MMLeachEF*NtoN2O*kgtoGg</f>
        <v>1.2437112522602165E-2</v>
      </c>
      <c r="W186" s="22">
        <f>Constants!$H77*'Activity data'!W19*Constants!$H95*FracLEACHMM*MMLeachEF*NtoN2O*kgtoGg</f>
        <v>1.3187076931938265E-2</v>
      </c>
      <c r="X186" s="22">
        <f>Constants!$H77*'Activity data'!X19*Constants!$H95*FracLEACHMM*MMLeachEF*NtoN2O*kgtoGg</f>
        <v>1.4553489205518322E-2</v>
      </c>
      <c r="Y186" s="22">
        <f>Constants!$H77*'Activity data'!Y19*Constants!$H95*FracLEACHMM*MMLeachEF*NtoN2O*kgtoGg</f>
        <v>1.6105943457620602E-2</v>
      </c>
      <c r="Z186" s="22">
        <f>Constants!$H77*'Activity data'!Z19*Constants!$H95*FracLEACHMM*MMLeachEF*NtoN2O*kgtoGg</f>
        <v>1.6318056760498027E-2</v>
      </c>
      <c r="AA186" s="22">
        <f>Constants!$H77*'Activity data'!AA19*Constants!$H95*FracLEACHMM*MMLeachEF*NtoN2O*kgtoGg</f>
        <v>1.5716468259281271E-2</v>
      </c>
      <c r="AB186" s="22">
        <f>Constants!$H77*'Activity data'!AB19*Constants!$H95*FracLEACHMM*MMLeachEF*NtoN2O*kgtoGg</f>
        <v>1.6328679002481555E-2</v>
      </c>
      <c r="AC186" s="22">
        <f>Constants!$H77*'Activity data'!AC19*Constants!$H95*FracLEACHMM*MMLeachEF*NtoN2O*kgtoGg</f>
        <v>1.7082367042983767E-2</v>
      </c>
      <c r="AD186" s="22">
        <f>Constants!$H77*'Activity data'!AD19*Constants!$H95*FracLEACHMM*MMLeachEF*NtoN2O*kgtoGg</f>
        <v>1.6786231708386851E-2</v>
      </c>
      <c r="AE186" s="22">
        <f>Constants!$H77*'Activity data'!AE19*Constants!$H95*FracLEACHMM*MMLeachEF*NtoN2O*kgtoGg</f>
        <v>1.7179672154581483E-2</v>
      </c>
      <c r="AF186" s="22">
        <f>Constants!$H77*'Activity data'!AF19*Constants!$H95*FracLEACHMM*MMLeachEF*NtoN2O*kgtoGg</f>
        <v>1.7483644044770541E-2</v>
      </c>
      <c r="AG186" s="22">
        <f>Constants!$H77*'Activity data'!AG19*Constants!$H95*FracLEACHMM*MMLeachEF*NtoN2O*kgtoGg</f>
        <v>1.7714113212528231E-2</v>
      </c>
      <c r="AH186" s="22">
        <f>Constants!$H77*'Activity data'!AH19*Constants!$H95*FracLEACHMM*MMLeachEF*NtoN2O*kgtoGg</f>
        <v>1.7897359936129172E-2</v>
      </c>
      <c r="AI186" s="22">
        <f>Constants!$H77*'Activity data'!AI19*Constants!$H95*FracLEACHMM*MMLeachEF*NtoN2O*kgtoGg</f>
        <v>1.8119827678649895E-2</v>
      </c>
      <c r="AJ186" s="22">
        <f>Constants!$H77*'Activity data'!AJ19*Constants!$H95*FracLEACHMM*MMLeachEF*NtoN2O*kgtoGg</f>
        <v>1.8365430713306249E-2</v>
      </c>
      <c r="AK186" s="22">
        <f>Constants!$H77*'Activity data'!AK19*Constants!$H95*FracLEACHMM*MMLeachEF*NtoN2O*kgtoGg</f>
        <v>1.8607321567744983E-2</v>
      </c>
      <c r="AL186" s="22">
        <f>Constants!$H77*'Activity data'!AL19*Constants!$H95*FracLEACHMM*MMLeachEF*NtoN2O*kgtoGg</f>
        <v>1.7659368169398879E-2</v>
      </c>
      <c r="AM186" s="22">
        <f>Constants!$H77*'Activity data'!AM19*Constants!$H95*FracLEACHMM*MMLeachEF*NtoN2O*kgtoGg</f>
        <v>1.8012194143614005E-2</v>
      </c>
      <c r="AN186" s="22">
        <f>Constants!$H77*'Activity data'!AN19*Constants!$H95*FracLEACHMM*MMLeachEF*NtoN2O*kgtoGg</f>
        <v>1.8363183063632542E-2</v>
      </c>
      <c r="AO186" s="22">
        <f>Constants!$H77*'Activity data'!AO19*Constants!$H95*FracLEACHMM*MMLeachEF*NtoN2O*kgtoGg</f>
        <v>1.873714044878318E-2</v>
      </c>
      <c r="AP186" s="22">
        <f>Constants!$H77*'Activity data'!AP19*Constants!$H95*FracLEACHMM*MMLeachEF*NtoN2O*kgtoGg</f>
        <v>1.9129070846404417E-2</v>
      </c>
      <c r="AQ186" s="22">
        <f>Constants!$H77*'Activity data'!AQ19*Constants!$H95*FracLEACHMM*MMLeachEF*NtoN2O*kgtoGg</f>
        <v>1.9516526597590411E-2</v>
      </c>
      <c r="AR186" s="22">
        <f>Constants!$H77*'Activity data'!AR19*Constants!$H95*FracLEACHMM*MMLeachEF*NtoN2O*kgtoGg</f>
        <v>1.9947737215086116E-2</v>
      </c>
      <c r="AS186" s="22">
        <f>Constants!$H77*'Activity data'!AS19*Constants!$H95*FracLEACHMM*MMLeachEF*NtoN2O*kgtoGg</f>
        <v>2.0390660632794287E-2</v>
      </c>
      <c r="AT186" s="22">
        <f>Constants!$H77*'Activity data'!AT19*Constants!$H95*FracLEACHMM*MMLeachEF*NtoN2O*kgtoGg</f>
        <v>2.0851958652191988E-2</v>
      </c>
      <c r="AU186" s="22">
        <f>Constants!$H77*'Activity data'!AU19*Constants!$H95*FracLEACHMM*MMLeachEF*NtoN2O*kgtoGg</f>
        <v>2.1325005307492571E-2</v>
      </c>
      <c r="AV186" s="22">
        <f>Constants!$H77*'Activity data'!AV19*Constants!$H95*FracLEACHMM*MMLeachEF*NtoN2O*kgtoGg</f>
        <v>2.1737941689332387E-2</v>
      </c>
      <c r="AW186" s="22">
        <f>Constants!$H77*'Activity data'!AW19*Constants!$H95*FracLEACHMM*MMLeachEF*NtoN2O*kgtoGg</f>
        <v>2.2235111961567383E-2</v>
      </c>
      <c r="AX186" s="22">
        <f>Constants!$H77*'Activity data'!AX19*Constants!$H95*FracLEACHMM*MMLeachEF*NtoN2O*kgtoGg</f>
        <v>2.2740610920229699E-2</v>
      </c>
      <c r="AY186" s="22">
        <f>Constants!$H77*'Activity data'!AY19*Constants!$H95*FracLEACHMM*MMLeachEF*NtoN2O*kgtoGg</f>
        <v>2.3257138554172253E-2</v>
      </c>
      <c r="AZ186" s="22">
        <f>Constants!$H77*'Activity data'!AZ19*Constants!$H95*FracLEACHMM*MMLeachEF*NtoN2O*kgtoGg</f>
        <v>2.3755512806486898E-2</v>
      </c>
      <c r="BA186" s="22">
        <f>Constants!$H77*'Activity data'!BA19*Constants!$H95*FracLEACHMM*MMLeachEF*NtoN2O*kgtoGg</f>
        <v>2.4276837474476686E-2</v>
      </c>
      <c r="BB186" s="22">
        <f>Constants!$H77*'Activity data'!BB19*Constants!$H95*FracLEACHMM*MMLeachEF*NtoN2O*kgtoGg</f>
        <v>2.4821812952434009E-2</v>
      </c>
      <c r="BC186" s="22">
        <f>Constants!$H77*'Activity data'!BC19*Constants!$H95*FracLEACHMM*MMLeachEF*NtoN2O*kgtoGg</f>
        <v>2.5382553589190549E-2</v>
      </c>
      <c r="BD186" s="22">
        <f>Constants!$H77*'Activity data'!BD19*Constants!$H95*FracLEACHMM*MMLeachEF*NtoN2O*kgtoGg</f>
        <v>2.5937520114648411E-2</v>
      </c>
      <c r="BE186" s="22">
        <f>Constants!$H77*'Activity data'!BE19*Constants!$H95*FracLEACHMM*MMLeachEF*NtoN2O*kgtoGg</f>
        <v>2.650857867439638E-2</v>
      </c>
      <c r="BF186" s="22">
        <f>Constants!$H77*'Activity data'!BF19*Constants!$H95*FracLEACHMM*MMLeachEF*NtoN2O*kgtoGg</f>
        <v>2.7109032001137411E-2</v>
      </c>
      <c r="BG186" s="22">
        <f>Constants!$H77*'Activity data'!BG19*Constants!$H95*FracLEACHMM*MMLeachEF*NtoN2O*kgtoGg</f>
        <v>2.773291882038368E-2</v>
      </c>
      <c r="BH186" s="22">
        <f>Constants!$H77*'Activity data'!BH19*Constants!$H95*FracLEACHMM*MMLeachEF*NtoN2O*kgtoGg</f>
        <v>2.8378434334707645E-2</v>
      </c>
      <c r="BI186" s="22">
        <f>Constants!$H77*'Activity data'!BI19*Constants!$H95*FracLEACHMM*MMLeachEF*NtoN2O*kgtoGg</f>
        <v>2.9046609168907438E-2</v>
      </c>
      <c r="BJ186" s="22">
        <f>Constants!$H77*'Activity data'!BJ19*Constants!$H95*FracLEACHMM*MMLeachEF*NtoN2O*kgtoGg</f>
        <v>2.9737742571303748E-2</v>
      </c>
      <c r="BK186" s="22">
        <f>Constants!$H77*'Activity data'!BK19*Constants!$H95*FracLEACHMM*MMLeachEF*NtoN2O*kgtoGg</f>
        <v>3.045735673575832E-2</v>
      </c>
      <c r="BL186" s="22">
        <f>Constants!$H77*'Activity data'!BL19*Constants!$H95*FracLEACHMM*MMLeachEF*NtoN2O*kgtoGg</f>
        <v>3.113946147471728E-2</v>
      </c>
      <c r="BM186" s="22">
        <f>Constants!$H77*'Activity data'!BM19*Constants!$H95*FracLEACHMM*MMLeachEF*NtoN2O*kgtoGg</f>
        <v>3.1847309560026113E-2</v>
      </c>
      <c r="BN186" s="22">
        <f>Constants!$H77*'Activity data'!BN19*Constants!$H95*FracLEACHMM*MMLeachEF*NtoN2O*kgtoGg</f>
        <v>3.2586114634441464E-2</v>
      </c>
      <c r="BO186" s="22">
        <f>Constants!$H77*'Activity data'!BO19*Constants!$H95*FracLEACHMM*MMLeachEF*NtoN2O*kgtoGg</f>
        <v>3.3358722560095491E-2</v>
      </c>
      <c r="BP186" s="22">
        <f>Constants!$H77*'Activity data'!BP19*Constants!$H95*FracLEACHMM*MMLeachEF*NtoN2O*kgtoGg</f>
        <v>3.4181205426759592E-2</v>
      </c>
    </row>
    <row r="187" spans="1:68" x14ac:dyDescent="0.25">
      <c r="A187" t="str">
        <f t="shared" si="58"/>
        <v>3C Aggregated and non-CO2 emissions on land</v>
      </c>
      <c r="B187" t="str">
        <f>B186</f>
        <v>3C6 Indirect N2O from manure management (N2O)</v>
      </c>
      <c r="C187" t="str">
        <f t="shared" si="67"/>
        <v>Leaching/runoff</v>
      </c>
      <c r="D187" t="str">
        <f>D171</f>
        <v xml:space="preserve"> - Commercial broilers</v>
      </c>
      <c r="E187" t="str">
        <f t="shared" si="64"/>
        <v>Leaching/runoff - Commercial broilers</v>
      </c>
      <c r="F187" t="str">
        <f t="shared" si="47"/>
        <v>N2O</v>
      </c>
      <c r="G187" t="str">
        <f t="shared" si="48"/>
        <v>Gg N2O</v>
      </c>
      <c r="H187" s="22">
        <f>Constants!$H78*'Activity data'!H20*Constants!$H96*FracLEACHMM*MMLeachEF*NtoN2O*kgtoGg</f>
        <v>3.3251202703764936E-2</v>
      </c>
      <c r="I187" s="22">
        <f>Constants!$H78*'Activity data'!I20*Constants!$H96*FracLEACHMM*MMLeachEF*NtoN2O*kgtoGg</f>
        <v>3.1256130581881272E-2</v>
      </c>
      <c r="J187" s="22">
        <f>Constants!$H78*'Activity data'!J20*Constants!$H96*FracLEACHMM*MMLeachEF*NtoN2O*kgtoGg</f>
        <v>2.9539279304954081E-2</v>
      </c>
      <c r="K187" s="22">
        <f>Constants!$H78*'Activity data'!K20*Constants!$H96*FracLEACHMM*MMLeachEF*NtoN2O*kgtoGg</f>
        <v>3.3221188579374041E-2</v>
      </c>
      <c r="L187" s="22">
        <f>Constants!$H78*'Activity data'!L20*Constants!$H96*FracLEACHMM*MMLeachEF*NtoN2O*kgtoGg</f>
        <v>3.2909615722030355E-2</v>
      </c>
      <c r="M187" s="22">
        <f>Constants!$H78*'Activity data'!M20*Constants!$H96*FracLEACHMM*MMLeachEF*NtoN2O*kgtoGg</f>
        <v>3.7669866131891196E-2</v>
      </c>
      <c r="N187" s="22">
        <f>Constants!$H78*'Activity data'!N20*Constants!$H96*FracLEACHMM*MMLeachEF*NtoN2O*kgtoGg</f>
        <v>4.380034464193687E-2</v>
      </c>
      <c r="O187" s="22">
        <f>Constants!$H78*'Activity data'!O20*Constants!$H96*FracLEACHMM*MMLeachEF*NtoN2O*kgtoGg</f>
        <v>4.458374413793717E-2</v>
      </c>
      <c r="P187" s="22">
        <f>Constants!$H78*'Activity data'!P20*Constants!$H96*FracLEACHMM*MMLeachEF*NtoN2O*kgtoGg</f>
        <v>4.8851875625500675E-2</v>
      </c>
      <c r="Q187" s="22">
        <f>Constants!$H78*'Activity data'!Q20*Constants!$H96*FracLEACHMM*MMLeachEF*NtoN2O*kgtoGg</f>
        <v>5.1000810169688715E-2</v>
      </c>
      <c r="R187" s="22">
        <f>Constants!$H78*'Activity data'!R20*Constants!$H96*FracLEACHMM*MMLeachEF*NtoN2O*kgtoGg</f>
        <v>5.4873113549001651E-2</v>
      </c>
      <c r="S187" s="22">
        <f>Constants!$H78*'Activity data'!S20*Constants!$H96*FracLEACHMM*MMLeachEF*NtoN2O*kgtoGg</f>
        <v>5.2985756974377428E-2</v>
      </c>
      <c r="T187" s="22">
        <f>Constants!$H78*'Activity data'!T20*Constants!$H96*FracLEACHMM*MMLeachEF*NtoN2O*kgtoGg</f>
        <v>5.8725405403651593E-2</v>
      </c>
      <c r="U187" s="22">
        <f>Constants!$H78*'Activity data'!U20*Constants!$H96*FracLEACHMM*MMLeachEF*NtoN2O*kgtoGg</f>
        <v>5.5856725851573273E-2</v>
      </c>
      <c r="V187" s="22">
        <f>Constants!$H78*'Activity data'!V20*Constants!$H96*FracLEACHMM*MMLeachEF*NtoN2O*kgtoGg</f>
        <v>5.7205155940384118E-2</v>
      </c>
      <c r="W187" s="22">
        <f>Constants!$H78*'Activity data'!W20*Constants!$H96*FracLEACHMM*MMLeachEF*NtoN2O*kgtoGg</f>
        <v>6.329605772520823E-2</v>
      </c>
      <c r="X187" s="22">
        <f>Constants!$H78*'Activity data'!X20*Constants!$H96*FracLEACHMM*MMLeachEF*NtoN2O*kgtoGg</f>
        <v>6.7701049603437022E-2</v>
      </c>
      <c r="Y187" s="22">
        <f>Constants!$H78*'Activity data'!Y20*Constants!$H96*FracLEACHMM*MMLeachEF*NtoN2O*kgtoGg</f>
        <v>7.0833855292733158E-2</v>
      </c>
      <c r="Z187" s="22">
        <f>Constants!$H78*'Activity data'!Z20*Constants!$H96*FracLEACHMM*MMLeachEF*NtoN2O*kgtoGg</f>
        <v>7.5418822438452923E-2</v>
      </c>
      <c r="AA187" s="22">
        <f>Constants!$H78*'Activity data'!AA20*Constants!$H96*FracLEACHMM*MMLeachEF*NtoN2O*kgtoGg</f>
        <v>7.1165915529208493E-2</v>
      </c>
      <c r="AB187" s="22">
        <f>Constants!$H78*'Activity data'!AB20*Constants!$H96*FracLEACHMM*MMLeachEF*NtoN2O*kgtoGg</f>
        <v>7.2955795050844749E-2</v>
      </c>
      <c r="AC187" s="22">
        <f>Constants!$H78*'Activity data'!AC20*Constants!$H96*FracLEACHMM*MMLeachEF*NtoN2O*kgtoGg</f>
        <v>7.5455418934244733E-2</v>
      </c>
      <c r="AD187" s="22">
        <f>Constants!$H78*'Activity data'!AD20*Constants!$H96*FracLEACHMM*MMLeachEF*NtoN2O*kgtoGg</f>
        <v>7.8156684084150801E-2</v>
      </c>
      <c r="AE187" s="22">
        <f>Constants!$H78*'Activity data'!AE20*Constants!$H96*FracLEACHMM*MMLeachEF*NtoN2O*kgtoGg</f>
        <v>7.9788327167159209E-2</v>
      </c>
      <c r="AF187" s="22">
        <f>Constants!$H78*'Activity data'!AF20*Constants!$H96*FracLEACHMM*MMLeachEF*NtoN2O*kgtoGg</f>
        <v>8.0291705672679736E-2</v>
      </c>
      <c r="AG187" s="22">
        <f>Constants!$H78*'Activity data'!AG20*Constants!$H96*FracLEACHMM*MMLeachEF*NtoN2O*kgtoGg</f>
        <v>7.9888165314714099E-2</v>
      </c>
      <c r="AH187" s="22">
        <f>Constants!$H78*'Activity data'!AH20*Constants!$H96*FracLEACHMM*MMLeachEF*NtoN2O*kgtoGg</f>
        <v>7.8904747063138311E-2</v>
      </c>
      <c r="AI187" s="22">
        <f>Constants!$H78*'Activity data'!AI20*Constants!$H96*FracLEACHMM*MMLeachEF*NtoN2O*kgtoGg</f>
        <v>7.83346149974153E-2</v>
      </c>
      <c r="AJ187" s="22">
        <f>Constants!$H78*'Activity data'!AJ20*Constants!$H96*FracLEACHMM*MMLeachEF*NtoN2O*kgtoGg</f>
        <v>7.8030913217650433E-2</v>
      </c>
      <c r="AK187" s="22">
        <f>Constants!$H78*'Activity data'!AK20*Constants!$H96*FracLEACHMM*MMLeachEF*NtoN2O*kgtoGg</f>
        <v>7.7678365960091034E-2</v>
      </c>
      <c r="AL187" s="22">
        <f>Constants!$H78*'Activity data'!AL20*Constants!$H96*FracLEACHMM*MMLeachEF*NtoN2O*kgtoGg</f>
        <v>6.4235562691848672E-2</v>
      </c>
      <c r="AM187" s="22">
        <f>Constants!$H78*'Activity data'!AM20*Constants!$H96*FracLEACHMM*MMLeachEF*NtoN2O*kgtoGg</f>
        <v>6.5597030777465051E-2</v>
      </c>
      <c r="AN187" s="22">
        <f>Constants!$H78*'Activity data'!AN20*Constants!$H96*FracLEACHMM*MMLeachEF*NtoN2O*kgtoGg</f>
        <v>6.7033765488459629E-2</v>
      </c>
      <c r="AO187" s="22">
        <f>Constants!$H78*'Activity data'!AO20*Constants!$H96*FracLEACHMM*MMLeachEF*NtoN2O*kgtoGg</f>
        <v>6.8813464662845408E-2</v>
      </c>
      <c r="AP187" s="22">
        <f>Constants!$H78*'Activity data'!AP20*Constants!$H96*FracLEACHMM*MMLeachEF*NtoN2O*kgtoGg</f>
        <v>7.0793901251300057E-2</v>
      </c>
      <c r="AQ187" s="22">
        <f>Constants!$H78*'Activity data'!AQ20*Constants!$H96*FracLEACHMM*MMLeachEF*NtoN2O*kgtoGg</f>
        <v>7.2735570740514413E-2</v>
      </c>
      <c r="AR187" s="22">
        <f>Constants!$H78*'Activity data'!AR20*Constants!$H96*FracLEACHMM*MMLeachEF*NtoN2O*kgtoGg</f>
        <v>7.5143706674870567E-2</v>
      </c>
      <c r="AS187" s="22">
        <f>Constants!$H78*'Activity data'!AS20*Constants!$H96*FracLEACHMM*MMLeachEF*NtoN2O*kgtoGg</f>
        <v>7.7677310908041655E-2</v>
      </c>
      <c r="AT187" s="22">
        <f>Constants!$H78*'Activity data'!AT20*Constants!$H96*FracLEACHMM*MMLeachEF*NtoN2O*kgtoGg</f>
        <v>8.0403461312103103E-2</v>
      </c>
      <c r="AU187" s="22">
        <f>Constants!$H78*'Activity data'!AU20*Constants!$H96*FracLEACHMM*MMLeachEF*NtoN2O*kgtoGg</f>
        <v>8.3241785310856534E-2</v>
      </c>
      <c r="AV187" s="22">
        <f>Constants!$H78*'Activity data'!AV20*Constants!$H96*FracLEACHMM*MMLeachEF*NtoN2O*kgtoGg</f>
        <v>8.5465031158640237E-2</v>
      </c>
      <c r="AW187" s="22">
        <f>Constants!$H78*'Activity data'!AW20*Constants!$H96*FracLEACHMM*MMLeachEF*NtoN2O*kgtoGg</f>
        <v>8.8536022164944342E-2</v>
      </c>
      <c r="AX187" s="22">
        <f>Constants!$H78*'Activity data'!AX20*Constants!$H96*FracLEACHMM*MMLeachEF*NtoN2O*kgtoGg</f>
        <v>9.168177474579027E-2</v>
      </c>
      <c r="AY187" s="22">
        <f>Constants!$H78*'Activity data'!AY20*Constants!$H96*FracLEACHMM*MMLeachEF*NtoN2O*kgtoGg</f>
        <v>9.4928807096415976E-2</v>
      </c>
      <c r="AZ187" s="22">
        <f>Constants!$H78*'Activity data'!AZ20*Constants!$H96*FracLEACHMM*MMLeachEF*NtoN2O*kgtoGg</f>
        <v>9.7986860360286185E-2</v>
      </c>
      <c r="BA187" s="22">
        <f>Constants!$H78*'Activity data'!BA20*Constants!$H96*FracLEACHMM*MMLeachEF*NtoN2O*kgtoGg</f>
        <v>0.10126206711208391</v>
      </c>
      <c r="BB187" s="22">
        <f>Constants!$H78*'Activity data'!BB20*Constants!$H96*FracLEACHMM*MMLeachEF*NtoN2O*kgtoGg</f>
        <v>0.10475811262527088</v>
      </c>
      <c r="BC187" s="22">
        <f>Constants!$H78*'Activity data'!BC20*Constants!$H96*FracLEACHMM*MMLeachEF*NtoN2O*kgtoGg</f>
        <v>0.10839596373310087</v>
      </c>
      <c r="BD187" s="22">
        <f>Constants!$H78*'Activity data'!BD20*Constants!$H96*FracLEACHMM*MMLeachEF*NtoN2O*kgtoGg</f>
        <v>0.11196797258435764</v>
      </c>
      <c r="BE187" s="22">
        <f>Constants!$H78*'Activity data'!BE20*Constants!$H96*FracLEACHMM*MMLeachEF*NtoN2O*kgtoGg</f>
        <v>0.11568152752307707</v>
      </c>
      <c r="BF187" s="22">
        <f>Constants!$H78*'Activity data'!BF20*Constants!$H96*FracLEACHMM*MMLeachEF*NtoN2O*kgtoGg</f>
        <v>0.11966085793262636</v>
      </c>
      <c r="BG187" s="22">
        <f>Constants!$H78*'Activity data'!BG20*Constants!$H96*FracLEACHMM*MMLeachEF*NtoN2O*kgtoGg</f>
        <v>0.12384621795902151</v>
      </c>
      <c r="BH187" s="22">
        <f>Constants!$H78*'Activity data'!BH20*Constants!$H96*FracLEACHMM*MMLeachEF*NtoN2O*kgtoGg</f>
        <v>0.12821816693888416</v>
      </c>
      <c r="BI187" s="22">
        <f>Constants!$H78*'Activity data'!BI20*Constants!$H96*FracLEACHMM*MMLeachEF*NtoN2O*kgtoGg</f>
        <v>0.13278409058187007</v>
      </c>
      <c r="BJ187" s="22">
        <f>Constants!$H78*'Activity data'!BJ20*Constants!$H96*FracLEACHMM*MMLeachEF*NtoN2O*kgtoGg</f>
        <v>0.13754436176235871</v>
      </c>
      <c r="BK187" s="22">
        <f>Constants!$H78*'Activity data'!BK20*Constants!$H96*FracLEACHMM*MMLeachEF*NtoN2O*kgtoGg</f>
        <v>0.14254745504085697</v>
      </c>
      <c r="BL187" s="22">
        <f>Constants!$H78*'Activity data'!BL20*Constants!$H96*FracLEACHMM*MMLeachEF*NtoN2O*kgtoGg</f>
        <v>0.14718772515948833</v>
      </c>
      <c r="BM187" s="22">
        <f>Constants!$H78*'Activity data'!BM20*Constants!$H96*FracLEACHMM*MMLeachEF*NtoN2O*kgtoGg</f>
        <v>0.15204661651647219</v>
      </c>
      <c r="BN187" s="22">
        <f>Constants!$H78*'Activity data'!BN20*Constants!$H96*FracLEACHMM*MMLeachEF*NtoN2O*kgtoGg</f>
        <v>0.15716863250540339</v>
      </c>
      <c r="BO187" s="22">
        <f>Constants!$H78*'Activity data'!BO20*Constants!$H96*FracLEACHMM*MMLeachEF*NtoN2O*kgtoGg</f>
        <v>0.16257648034214656</v>
      </c>
      <c r="BP187" s="22">
        <f>Constants!$H78*'Activity data'!BP20*Constants!$H96*FracLEACHMM*MMLeachEF*NtoN2O*kgtoGg</f>
        <v>0.16841027767820727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9900"/>
  </sheetPr>
  <dimension ref="A1:BT127"/>
  <sheetViews>
    <sheetView workbookViewId="0">
      <pane xSplit="5" ySplit="3" topLeftCell="O73" activePane="bottomRight" state="frozen"/>
      <selection pane="topRight" activeCell="F1" sqref="F1"/>
      <selection pane="bottomLeft" activeCell="A4" sqref="A4"/>
      <selection pane="bottomRight" activeCell="F79" sqref="F79:AG79"/>
    </sheetView>
  </sheetViews>
  <sheetFormatPr defaultRowHeight="15" x14ac:dyDescent="0.25"/>
  <cols>
    <col min="1" max="1" width="34.42578125" customWidth="1"/>
    <col min="2" max="2" width="33.28515625" customWidth="1"/>
    <col min="3" max="3" width="27.5703125" customWidth="1"/>
    <col min="4" max="4" width="7.5703125" customWidth="1"/>
    <col min="5" max="5" width="26.140625" customWidth="1"/>
    <col min="6" max="33" width="9.7109375" customWidth="1"/>
    <col min="34" max="34" width="9.5703125" customWidth="1"/>
    <col min="49" max="50" width="9.42578125" customWidth="1"/>
    <col min="51" max="51" width="9.7109375" customWidth="1"/>
  </cols>
  <sheetData>
    <row r="1" spans="1:72" ht="18.75" x14ac:dyDescent="0.3">
      <c r="A1" s="1" t="s">
        <v>312</v>
      </c>
    </row>
    <row r="3" spans="1:72" s="19" customFormat="1" ht="15.75" x14ac:dyDescent="0.25">
      <c r="A3" s="17" t="s">
        <v>4</v>
      </c>
      <c r="B3" s="17" t="s">
        <v>313</v>
      </c>
      <c r="C3" s="17" t="s">
        <v>314</v>
      </c>
      <c r="D3" s="17" t="s">
        <v>5</v>
      </c>
      <c r="E3" s="17" t="s">
        <v>0</v>
      </c>
      <c r="F3" s="17">
        <v>1990</v>
      </c>
      <c r="G3" s="17">
        <v>1991</v>
      </c>
      <c r="H3" s="17">
        <v>1992</v>
      </c>
      <c r="I3" s="17">
        <v>1993</v>
      </c>
      <c r="J3" s="17">
        <v>1994</v>
      </c>
      <c r="K3" s="17">
        <v>1995</v>
      </c>
      <c r="L3" s="17">
        <v>1996</v>
      </c>
      <c r="M3" s="17">
        <v>1997</v>
      </c>
      <c r="N3" s="17">
        <v>1998</v>
      </c>
      <c r="O3" s="17">
        <v>1999</v>
      </c>
      <c r="P3" s="17">
        <v>2000</v>
      </c>
      <c r="Q3" s="17">
        <v>2001</v>
      </c>
      <c r="R3" s="17">
        <v>2002</v>
      </c>
      <c r="S3" s="17">
        <v>2003</v>
      </c>
      <c r="T3" s="17">
        <v>2004</v>
      </c>
      <c r="U3" s="17">
        <v>2005</v>
      </c>
      <c r="V3" s="17">
        <v>2006</v>
      </c>
      <c r="W3" s="17">
        <v>2007</v>
      </c>
      <c r="X3" s="17">
        <v>2008</v>
      </c>
      <c r="Y3" s="17">
        <v>2009</v>
      </c>
      <c r="Z3" s="17">
        <v>2010</v>
      </c>
      <c r="AA3" s="17">
        <v>2011</v>
      </c>
      <c r="AB3" s="17">
        <v>2012</v>
      </c>
      <c r="AC3" s="17">
        <v>2013</v>
      </c>
      <c r="AD3" s="17">
        <v>2014</v>
      </c>
      <c r="AE3" s="17">
        <v>2015</v>
      </c>
      <c r="AF3" s="17">
        <v>2016</v>
      </c>
      <c r="AG3" s="17">
        <v>2017</v>
      </c>
      <c r="AH3" s="17">
        <v>2018</v>
      </c>
      <c r="AI3" s="17">
        <v>2019</v>
      </c>
      <c r="AJ3" s="17">
        <v>2020</v>
      </c>
      <c r="AK3" s="17">
        <v>2021</v>
      </c>
      <c r="AL3" s="17">
        <v>2022</v>
      </c>
      <c r="AM3" s="17">
        <v>2023</v>
      </c>
      <c r="AN3" s="17">
        <v>2024</v>
      </c>
      <c r="AO3" s="17">
        <v>2025</v>
      </c>
      <c r="AP3" s="17">
        <v>2026</v>
      </c>
      <c r="AQ3" s="17">
        <v>2027</v>
      </c>
      <c r="AR3" s="17">
        <v>2028</v>
      </c>
      <c r="AS3" s="17">
        <v>2029</v>
      </c>
      <c r="AT3" s="17">
        <v>2030</v>
      </c>
      <c r="AU3" s="17">
        <v>2031</v>
      </c>
      <c r="AV3" s="17">
        <v>2032</v>
      </c>
      <c r="AW3" s="17">
        <v>2033</v>
      </c>
      <c r="AX3" s="17">
        <v>2034</v>
      </c>
      <c r="AY3" s="17">
        <v>2035</v>
      </c>
      <c r="AZ3" s="17">
        <v>2036</v>
      </c>
      <c r="BA3" s="17">
        <v>2037</v>
      </c>
      <c r="BB3" s="17">
        <v>2038</v>
      </c>
      <c r="BC3" s="17">
        <v>2039</v>
      </c>
      <c r="BD3" s="17">
        <v>2040</v>
      </c>
      <c r="BE3" s="17">
        <v>2041</v>
      </c>
      <c r="BF3" s="17">
        <v>2042</v>
      </c>
      <c r="BG3" s="17">
        <v>2043</v>
      </c>
      <c r="BH3" s="17">
        <v>2044</v>
      </c>
      <c r="BI3" s="17">
        <v>2045</v>
      </c>
      <c r="BJ3" s="17">
        <v>2046</v>
      </c>
      <c r="BK3" s="17">
        <v>2047</v>
      </c>
      <c r="BL3" s="17">
        <v>2048</v>
      </c>
      <c r="BM3" s="17">
        <v>2049</v>
      </c>
      <c r="BN3" s="17">
        <v>2050</v>
      </c>
      <c r="BO3" s="17"/>
      <c r="BP3" s="17"/>
      <c r="BQ3" s="17"/>
      <c r="BR3" s="17"/>
      <c r="BS3" s="17"/>
      <c r="BT3" s="17"/>
    </row>
    <row r="4" spans="1:72" s="19" customFormat="1" ht="15.75" x14ac:dyDescent="0.25">
      <c r="A4" s="19" t="str">
        <f>A10</f>
        <v>3A Livestock</v>
      </c>
      <c r="B4" s="19" t="str">
        <f>B10</f>
        <v>3A1 Enteric fermentation (CH4)</v>
      </c>
      <c r="C4" s="19" t="s">
        <v>148</v>
      </c>
      <c r="D4" s="19" t="str">
        <f>D10</f>
        <v>CH4</v>
      </c>
      <c r="E4" s="19" t="str">
        <f>E10</f>
        <v>Gg CH4</v>
      </c>
      <c r="F4" s="46">
        <f t="shared" ref="F4:AK4" si="0">SUM(F5:F10)</f>
        <v>1260.0440510636847</v>
      </c>
      <c r="G4" s="46">
        <f t="shared" si="0"/>
        <v>1258.0226339156723</v>
      </c>
      <c r="H4" s="46">
        <f t="shared" si="0"/>
        <v>1239.3934970469879</v>
      </c>
      <c r="I4" s="46">
        <f t="shared" si="0"/>
        <v>1194.7273149041114</v>
      </c>
      <c r="J4" s="46">
        <f t="shared" si="0"/>
        <v>1162.4999055437097</v>
      </c>
      <c r="K4" s="46">
        <f t="shared" si="0"/>
        <v>1171.5173194915196</v>
      </c>
      <c r="L4" s="46">
        <f t="shared" si="0"/>
        <v>1202.0962242987941</v>
      </c>
      <c r="M4" s="46">
        <f t="shared" si="0"/>
        <v>1224.8603653192843</v>
      </c>
      <c r="N4" s="46">
        <f t="shared" si="0"/>
        <v>1244.3232626994372</v>
      </c>
      <c r="O4" s="46">
        <f t="shared" si="0"/>
        <v>1241.8612496504879</v>
      </c>
      <c r="P4" s="46">
        <f t="shared" si="0"/>
        <v>1227.4784890178826</v>
      </c>
      <c r="Q4" s="46">
        <f t="shared" si="0"/>
        <v>1218.6551420734072</v>
      </c>
      <c r="R4" s="46">
        <f t="shared" si="0"/>
        <v>1197.4820095010721</v>
      </c>
      <c r="S4" s="46">
        <f t="shared" si="0"/>
        <v>1202.3555525159982</v>
      </c>
      <c r="T4" s="46">
        <f t="shared" si="0"/>
        <v>1192.9382386371974</v>
      </c>
      <c r="U4" s="46">
        <f t="shared" si="0"/>
        <v>1195.5469772851111</v>
      </c>
      <c r="V4" s="46">
        <f t="shared" si="0"/>
        <v>1190.9388605207587</v>
      </c>
      <c r="W4" s="46">
        <f t="shared" si="0"/>
        <v>1216.9016959048554</v>
      </c>
      <c r="X4" s="46">
        <f t="shared" si="0"/>
        <v>1224.8132015696788</v>
      </c>
      <c r="Y4" s="46">
        <f t="shared" si="0"/>
        <v>1216.8111130588925</v>
      </c>
      <c r="Z4" s="46">
        <f t="shared" si="0"/>
        <v>1206.6102248317582</v>
      </c>
      <c r="AA4" s="46">
        <f t="shared" si="0"/>
        <v>1202.8837608805554</v>
      </c>
      <c r="AB4" s="46">
        <f t="shared" si="0"/>
        <v>1175.8808345488214</v>
      </c>
      <c r="AC4" s="46">
        <f t="shared" si="0"/>
        <v>1175.6708239628701</v>
      </c>
      <c r="AD4" s="46">
        <f t="shared" si="0"/>
        <v>1167.2969270502981</v>
      </c>
      <c r="AE4" s="46">
        <f t="shared" si="0"/>
        <v>1152.776114200281</v>
      </c>
      <c r="AF4" s="46">
        <f t="shared" si="0"/>
        <v>1134.7571395889013</v>
      </c>
      <c r="AG4" s="46">
        <f t="shared" si="0"/>
        <v>1120.372394689477</v>
      </c>
      <c r="AH4" s="46">
        <f t="shared" si="0"/>
        <v>1108.1769489653257</v>
      </c>
      <c r="AI4" s="46">
        <f t="shared" si="0"/>
        <v>1095.9470933431512</v>
      </c>
      <c r="AJ4" s="46">
        <f t="shared" si="0"/>
        <v>997.5208916698582</v>
      </c>
      <c r="AK4" s="46">
        <f t="shared" si="0"/>
        <v>1003.835454979728</v>
      </c>
      <c r="AL4" s="46">
        <f t="shared" ref="AL4:BN4" si="1">SUM(AL5:AL10)</f>
        <v>1010.0755480579516</v>
      </c>
      <c r="AM4" s="46">
        <f t="shared" si="1"/>
        <v>1017.9417819722615</v>
      </c>
      <c r="AN4" s="46">
        <f t="shared" si="1"/>
        <v>1026.8304454291429</v>
      </c>
      <c r="AO4" s="46">
        <f t="shared" si="1"/>
        <v>1035.189367803632</v>
      </c>
      <c r="AP4" s="46">
        <f t="shared" si="1"/>
        <v>1046.1805602065965</v>
      </c>
      <c r="AQ4" s="46">
        <f t="shared" si="1"/>
        <v>1057.607520910937</v>
      </c>
      <c r="AR4" s="46">
        <f t="shared" si="1"/>
        <v>1069.8586550771424</v>
      </c>
      <c r="AS4" s="46">
        <f t="shared" si="1"/>
        <v>1082.4539506837984</v>
      </c>
      <c r="AT4" s="46">
        <f t="shared" si="1"/>
        <v>1090.9869610182425</v>
      </c>
      <c r="AU4" s="46">
        <f t="shared" si="1"/>
        <v>1098.7034529935502</v>
      </c>
      <c r="AV4" s="46">
        <f t="shared" si="1"/>
        <v>1106.2371428893709</v>
      </c>
      <c r="AW4" s="46">
        <f t="shared" si="1"/>
        <v>1113.7225664377197</v>
      </c>
      <c r="AX4" s="46">
        <f t="shared" si="1"/>
        <v>1119.5063892636656</v>
      </c>
      <c r="AY4" s="46">
        <f t="shared" si="1"/>
        <v>1125.9026482061249</v>
      </c>
      <c r="AZ4" s="46">
        <f t="shared" si="1"/>
        <v>1132.8749299590625</v>
      </c>
      <c r="BA4" s="46">
        <f t="shared" si="1"/>
        <v>1139.9421189450029</v>
      </c>
      <c r="BB4" s="46">
        <f t="shared" si="1"/>
        <v>1145.9738121536129</v>
      </c>
      <c r="BC4" s="46">
        <f t="shared" si="1"/>
        <v>1152.0813363939637</v>
      </c>
      <c r="BD4" s="46">
        <f t="shared" si="1"/>
        <v>1158.865150179693</v>
      </c>
      <c r="BE4" s="46">
        <f t="shared" si="1"/>
        <v>1169.4280103143965</v>
      </c>
      <c r="BF4" s="46">
        <f t="shared" si="1"/>
        <v>1180.3188325553058</v>
      </c>
      <c r="BG4" s="46">
        <f t="shared" si="1"/>
        <v>1191.5400914347933</v>
      </c>
      <c r="BH4" s="46">
        <f t="shared" si="1"/>
        <v>1203.059431303386</v>
      </c>
      <c r="BI4" s="46">
        <f t="shared" si="1"/>
        <v>1215.073381268161</v>
      </c>
      <c r="BJ4" s="46">
        <f t="shared" si="1"/>
        <v>1224.6975864040553</v>
      </c>
      <c r="BK4" s="46">
        <f t="shared" si="1"/>
        <v>1234.6992502427033</v>
      </c>
      <c r="BL4" s="46">
        <f t="shared" si="1"/>
        <v>1245.2432547856577</v>
      </c>
      <c r="BM4" s="46">
        <f t="shared" si="1"/>
        <v>1256.3840351210297</v>
      </c>
      <c r="BN4" s="46">
        <f t="shared" si="1"/>
        <v>1268.6919407254056</v>
      </c>
    </row>
    <row r="5" spans="1:72" x14ac:dyDescent="0.25">
      <c r="A5" t="str">
        <f>'IPCC Categories'!A5</f>
        <v>3A Livestock</v>
      </c>
      <c r="B5" t="str">
        <f>'IPCC Categories'!B5</f>
        <v>3A1 Enteric fermentation (CH4)</v>
      </c>
      <c r="C5" t="str">
        <f>'IPCC Categories'!C5</f>
        <v>3A1a Cattle</v>
      </c>
      <c r="D5" t="s">
        <v>121</v>
      </c>
      <c r="E5" t="s">
        <v>286</v>
      </c>
      <c r="F5" s="28">
        <f>SUM(Emissions!H4:H9)</f>
        <v>970.75783010383884</v>
      </c>
      <c r="G5" s="28">
        <f>SUM(Emissions!I4:I9)</f>
        <v>984.79007914328508</v>
      </c>
      <c r="H5" s="28">
        <f>SUM(Emissions!J4:J9)</f>
        <v>978.33549013594484</v>
      </c>
      <c r="I5" s="28">
        <f>SUM(Emissions!K4:K9)</f>
        <v>949.53957888011155</v>
      </c>
      <c r="J5" s="28">
        <f>SUM(Emissions!L4:L9)</f>
        <v>912.67525621411551</v>
      </c>
      <c r="K5" s="28">
        <f>SUM(Emissions!M4:M9)</f>
        <v>923.83797265176531</v>
      </c>
      <c r="L5" s="28">
        <f>SUM(Emissions!N4:N9)</f>
        <v>952.84275320570532</v>
      </c>
      <c r="M5" s="28">
        <f>SUM(Emissions!O4:O9)</f>
        <v>980.01539424682801</v>
      </c>
      <c r="N5" s="28">
        <f>SUM(Emissions!P4:P9)</f>
        <v>999.43503615113787</v>
      </c>
      <c r="O5" s="28">
        <f>SUM(Emissions!Q4:Q9)</f>
        <v>1002.3241787350501</v>
      </c>
      <c r="P5" s="28">
        <f>SUM(Emissions!R4:R9)</f>
        <v>994.67599031563441</v>
      </c>
      <c r="Q5" s="28">
        <f>SUM(Emissions!S4:S9)</f>
        <v>989.00845450586121</v>
      </c>
      <c r="R5" s="28">
        <f>SUM(Emissions!T4:T9)</f>
        <v>974.60961385984729</v>
      </c>
      <c r="S5" s="28">
        <f>SUM(Emissions!U4:U9)</f>
        <v>979.96199314328828</v>
      </c>
      <c r="T5" s="28">
        <f>SUM(Emissions!V4:V9)</f>
        <v>973.57297774234985</v>
      </c>
      <c r="U5" s="28">
        <f>SUM(Emissions!W4:W9)</f>
        <v>977.1168038510275</v>
      </c>
      <c r="V5" s="28">
        <f>SUM(Emissions!X4:X9)</f>
        <v>973.77414524080291</v>
      </c>
      <c r="W5" s="28">
        <f>SUM(Emissions!Y4:Y9)</f>
        <v>1000.8673096110051</v>
      </c>
      <c r="X5" s="28">
        <f>SUM(Emissions!Z4:Z9)</f>
        <v>1008.1706907272458</v>
      </c>
      <c r="Y5" s="28">
        <f>SUM(Emissions!AA4:AA9)</f>
        <v>1001.4109568206607</v>
      </c>
      <c r="Z5" s="28">
        <f>SUM(Emissions!AB4:AB9)</f>
        <v>994.93224097621089</v>
      </c>
      <c r="AA5" s="28">
        <f>SUM(Emissions!AC4:AC9)</f>
        <v>992.75930538162731</v>
      </c>
      <c r="AB5" s="28">
        <f>SUM(Emissions!AD4:AD9)</f>
        <v>982.08711631369601</v>
      </c>
      <c r="AC5" s="28">
        <f>SUM(Emissions!AE4:AE9)</f>
        <v>981.65380284236221</v>
      </c>
      <c r="AD5" s="28">
        <f>SUM(Emissions!AF4:AF9)</f>
        <v>972.97719871531899</v>
      </c>
      <c r="AE5" s="28">
        <f>SUM(Emissions!AG4:AG9)</f>
        <v>958.06979680598045</v>
      </c>
      <c r="AF5" s="28">
        <f>SUM(Emissions!AH4:AH9)</f>
        <v>939.56873127316123</v>
      </c>
      <c r="AG5" s="28">
        <f>SUM(Emissions!AI4:AI9)</f>
        <v>924.55889964209803</v>
      </c>
      <c r="AH5" s="28">
        <f>SUM(Emissions!AJ4:AJ9)</f>
        <v>911.65803114460198</v>
      </c>
      <c r="AI5" s="28">
        <f>SUM(Emissions!AK4:AK9)</f>
        <v>898.6575359526737</v>
      </c>
      <c r="AJ5" s="28">
        <f>SUM(Emissions!AL4:AL9)</f>
        <v>800.06717655235741</v>
      </c>
      <c r="AK5" s="28">
        <f>SUM(Emissions!AM4:AM9)</f>
        <v>805.78270666768685</v>
      </c>
      <c r="AL5" s="28">
        <f>SUM(Emissions!AN4:AN9)</f>
        <v>811.49629353741796</v>
      </c>
      <c r="AM5" s="28">
        <f>SUM(Emissions!AO4:AO9)</f>
        <v>818.90015040131777</v>
      </c>
      <c r="AN5" s="28">
        <f>SUM(Emissions!AP4:AP9)</f>
        <v>827.32012782108222</v>
      </c>
      <c r="AO5" s="28">
        <f>SUM(Emissions!AQ4:AQ9)</f>
        <v>835.21913678749388</v>
      </c>
      <c r="AP5" s="28">
        <f>SUM(Emissions!AR4:AR9)</f>
        <v>845.73677466088679</v>
      </c>
      <c r="AQ5" s="28">
        <f>SUM(Emissions!AS4:AS9)</f>
        <v>856.6962269605848</v>
      </c>
      <c r="AR5" s="28">
        <f>SUM(Emissions!AT4:AT9)</f>
        <v>868.48497327593191</v>
      </c>
      <c r="AS5" s="28">
        <f>SUM(Emissions!AU4:AU9)</f>
        <v>880.61918456834098</v>
      </c>
      <c r="AT5" s="28">
        <f>SUM(Emissions!AV4:AV9)</f>
        <v>888.7298484331335</v>
      </c>
      <c r="AU5" s="28">
        <f>SUM(Emissions!AW4:AW9)</f>
        <v>895.99293064157223</v>
      </c>
      <c r="AV5" s="28">
        <f>SUM(Emissions!AX4:AX9)</f>
        <v>903.08169279509798</v>
      </c>
      <c r="AW5" s="28">
        <f>SUM(Emissions!AY4:AY9)</f>
        <v>910.1309157079894</v>
      </c>
      <c r="AX5" s="28">
        <f>SUM(Emissions!AZ4:AZ9)</f>
        <v>915.49981502475976</v>
      </c>
      <c r="AY5" s="28">
        <f>SUM(Emissions!BA4:BA9)</f>
        <v>921.48414792802942</v>
      </c>
      <c r="AZ5" s="28">
        <f>SUM(Emissions!BB4:BB9)</f>
        <v>928.0486280761379</v>
      </c>
      <c r="BA5" s="28">
        <f>SUM(Emissions!BC4:BC9)</f>
        <v>934.71711819567258</v>
      </c>
      <c r="BB5" s="28">
        <f>SUM(Emissions!BD4:BD9)</f>
        <v>940.37015201950817</v>
      </c>
      <c r="BC5" s="28">
        <f>SUM(Emissions!BE4:BE9)</f>
        <v>946.10722699626751</v>
      </c>
      <c r="BD5" s="28">
        <f>SUM(Emissions!BF4:BF9)</f>
        <v>952.52392109544382</v>
      </c>
      <c r="BE5" s="28">
        <f>SUM(Emissions!BG4:BG9)</f>
        <v>962.72675020856445</v>
      </c>
      <c r="BF5" s="28">
        <f>SUM(Emissions!BH4:BH9)</f>
        <v>973.26641260255235</v>
      </c>
      <c r="BG5" s="28">
        <f>SUM(Emissions!BI4:BI9)</f>
        <v>984.14585162264325</v>
      </c>
      <c r="BH5" s="28">
        <f>SUM(Emissions!BJ4:BJ9)</f>
        <v>995.33333867673286</v>
      </c>
      <c r="BI5" s="28">
        <f>SUM(Emissions!BK4:BK9)</f>
        <v>1007.0238769808985</v>
      </c>
      <c r="BJ5" s="28">
        <f>SUM(Emissions!BL4:BL9)</f>
        <v>1016.3617381584646</v>
      </c>
      <c r="BK5" s="28">
        <f>SUM(Emissions!BM4:BM9)</f>
        <v>1026.0877877644461</v>
      </c>
      <c r="BL5" s="28">
        <f>SUM(Emissions!BN4:BN9)</f>
        <v>1036.3654649798314</v>
      </c>
      <c r="BM5" s="28">
        <f>SUM(Emissions!BO4:BO9)</f>
        <v>1047.2491349903992</v>
      </c>
      <c r="BN5" s="28">
        <f>SUM(Emissions!BP4:BP9)</f>
        <v>1059.3032913684528</v>
      </c>
    </row>
    <row r="6" spans="1:72" x14ac:dyDescent="0.25">
      <c r="A6" t="str">
        <f>A5</f>
        <v>3A Livestock</v>
      </c>
      <c r="B6" t="str">
        <f>B5</f>
        <v>3A1 Enteric fermentation (CH4)</v>
      </c>
      <c r="C6" t="str">
        <f>'IPCC Categories'!C7</f>
        <v>3A1c Sheep</v>
      </c>
      <c r="D6" t="str">
        <f>D5</f>
        <v>CH4</v>
      </c>
      <c r="E6" t="str">
        <f>E5</f>
        <v>Gg CH4</v>
      </c>
      <c r="F6" s="28">
        <f>SUM(Emissions!H10:H11)</f>
        <v>230.15541038431331</v>
      </c>
      <c r="G6" s="28">
        <f>SUM(Emissions!I10:I11)</f>
        <v>219.80651638524552</v>
      </c>
      <c r="H6" s="28">
        <f>SUM(Emissions!J10:J11)</f>
        <v>210.72436386232471</v>
      </c>
      <c r="I6" s="28">
        <f>SUM(Emissions!K10:K11)</f>
        <v>197.07426480420705</v>
      </c>
      <c r="J6" s="28">
        <f>SUM(Emissions!L10:L11)</f>
        <v>198.463841817435</v>
      </c>
      <c r="K6" s="28">
        <f>SUM(Emissions!M10:M11)</f>
        <v>195.62327002243862</v>
      </c>
      <c r="L6" s="28">
        <f>SUM(Emissions!N10:N11)</f>
        <v>196.27583381318104</v>
      </c>
      <c r="M6" s="28">
        <f>SUM(Emissions!O10:O11)</f>
        <v>192.00729889961895</v>
      </c>
      <c r="N6" s="28">
        <f>SUM(Emissions!P10:P11)</f>
        <v>192.53702715328046</v>
      </c>
      <c r="O6" s="28">
        <f>SUM(Emissions!Q10:Q11)</f>
        <v>187.80785897566491</v>
      </c>
      <c r="P6" s="28">
        <f>SUM(Emissions!R10:R11)</f>
        <v>181.07493609941679</v>
      </c>
      <c r="Q6" s="28">
        <f>SUM(Emissions!S10:S11)</f>
        <v>176.56073011169283</v>
      </c>
      <c r="R6" s="28">
        <f>SUM(Emissions!T10:T11)</f>
        <v>173.61267722175066</v>
      </c>
      <c r="S6" s="28">
        <f>SUM(Emissions!U10:U11)</f>
        <v>174.21917768608773</v>
      </c>
      <c r="T6" s="28">
        <f>SUM(Emissions!V10:V11)</f>
        <v>171.11758037479439</v>
      </c>
      <c r="U6" s="28">
        <f>SUM(Emissions!W10:W11)</f>
        <v>170.71068765821383</v>
      </c>
      <c r="V6" s="28">
        <f>SUM(Emissions!X10:X11)</f>
        <v>168.47661632755455</v>
      </c>
      <c r="W6" s="28">
        <f>SUM(Emissions!Y10:Y11)</f>
        <v>168.31539468513583</v>
      </c>
      <c r="X6" s="28">
        <f>SUM(Emissions!Z10:Z11)</f>
        <v>168.86047738093242</v>
      </c>
      <c r="Y6" s="28">
        <f>SUM(Emissions!AA10:AA11)</f>
        <v>168.26165413766293</v>
      </c>
      <c r="Z6" s="28">
        <f>SUM(Emissions!AB10:AB11)</f>
        <v>165.00651240501841</v>
      </c>
      <c r="AA6" s="28">
        <f>SUM(Emissions!AC10:AC11)</f>
        <v>163.71673926566876</v>
      </c>
      <c r="AB6" s="28">
        <f>SUM(Emissions!AD10:AD11)</f>
        <v>146.9535780465819</v>
      </c>
      <c r="AC6" s="28">
        <f>SUM(Emissions!AE10:AE11)</f>
        <v>147.03620471111441</v>
      </c>
      <c r="AD6" s="28">
        <f>SUM(Emissions!AF10:AF11)</f>
        <v>147.2167464697969</v>
      </c>
      <c r="AE6" s="28">
        <f>SUM(Emissions!AG10:AG11)</f>
        <v>147.49037898845441</v>
      </c>
      <c r="AF6" s="28">
        <f>SUM(Emissions!AH10:AH11)</f>
        <v>147.85438301033096</v>
      </c>
      <c r="AG6" s="28">
        <f>SUM(Emissions!AI10:AI11)</f>
        <v>148.3118256706972</v>
      </c>
      <c r="AH6" s="28">
        <f>SUM(Emissions!AJ10:AJ11)</f>
        <v>148.82213338801986</v>
      </c>
      <c r="AI6" s="28">
        <f>SUM(Emissions!AK10:AK11)</f>
        <v>149.38390224797502</v>
      </c>
      <c r="AJ6" s="28">
        <f>SUM(Emissions!AL10:AL11)</f>
        <v>149.90180414290231</v>
      </c>
      <c r="AK6" s="28">
        <f>SUM(Emissions!AM10:AM11)</f>
        <v>150.29081158910427</v>
      </c>
      <c r="AL6" s="28">
        <f>SUM(Emissions!AN10:AN11)</f>
        <v>150.62811020693795</v>
      </c>
      <c r="AM6" s="28">
        <f>SUM(Emissions!AO10:AO11)</f>
        <v>150.91162330461708</v>
      </c>
      <c r="AN6" s="28">
        <f>SUM(Emissions!AP10:AP11)</f>
        <v>151.19629093261139</v>
      </c>
      <c r="AO6" s="28">
        <f>SUM(Emissions!AQ10:AQ11)</f>
        <v>151.47808198267703</v>
      </c>
      <c r="AP6" s="28">
        <f>SUM(Emissions!AR10:AR11)</f>
        <v>151.75851317709908</v>
      </c>
      <c r="AQ6" s="28">
        <f>SUM(Emissions!AS10:AS11)</f>
        <v>152.0331860131711</v>
      </c>
      <c r="AR6" s="28">
        <f>SUM(Emissions!AT10:AT11)</f>
        <v>152.30078502249879</v>
      </c>
      <c r="AS6" s="28">
        <f>SUM(Emissions!AU10:AU11)</f>
        <v>152.56633014076908</v>
      </c>
      <c r="AT6" s="28">
        <f>SUM(Emissions!AV10:AV11)</f>
        <v>152.82306149273307</v>
      </c>
      <c r="AU6" s="28">
        <f>SUM(Emissions!AW10:AW11)</f>
        <v>153.0802967285901</v>
      </c>
      <c r="AV6" s="28">
        <f>SUM(Emissions!AX10:AX11)</f>
        <v>153.33114712990982</v>
      </c>
      <c r="AW6" s="28">
        <f>SUM(Emissions!AY10:AY11)</f>
        <v>153.57462962857386</v>
      </c>
      <c r="AX6" s="28">
        <f>SUM(Emissions!AZ10:AZ11)</f>
        <v>153.80957201620868</v>
      </c>
      <c r="AY6" s="28">
        <f>SUM(Emissions!BA10:BA11)</f>
        <v>154.03795303311193</v>
      </c>
      <c r="AZ6" s="28">
        <f>SUM(Emissions!BB10:BB11)</f>
        <v>154.25885822714551</v>
      </c>
      <c r="BA6" s="28">
        <f>SUM(Emissions!BC10:BC11)</f>
        <v>154.47081441294935</v>
      </c>
      <c r="BB6" s="28">
        <f>SUM(Emissions!BD10:BD11)</f>
        <v>154.67143603064625</v>
      </c>
      <c r="BC6" s="28">
        <f>SUM(Emissions!BE10:BE11)</f>
        <v>154.86366330829304</v>
      </c>
      <c r="BD6" s="28">
        <f>SUM(Emissions!BF10:BF11)</f>
        <v>155.04770253975335</v>
      </c>
      <c r="BE6" s="28">
        <f>SUM(Emissions!BG10:BG11)</f>
        <v>155.2224283041846</v>
      </c>
      <c r="BF6" s="28">
        <f>SUM(Emissions!BH10:BH11)</f>
        <v>155.38705194132885</v>
      </c>
      <c r="BG6" s="28">
        <f>SUM(Emissions!BI10:BI11)</f>
        <v>155.54102127827969</v>
      </c>
      <c r="BH6" s="28">
        <f>SUM(Emissions!BJ10:BJ11)</f>
        <v>155.68385477332549</v>
      </c>
      <c r="BI6" s="28">
        <f>SUM(Emissions!BK10:BK11)</f>
        <v>155.81537828816559</v>
      </c>
      <c r="BJ6" s="28">
        <f>SUM(Emissions!BL10:BL11)</f>
        <v>155.93048723741103</v>
      </c>
      <c r="BK6" s="28">
        <f>SUM(Emissions!BM10:BM11)</f>
        <v>156.03309446249176</v>
      </c>
      <c r="BL6" s="28">
        <f>SUM(Emissions!BN10:BN11)</f>
        <v>156.12308657996502</v>
      </c>
      <c r="BM6" s="28">
        <f>SUM(Emissions!BO10:BO11)</f>
        <v>156.19991822841484</v>
      </c>
      <c r="BN6" s="28">
        <f>SUM(Emissions!BP10:BP11)</f>
        <v>156.26426358061636</v>
      </c>
    </row>
    <row r="7" spans="1:72" x14ac:dyDescent="0.25">
      <c r="A7" t="str">
        <f t="shared" ref="A7:A26" si="2">A6</f>
        <v>3A Livestock</v>
      </c>
      <c r="B7" t="str">
        <f t="shared" ref="B7:B10" si="3">B6</f>
        <v>3A1 Enteric fermentation (CH4)</v>
      </c>
      <c r="C7" t="str">
        <f>'IPCC Categories'!C8</f>
        <v>3A1d Goats</v>
      </c>
      <c r="D7" t="str">
        <f t="shared" ref="D7:D10" si="4">D6</f>
        <v>CH4</v>
      </c>
      <c r="E7" t="str">
        <f t="shared" ref="E7:E10" si="5">E6</f>
        <v>Gg CH4</v>
      </c>
      <c r="F7" s="28">
        <f>SUM(Emissions!H12:H13)</f>
        <v>50.832740984438615</v>
      </c>
      <c r="G7" s="28">
        <f>SUM(Emissions!I12:I13)</f>
        <v>44.950509601596238</v>
      </c>
      <c r="H7" s="28">
        <f>SUM(Emissions!J12:J13)</f>
        <v>41.871958597491798</v>
      </c>
      <c r="I7" s="28">
        <f>SUM(Emissions!K12:K13)</f>
        <v>39.563045344413474</v>
      </c>
      <c r="J7" s="28">
        <f>SUM(Emissions!L12:L13)</f>
        <v>42.824843432095548</v>
      </c>
      <c r="K7" s="28">
        <f>SUM(Emissions!M12:M13)</f>
        <v>43.411234099544018</v>
      </c>
      <c r="L7" s="28">
        <f>SUM(Emissions!N12:N13)</f>
        <v>44.089248308781293</v>
      </c>
      <c r="M7" s="28">
        <f>SUM(Emissions!O12:O13)</f>
        <v>43.869351808488119</v>
      </c>
      <c r="N7" s="28">
        <f>SUM(Emissions!P12:P13)</f>
        <v>43.24631172432413</v>
      </c>
      <c r="O7" s="28">
        <f>SUM(Emissions!Q12:Q13)</f>
        <v>42.604946931802381</v>
      </c>
      <c r="P7" s="28">
        <f>SUM(Emissions!R12:R13)</f>
        <v>43.15468818253531</v>
      </c>
      <c r="Q7" s="28">
        <f>SUM(Emissions!S12:S13)</f>
        <v>44.474067184294356</v>
      </c>
      <c r="R7" s="28">
        <f>SUM(Emissions!T12:T13)</f>
        <v>40.607553720806052</v>
      </c>
      <c r="S7" s="28">
        <f>SUM(Emissions!U12:U13)</f>
        <v>39.581370052771241</v>
      </c>
      <c r="T7" s="28">
        <f>SUM(Emissions!V12:V13)</f>
        <v>39.654668886202302</v>
      </c>
      <c r="U7" s="28">
        <f>SUM(Emissions!W12:W13)</f>
        <v>39.1415770521849</v>
      </c>
      <c r="V7" s="28">
        <f>SUM(Emissions!X12:X13)</f>
        <v>39.966188928284296</v>
      </c>
      <c r="W7" s="28">
        <f>SUM(Emissions!Y12:Y13)</f>
        <v>38.775082885029605</v>
      </c>
      <c r="X7" s="28">
        <f>SUM(Emissions!Z12:Z13)</f>
        <v>38.738433468314078</v>
      </c>
      <c r="Y7" s="28">
        <f>SUM(Emissions!AA12:AA13)</f>
        <v>38.060419259076795</v>
      </c>
      <c r="Z7" s="28">
        <f>SUM(Emissions!AB12:AB13)</f>
        <v>37.60230155013268</v>
      </c>
      <c r="AA7" s="28">
        <f>SUM(Emissions!AC12:AC13)</f>
        <v>37.254132091335151</v>
      </c>
      <c r="AB7" s="28">
        <f>SUM(Emissions!AD12:AD13)</f>
        <v>37.502049275378504</v>
      </c>
      <c r="AC7" s="28">
        <f>SUM(Emissions!AE12:AE13)</f>
        <v>37.600830059642156</v>
      </c>
      <c r="AD7" s="28">
        <f>SUM(Emissions!AF12:AF13)</f>
        <v>37.731520512051858</v>
      </c>
      <c r="AE7" s="28">
        <f>SUM(Emissions!AG12:AG13)</f>
        <v>37.892768786791365</v>
      </c>
      <c r="AF7" s="28">
        <f>SUM(Emissions!AH12:AH13)</f>
        <v>38.083953359571019</v>
      </c>
      <c r="AG7" s="28">
        <f>SUM(Emissions!AI12:AI13)</f>
        <v>38.306667609264146</v>
      </c>
      <c r="AH7" s="28">
        <f>SUM(Emissions!AJ12:AJ13)</f>
        <v>38.54504829255341</v>
      </c>
      <c r="AI7" s="28">
        <f>SUM(Emissions!AK12:AK13)</f>
        <v>38.79888167076944</v>
      </c>
      <c r="AJ7" s="28">
        <f>SUM(Emissions!AL12:AL13)</f>
        <v>39.030741072135342</v>
      </c>
      <c r="AK7" s="28">
        <f>SUM(Emissions!AM12:AM13)</f>
        <v>39.207606001339272</v>
      </c>
      <c r="AL7" s="28">
        <f>SUM(Emissions!AN12:AN13)</f>
        <v>39.360582607943407</v>
      </c>
      <c r="AM7" s="28">
        <f>SUM(Emissions!AO12:AO13)</f>
        <v>39.489294294395471</v>
      </c>
      <c r="AN7" s="28">
        <f>SUM(Emissions!AP12:AP13)</f>
        <v>39.615662129096705</v>
      </c>
      <c r="AO7" s="28">
        <f>SUM(Emissions!AQ12:AQ13)</f>
        <v>39.738325007176329</v>
      </c>
      <c r="AP7" s="28">
        <f>SUM(Emissions!AR12:AR13)</f>
        <v>39.858075042481858</v>
      </c>
      <c r="AQ7" s="28">
        <f>SUM(Emissions!AS12:AS13)</f>
        <v>39.973376863046845</v>
      </c>
      <c r="AR7" s="28">
        <f>SUM(Emissions!AT12:AT13)</f>
        <v>40.08388860850085</v>
      </c>
      <c r="AS7" s="28">
        <f>SUM(Emissions!AU12:AU13)</f>
        <v>40.191710238933851</v>
      </c>
      <c r="AT7" s="28">
        <f>SUM(Emissions!AV12:AV13)</f>
        <v>40.294358309947029</v>
      </c>
      <c r="AU7" s="28">
        <f>SUM(Emissions!AW12:AW13)</f>
        <v>40.395559714593475</v>
      </c>
      <c r="AV7" s="28">
        <f>SUM(Emissions!AX12:AX13)</f>
        <v>40.492763119352162</v>
      </c>
      <c r="AW7" s="28">
        <f>SUM(Emissions!AY12:AY13)</f>
        <v>40.585697785747008</v>
      </c>
      <c r="AX7" s="28">
        <f>SUM(Emissions!AZ12:AZ13)</f>
        <v>40.674014771083236</v>
      </c>
      <c r="AY7" s="28">
        <f>SUM(Emissions!BA12:BA13)</f>
        <v>40.758566452898755</v>
      </c>
      <c r="AZ7" s="28">
        <f>SUM(Emissions!BB12:BB13)</f>
        <v>40.839087481065874</v>
      </c>
      <c r="BA7" s="28">
        <f>SUM(Emissions!BC12:BC13)</f>
        <v>40.915095961144274</v>
      </c>
      <c r="BB7" s="28">
        <f>SUM(Emissions!BD12:BD13)</f>
        <v>40.985761378312958</v>
      </c>
      <c r="BC7" s="28">
        <f>SUM(Emissions!BE12:BE13)</f>
        <v>41.052277332593789</v>
      </c>
      <c r="BD7" s="28">
        <f>SUM(Emissions!BF12:BF13)</f>
        <v>41.114788126847728</v>
      </c>
      <c r="BE7" s="28">
        <f>SUM(Emissions!BG12:BG13)</f>
        <v>41.172929335779983</v>
      </c>
      <c r="BF7" s="28">
        <f>SUM(Emissions!BH12:BH13)</f>
        <v>41.226462920184105</v>
      </c>
      <c r="BG7" s="28">
        <f>SUM(Emissions!BI12:BI13)</f>
        <v>41.275238545672963</v>
      </c>
      <c r="BH7" s="28">
        <f>SUM(Emissions!BJ12:BJ13)</f>
        <v>41.319130613777972</v>
      </c>
      <c r="BI7" s="28">
        <f>SUM(Emissions!BK12:BK13)</f>
        <v>41.358127259015411</v>
      </c>
      <c r="BJ7" s="28">
        <f>SUM(Emissions!BL12:BL13)</f>
        <v>41.390364138995601</v>
      </c>
      <c r="BK7" s="28">
        <f>SUM(Emissions!BM12:BM13)</f>
        <v>41.41736503537318</v>
      </c>
      <c r="BL7" s="28">
        <f>SUM(Emissions!BN12:BN13)</f>
        <v>41.439135725338772</v>
      </c>
      <c r="BM7" s="28">
        <f>SUM(Emissions!BO12:BO13)</f>
        <v>41.455518696425834</v>
      </c>
      <c r="BN7" s="28">
        <f>SUM(Emissions!BP12:BP13)</f>
        <v>41.466810324207955</v>
      </c>
    </row>
    <row r="8" spans="1:72" x14ac:dyDescent="0.25">
      <c r="A8" t="str">
        <f t="shared" si="2"/>
        <v>3A Livestock</v>
      </c>
      <c r="B8" t="str">
        <f t="shared" si="3"/>
        <v>3A1 Enteric fermentation (CH4)</v>
      </c>
      <c r="C8" t="str">
        <f>'IPCC Categories'!C9</f>
        <v>3A1f Horses</v>
      </c>
      <c r="D8" t="str">
        <f t="shared" si="4"/>
        <v>CH4</v>
      </c>
      <c r="E8" t="str">
        <f t="shared" si="5"/>
        <v>Gg CH4</v>
      </c>
      <c r="F8" s="28">
        <f>Emissions!H14</f>
        <v>4.1399999999999997</v>
      </c>
      <c r="G8" s="28">
        <f>Emissions!I14</f>
        <v>4.1399999999999997</v>
      </c>
      <c r="H8" s="28">
        <f>Emissions!J14</f>
        <v>4.1399999999999997</v>
      </c>
      <c r="I8" s="28">
        <f>Emissions!K14</f>
        <v>4.2299999999999995</v>
      </c>
      <c r="J8" s="28">
        <f>Emissions!L14</f>
        <v>4.3199999999999994</v>
      </c>
      <c r="K8" s="28">
        <f>Emissions!M14</f>
        <v>4.41</v>
      </c>
      <c r="L8" s="28">
        <f>Emissions!N14</f>
        <v>4.5</v>
      </c>
      <c r="M8" s="28">
        <f>Emissions!O14</f>
        <v>4.59</v>
      </c>
      <c r="N8" s="28">
        <f>Emissions!P14</f>
        <v>4.68</v>
      </c>
      <c r="O8" s="28">
        <f>Emissions!Q14</f>
        <v>4.6440000000000001</v>
      </c>
      <c r="P8" s="28">
        <f>Emissions!R14</f>
        <v>4.8599999999999994</v>
      </c>
      <c r="Q8" s="28">
        <f>Emissions!S14</f>
        <v>4.8599999999999994</v>
      </c>
      <c r="R8" s="28">
        <f>Emissions!T14</f>
        <v>4.8599999999999994</v>
      </c>
      <c r="S8" s="28">
        <f>Emissions!U14</f>
        <v>4.8599999999999994</v>
      </c>
      <c r="T8" s="28">
        <f>Emissions!V14</f>
        <v>4.8599999999999994</v>
      </c>
      <c r="U8" s="28">
        <f>Emissions!W14</f>
        <v>4.8599999999999994</v>
      </c>
      <c r="V8" s="28">
        <f>Emissions!X14</f>
        <v>5.04</v>
      </c>
      <c r="W8" s="28">
        <f>Emissions!Y14</f>
        <v>5.22</v>
      </c>
      <c r="X8" s="28">
        <f>Emissions!Z14</f>
        <v>5.3639999999999999</v>
      </c>
      <c r="Y8" s="28">
        <f>Emissions!AA14</f>
        <v>5.3999999999999995</v>
      </c>
      <c r="Z8" s="28">
        <f>Emissions!AB14</f>
        <v>5.3999999999999995</v>
      </c>
      <c r="AA8" s="28">
        <f>Emissions!AC14</f>
        <v>5.4899999999999993</v>
      </c>
      <c r="AB8" s="28">
        <f>Emissions!AD14</f>
        <v>5.5630037713503686</v>
      </c>
      <c r="AC8" s="28">
        <f>Emissions!AE14</f>
        <v>5.6049800773717822</v>
      </c>
      <c r="AD8" s="28">
        <f>Emissions!AF14</f>
        <v>5.6162501945043211</v>
      </c>
      <c r="AE8" s="28">
        <f>Emissions!AG14</f>
        <v>5.6027304853702935</v>
      </c>
      <c r="AF8" s="28">
        <f>Emissions!AH14</f>
        <v>5.5730376712867882</v>
      </c>
      <c r="AG8" s="28">
        <f>Emissions!AI14</f>
        <v>5.5523988810142972</v>
      </c>
      <c r="AH8" s="28">
        <f>Emissions!AJ14</f>
        <v>5.5377865620175086</v>
      </c>
      <c r="AI8" s="28">
        <f>Emissions!AK14</f>
        <v>5.5213001177810783</v>
      </c>
      <c r="AJ8" s="28">
        <f>Emissions!AL14</f>
        <v>5.1820903536644458</v>
      </c>
      <c r="AK8" s="28">
        <f>Emissions!AM14</f>
        <v>5.2124805704989461</v>
      </c>
      <c r="AL8" s="28">
        <f>Emissions!AN14</f>
        <v>5.2452683284855466</v>
      </c>
      <c r="AM8" s="28">
        <f>Emissions!AO14</f>
        <v>5.2870672503175307</v>
      </c>
      <c r="AN8" s="28">
        <f>Emissions!AP14</f>
        <v>5.3335735740499919</v>
      </c>
      <c r="AO8" s="28">
        <f>Emissions!AQ14</f>
        <v>5.3789826118727797</v>
      </c>
      <c r="AP8" s="28">
        <f>Emissions!AR14</f>
        <v>5.4355815953788431</v>
      </c>
      <c r="AQ8" s="28">
        <f>Emissions!AS14</f>
        <v>5.4951011869968731</v>
      </c>
      <c r="AR8" s="28">
        <f>Emissions!AT14</f>
        <v>5.5591893485431472</v>
      </c>
      <c r="AS8" s="28">
        <f>Emissions!AU14</f>
        <v>5.6258067338602773</v>
      </c>
      <c r="AT8" s="28">
        <f>Emissions!AV14</f>
        <v>5.677493706780016</v>
      </c>
      <c r="AU8" s="28">
        <f>Emissions!AW14</f>
        <v>5.7494706664433313</v>
      </c>
      <c r="AV8" s="28">
        <f>Emissions!AX14</f>
        <v>5.8231546522763278</v>
      </c>
      <c r="AW8" s="28">
        <f>Emissions!AY14</f>
        <v>5.8992142816503366</v>
      </c>
      <c r="AX8" s="28">
        <f>Emissions!AZ14</f>
        <v>5.9707050050786297</v>
      </c>
      <c r="AY8" s="28">
        <f>Emissions!BA14</f>
        <v>6.047376400371812</v>
      </c>
      <c r="AZ8" s="28">
        <f>Emissions!BB14</f>
        <v>6.1293380612133879</v>
      </c>
      <c r="BA8" s="28">
        <f>Emissions!BC14</f>
        <v>6.2147337329682752</v>
      </c>
      <c r="BB8" s="28">
        <f>Emissions!BD14</f>
        <v>6.2986587586762068</v>
      </c>
      <c r="BC8" s="28">
        <f>Emissions!BE14</f>
        <v>6.3860409326219782</v>
      </c>
      <c r="BD8" s="28">
        <f>Emissions!BF14</f>
        <v>6.4798659255643356</v>
      </c>
      <c r="BE8" s="28">
        <f>Emissions!BG14</f>
        <v>6.5787478625340619</v>
      </c>
      <c r="BF8" s="28">
        <f>Emissions!BH14</f>
        <v>6.6822652203195059</v>
      </c>
      <c r="BG8" s="28">
        <f>Emissions!BI14</f>
        <v>6.7906379451902579</v>
      </c>
      <c r="BH8" s="28">
        <f>Emissions!BJ14</f>
        <v>6.9039212466477577</v>
      </c>
      <c r="BI8" s="28">
        <f>Emissions!BK14</f>
        <v>7.023317910756135</v>
      </c>
      <c r="BJ8" s="28">
        <f>Emissions!BL14</f>
        <v>7.134521621444498</v>
      </c>
      <c r="BK8" s="28">
        <f>Emissions!BM14</f>
        <v>7.2513806887331782</v>
      </c>
      <c r="BL8" s="28">
        <f>Emissions!BN14</f>
        <v>7.3750142820129136</v>
      </c>
      <c r="BM8" s="28">
        <f>Emissions!BO14</f>
        <v>7.5060415056489402</v>
      </c>
      <c r="BN8" s="28">
        <f>Emissions!BP14</f>
        <v>7.6478699078939032</v>
      </c>
    </row>
    <row r="9" spans="1:72" x14ac:dyDescent="0.25">
      <c r="A9" t="str">
        <f t="shared" si="2"/>
        <v>3A Livestock</v>
      </c>
      <c r="B9" t="str">
        <f t="shared" si="3"/>
        <v>3A1 Enteric fermentation (CH4)</v>
      </c>
      <c r="C9" t="str">
        <f>'IPCC Categories'!C10</f>
        <v>3A1g Mules &amp; asses</v>
      </c>
      <c r="D9" t="str">
        <f t="shared" si="4"/>
        <v>CH4</v>
      </c>
      <c r="E9" t="str">
        <f t="shared" si="5"/>
        <v>Gg CH4</v>
      </c>
      <c r="F9" s="28">
        <f>Emissions!H15</f>
        <v>2.2399999999999998</v>
      </c>
      <c r="G9" s="28">
        <f>Emissions!I15</f>
        <v>2.2399999999999998</v>
      </c>
      <c r="H9" s="28">
        <f>Emissions!J15</f>
        <v>2.2399999999999998</v>
      </c>
      <c r="I9" s="28">
        <f>Emissions!K15</f>
        <v>2.2399999999999998</v>
      </c>
      <c r="J9" s="28">
        <f>Emissions!L15</f>
        <v>2.2399999999999998</v>
      </c>
      <c r="K9" s="28">
        <f>Emissions!M15</f>
        <v>2.2399999999999998</v>
      </c>
      <c r="L9" s="28">
        <f>Emissions!N15</f>
        <v>2.2399999999999998</v>
      </c>
      <c r="M9" s="28">
        <f>Emissions!O15</f>
        <v>2.2399999999999998</v>
      </c>
      <c r="N9" s="28">
        <f>Emissions!P15</f>
        <v>2.2399999999999998</v>
      </c>
      <c r="O9" s="28">
        <f>Emissions!Q15</f>
        <v>2.2399999999999998</v>
      </c>
      <c r="P9" s="28">
        <f>Emissions!R15</f>
        <v>1.64</v>
      </c>
      <c r="Q9" s="28">
        <f>Emissions!S15</f>
        <v>1.64</v>
      </c>
      <c r="R9" s="28">
        <f>Emissions!T15</f>
        <v>1.64</v>
      </c>
      <c r="S9" s="28">
        <f>Emissions!U15</f>
        <v>1.64</v>
      </c>
      <c r="T9" s="28">
        <f>Emissions!V15</f>
        <v>1.64</v>
      </c>
      <c r="U9" s="28">
        <f>Emissions!W15</f>
        <v>1.64</v>
      </c>
      <c r="V9" s="28">
        <f>Emissions!X15</f>
        <v>1.6404999999999998</v>
      </c>
      <c r="W9" s="28">
        <f>Emissions!Y15</f>
        <v>1.6459999999999999</v>
      </c>
      <c r="X9" s="28">
        <f>Emissions!Z15</f>
        <v>1.647</v>
      </c>
      <c r="Y9" s="28">
        <f>Emissions!AA15</f>
        <v>1.6479999999999999</v>
      </c>
      <c r="Z9" s="28">
        <f>Emissions!AB15</f>
        <v>1.663</v>
      </c>
      <c r="AA9" s="28">
        <f>Emissions!AC15</f>
        <v>1.67</v>
      </c>
      <c r="AB9" s="28">
        <f>Emissions!AD15</f>
        <v>1.67</v>
      </c>
      <c r="AC9" s="28">
        <f>Emissions!AE15</f>
        <v>1.67</v>
      </c>
      <c r="AD9" s="28">
        <f>Emissions!AF15</f>
        <v>1.67</v>
      </c>
      <c r="AE9" s="28">
        <f>Emissions!AG15</f>
        <v>1.67</v>
      </c>
      <c r="AF9" s="28">
        <f>Emissions!AH15</f>
        <v>1.67</v>
      </c>
      <c r="AG9" s="28">
        <f>Emissions!AI15</f>
        <v>1.67</v>
      </c>
      <c r="AH9" s="28">
        <f>Emissions!AJ15</f>
        <v>1.67</v>
      </c>
      <c r="AI9" s="28">
        <f>Emissions!AK15</f>
        <v>1.67</v>
      </c>
      <c r="AJ9" s="28">
        <f>Emissions!AL15</f>
        <v>1.67</v>
      </c>
      <c r="AK9" s="28">
        <f>Emissions!AM15</f>
        <v>1.67</v>
      </c>
      <c r="AL9" s="28">
        <f>Emissions!AN15</f>
        <v>1.67</v>
      </c>
      <c r="AM9" s="28">
        <f>Emissions!AO15</f>
        <v>1.67</v>
      </c>
      <c r="AN9" s="28">
        <f>Emissions!AP15</f>
        <v>1.67</v>
      </c>
      <c r="AO9" s="28">
        <f>Emissions!AQ15</f>
        <v>1.67</v>
      </c>
      <c r="AP9" s="28">
        <f>Emissions!AR15</f>
        <v>1.67</v>
      </c>
      <c r="AQ9" s="28">
        <f>Emissions!AS15</f>
        <v>1.67</v>
      </c>
      <c r="AR9" s="28">
        <f>Emissions!AT15</f>
        <v>1.67</v>
      </c>
      <c r="AS9" s="28">
        <f>Emissions!AU15</f>
        <v>1.67</v>
      </c>
      <c r="AT9" s="28">
        <f>Emissions!AV15</f>
        <v>1.67</v>
      </c>
      <c r="AU9" s="28">
        <f>Emissions!AW15</f>
        <v>1.67</v>
      </c>
      <c r="AV9" s="28">
        <f>Emissions!AX15</f>
        <v>1.67</v>
      </c>
      <c r="AW9" s="28">
        <f>Emissions!AY15</f>
        <v>1.67</v>
      </c>
      <c r="AX9" s="28">
        <f>Emissions!AZ15</f>
        <v>1.67</v>
      </c>
      <c r="AY9" s="28">
        <f>Emissions!BA15</f>
        <v>1.67</v>
      </c>
      <c r="AZ9" s="28">
        <f>Emissions!BB15</f>
        <v>1.67</v>
      </c>
      <c r="BA9" s="28">
        <f>Emissions!BC15</f>
        <v>1.67</v>
      </c>
      <c r="BB9" s="28">
        <f>Emissions!BD15</f>
        <v>1.67</v>
      </c>
      <c r="BC9" s="28">
        <f>Emissions!BE15</f>
        <v>1.67</v>
      </c>
      <c r="BD9" s="28">
        <f>Emissions!BF15</f>
        <v>1.67</v>
      </c>
      <c r="BE9" s="28">
        <f>Emissions!BG15</f>
        <v>1.67</v>
      </c>
      <c r="BF9" s="28">
        <f>Emissions!BH15</f>
        <v>1.67</v>
      </c>
      <c r="BG9" s="28">
        <f>Emissions!BI15</f>
        <v>1.67</v>
      </c>
      <c r="BH9" s="28">
        <f>Emissions!BJ15</f>
        <v>1.67</v>
      </c>
      <c r="BI9" s="28">
        <f>Emissions!BK15</f>
        <v>1.67</v>
      </c>
      <c r="BJ9" s="28">
        <f>Emissions!BL15</f>
        <v>1.67</v>
      </c>
      <c r="BK9" s="28">
        <f>Emissions!BM15</f>
        <v>1.67</v>
      </c>
      <c r="BL9" s="28">
        <f>Emissions!BN15</f>
        <v>1.67</v>
      </c>
      <c r="BM9" s="28">
        <f>Emissions!BO15</f>
        <v>1.67</v>
      </c>
      <c r="BN9" s="28">
        <f>Emissions!BP15</f>
        <v>1.67</v>
      </c>
    </row>
    <row r="10" spans="1:72" x14ac:dyDescent="0.25">
      <c r="A10" t="str">
        <f t="shared" si="2"/>
        <v>3A Livestock</v>
      </c>
      <c r="B10" t="str">
        <f t="shared" si="3"/>
        <v>3A1 Enteric fermentation (CH4)</v>
      </c>
      <c r="C10" t="str">
        <f>'IPCC Categories'!C11</f>
        <v>3A1h Swine</v>
      </c>
      <c r="D10" t="str">
        <f t="shared" si="4"/>
        <v>CH4</v>
      </c>
      <c r="E10" t="str">
        <f t="shared" si="5"/>
        <v>Gg CH4</v>
      </c>
      <c r="F10" s="28">
        <f>SUM(Emissions!H16:H17)</f>
        <v>1.9180695910937571</v>
      </c>
      <c r="G10" s="28">
        <f>SUM(Emissions!I16:I17)</f>
        <v>2.0955287855453451</v>
      </c>
      <c r="H10" s="28">
        <f>SUM(Emissions!J16:J17)</f>
        <v>2.0816844512264265</v>
      </c>
      <c r="I10" s="28">
        <f>SUM(Emissions!K16:K17)</f>
        <v>2.0804258753792526</v>
      </c>
      <c r="J10" s="28">
        <f>SUM(Emissions!L16:L17)</f>
        <v>1.9759640800637785</v>
      </c>
      <c r="K10" s="28">
        <f>SUM(Emissions!M16:M17)</f>
        <v>1.9948427177713943</v>
      </c>
      <c r="L10" s="28">
        <f>SUM(Emissions!N16:N17)</f>
        <v>2.148388971126669</v>
      </c>
      <c r="M10" s="28">
        <f>SUM(Emissions!O16:O17)</f>
        <v>2.1383203643492741</v>
      </c>
      <c r="N10" s="28">
        <f>SUM(Emissions!P16:P17)</f>
        <v>2.1848876706947262</v>
      </c>
      <c r="O10" s="28">
        <f>SUM(Emissions!Q16:Q17)</f>
        <v>2.240265007970399</v>
      </c>
      <c r="P10" s="28">
        <f>SUM(Emissions!R16:R17)</f>
        <v>2.0728744202962059</v>
      </c>
      <c r="Q10" s="28">
        <f>SUM(Emissions!S16:S17)</f>
        <v>2.1118902715586119</v>
      </c>
      <c r="R10" s="28">
        <f>SUM(Emissions!T16:T17)</f>
        <v>2.1521646986681922</v>
      </c>
      <c r="S10" s="28">
        <f>SUM(Emissions!U16:U17)</f>
        <v>2.0930116338509963</v>
      </c>
      <c r="T10" s="28">
        <f>SUM(Emissions!V16:V17)</f>
        <v>2.0930116338509963</v>
      </c>
      <c r="U10" s="28">
        <f>SUM(Emissions!W16:W17)</f>
        <v>2.0779087236849034</v>
      </c>
      <c r="V10" s="28">
        <f>SUM(Emissions!X16:X17)</f>
        <v>2.0414100241168467</v>
      </c>
      <c r="W10" s="28">
        <f>SUM(Emissions!Y16:Y17)</f>
        <v>2.0779087236849034</v>
      </c>
      <c r="X10" s="28">
        <f>SUM(Emissions!Z16:Z17)</f>
        <v>2.0325999931866261</v>
      </c>
      <c r="Y10" s="28">
        <f>SUM(Emissions!AA16:AA17)</f>
        <v>2.0300828414922774</v>
      </c>
      <c r="Z10" s="28">
        <f>SUM(Emissions!AB16:AB17)</f>
        <v>2.0061699003959639</v>
      </c>
      <c r="AA10" s="28">
        <f>SUM(Emissions!AC16:AC17)</f>
        <v>1.9935841419242202</v>
      </c>
      <c r="AB10" s="28">
        <f>SUM(Emissions!AD16:AD17)</f>
        <v>2.105087141814427</v>
      </c>
      <c r="AC10" s="28">
        <f>SUM(Emissions!AE16:AE17)</f>
        <v>2.1050062723795682</v>
      </c>
      <c r="AD10" s="28">
        <f>SUM(Emissions!AF16:AF17)</f>
        <v>2.0852111586258779</v>
      </c>
      <c r="AE10" s="28">
        <f>SUM(Emissions!AG16:AG17)</f>
        <v>2.0504391336844403</v>
      </c>
      <c r="AF10" s="28">
        <f>SUM(Emissions!AH16:AH17)</f>
        <v>2.0070342745511156</v>
      </c>
      <c r="AG10" s="28">
        <f>SUM(Emissions!AI16:AI17)</f>
        <v>1.972602886403098</v>
      </c>
      <c r="AH10" s="28">
        <f>SUM(Emissions!AJ16:AJ17)</f>
        <v>1.9439495781328657</v>
      </c>
      <c r="AI10" s="28">
        <f>SUM(Emissions!AK16:AK17)</f>
        <v>1.9154733539519571</v>
      </c>
      <c r="AJ10" s="28">
        <f>SUM(Emissions!AL16:AL17)</f>
        <v>1.6690795487987897</v>
      </c>
      <c r="AK10" s="28">
        <f>SUM(Emissions!AM16:AM17)</f>
        <v>1.6718501510986519</v>
      </c>
      <c r="AL10" s="28">
        <f>SUM(Emissions!AN16:AN17)</f>
        <v>1.6752933771666534</v>
      </c>
      <c r="AM10" s="28">
        <f>SUM(Emissions!AO16:AO17)</f>
        <v>1.6836467216136843</v>
      </c>
      <c r="AN10" s="28">
        <f>SUM(Emissions!AP16:AP17)</f>
        <v>1.6947909723026344</v>
      </c>
      <c r="AO10" s="28">
        <f>SUM(Emissions!AQ16:AQ17)</f>
        <v>1.7048414144118713</v>
      </c>
      <c r="AP10" s="28">
        <f>SUM(Emissions!AR16:AR17)</f>
        <v>1.7216157307499096</v>
      </c>
      <c r="AQ10" s="28">
        <f>SUM(Emissions!AS16:AS17)</f>
        <v>1.7396298871372355</v>
      </c>
      <c r="AR10" s="28">
        <f>SUM(Emissions!AT16:AT17)</f>
        <v>1.7598188216674993</v>
      </c>
      <c r="AS10" s="28">
        <f>SUM(Emissions!AU16:AU17)</f>
        <v>1.7809190018941319</v>
      </c>
      <c r="AT10" s="28">
        <f>SUM(Emissions!AV16:AV17)</f>
        <v>1.7921990756487662</v>
      </c>
      <c r="AU10" s="28">
        <f>SUM(Emissions!AW16:AW17)</f>
        <v>1.8151952423508493</v>
      </c>
      <c r="AV10" s="28">
        <f>SUM(Emissions!AX16:AX17)</f>
        <v>1.8383851927345896</v>
      </c>
      <c r="AW10" s="28">
        <f>SUM(Emissions!AY16:AY17)</f>
        <v>1.862109033759104</v>
      </c>
      <c r="AX10" s="28">
        <f>SUM(Emissions!AZ16:AZ17)</f>
        <v>1.8822824465352288</v>
      </c>
      <c r="AY10" s="28">
        <f>SUM(Emissions!BA16:BA17)</f>
        <v>1.9046043917127851</v>
      </c>
      <c r="AZ10" s="28">
        <f>SUM(Emissions!BB16:BB17)</f>
        <v>1.9290181134998587</v>
      </c>
      <c r="BA10" s="28">
        <f>SUM(Emissions!BC16:BC17)</f>
        <v>1.9543566422686047</v>
      </c>
      <c r="BB10" s="28">
        <f>SUM(Emissions!BD16:BD17)</f>
        <v>1.9778039664692999</v>
      </c>
      <c r="BC10" s="28">
        <f>SUM(Emissions!BE16:BE17)</f>
        <v>2.0021278241874061</v>
      </c>
      <c r="BD10" s="28">
        <f>SUM(Emissions!BF16:BF17)</f>
        <v>2.0288724920834542</v>
      </c>
      <c r="BE10" s="28">
        <f>SUM(Emissions!BG16:BG17)</f>
        <v>2.0571546033332311</v>
      </c>
      <c r="BF10" s="28">
        <f>SUM(Emissions!BH16:BH17)</f>
        <v>2.0866398709208918</v>
      </c>
      <c r="BG10" s="28">
        <f>SUM(Emissions!BI16:BI17)</f>
        <v>2.1173420430071737</v>
      </c>
      <c r="BH10" s="28">
        <f>SUM(Emissions!BJ16:BJ17)</f>
        <v>2.1491859929017587</v>
      </c>
      <c r="BI10" s="28">
        <f>SUM(Emissions!BK16:BK17)</f>
        <v>2.1826808293252848</v>
      </c>
      <c r="BJ10" s="28">
        <f>SUM(Emissions!BL16:BL17)</f>
        <v>2.2104752477394176</v>
      </c>
      <c r="BK10" s="28">
        <f>SUM(Emissions!BM16:BM17)</f>
        <v>2.2396222916588528</v>
      </c>
      <c r="BL10" s="28">
        <f>SUM(Emissions!BN16:BN17)</f>
        <v>2.2705532185096229</v>
      </c>
      <c r="BM10" s="28">
        <f>SUM(Emissions!BO16:BO17)</f>
        <v>2.303421700140921</v>
      </c>
      <c r="BN10" s="28">
        <f>SUM(Emissions!BP16:BP17)</f>
        <v>2.339705544234516</v>
      </c>
    </row>
    <row r="11" spans="1:72" s="47" customFormat="1" ht="15.75" x14ac:dyDescent="0.25">
      <c r="A11" s="47" t="str">
        <f>A18</f>
        <v>3A Livestock</v>
      </c>
      <c r="B11" s="47" t="str">
        <f>B18</f>
        <v>3A2 Manure management (CH4)</v>
      </c>
      <c r="C11" s="47" t="s">
        <v>148</v>
      </c>
      <c r="D11" s="47" t="str">
        <f>D18</f>
        <v>CH4</v>
      </c>
      <c r="E11" s="47" t="str">
        <f>E18</f>
        <v>Gg CH4</v>
      </c>
      <c r="F11" s="48">
        <f t="shared" ref="F11:AK11" si="6">SUM(F12:F18)</f>
        <v>31.702723851583059</v>
      </c>
      <c r="G11" s="48">
        <f t="shared" si="6"/>
        <v>34.846437093745571</v>
      </c>
      <c r="H11" s="48">
        <f t="shared" si="6"/>
        <v>33.34593965991499</v>
      </c>
      <c r="I11" s="48">
        <f t="shared" si="6"/>
        <v>33.911342124246517</v>
      </c>
      <c r="J11" s="48">
        <f t="shared" si="6"/>
        <v>32.073771373963574</v>
      </c>
      <c r="K11" s="48">
        <f t="shared" si="6"/>
        <v>33.020872632281872</v>
      </c>
      <c r="L11" s="48">
        <f t="shared" si="6"/>
        <v>34.987492144761205</v>
      </c>
      <c r="M11" s="48">
        <f t="shared" si="6"/>
        <v>34.595629337012369</v>
      </c>
      <c r="N11" s="48">
        <f t="shared" si="6"/>
        <v>35.178779527916078</v>
      </c>
      <c r="O11" s="48">
        <f t="shared" si="6"/>
        <v>35.773500663635126</v>
      </c>
      <c r="P11" s="48">
        <f t="shared" si="6"/>
        <v>36.297062166313644</v>
      </c>
      <c r="Q11" s="48">
        <f t="shared" si="6"/>
        <v>36.650497115596643</v>
      </c>
      <c r="R11" s="48">
        <f t="shared" si="6"/>
        <v>35.964128838575938</v>
      </c>
      <c r="S11" s="48">
        <f t="shared" si="6"/>
        <v>34.354995245344796</v>
      </c>
      <c r="T11" s="48">
        <f t="shared" si="6"/>
        <v>34.113912838047241</v>
      </c>
      <c r="U11" s="48">
        <f t="shared" si="6"/>
        <v>34.7151680316408</v>
      </c>
      <c r="V11" s="48">
        <f t="shared" si="6"/>
        <v>34.304317583202156</v>
      </c>
      <c r="W11" s="48">
        <f t="shared" si="6"/>
        <v>34.81260712013389</v>
      </c>
      <c r="X11" s="48">
        <f t="shared" si="6"/>
        <v>36.247765210834089</v>
      </c>
      <c r="Y11" s="48">
        <f t="shared" si="6"/>
        <v>36.334449628150963</v>
      </c>
      <c r="Z11" s="48">
        <f t="shared" si="6"/>
        <v>36.137208970848143</v>
      </c>
      <c r="AA11" s="48">
        <f t="shared" si="6"/>
        <v>35.764591312652556</v>
      </c>
      <c r="AB11" s="48">
        <f t="shared" si="6"/>
        <v>36.983225460179227</v>
      </c>
      <c r="AC11" s="48">
        <f t="shared" si="6"/>
        <v>37.134017959501264</v>
      </c>
      <c r="AD11" s="48">
        <f t="shared" si="6"/>
        <v>36.996672603362541</v>
      </c>
      <c r="AE11" s="48">
        <f t="shared" si="6"/>
        <v>36.637731235343068</v>
      </c>
      <c r="AF11" s="48">
        <f t="shared" si="6"/>
        <v>36.148976753256221</v>
      </c>
      <c r="AG11" s="48">
        <f t="shared" si="6"/>
        <v>35.792610685163055</v>
      </c>
      <c r="AH11" s="48">
        <f t="shared" si="6"/>
        <v>35.520821302003924</v>
      </c>
      <c r="AI11" s="48">
        <f t="shared" si="6"/>
        <v>35.250291624909401</v>
      </c>
      <c r="AJ11" s="48">
        <f t="shared" si="6"/>
        <v>31.67029821726716</v>
      </c>
      <c r="AK11" s="48">
        <f t="shared" si="6"/>
        <v>31.846407415708782</v>
      </c>
      <c r="AL11" s="48">
        <f t="shared" ref="AL11:BN11" si="7">SUM(AL12:AL18)</f>
        <v>32.031273017857494</v>
      </c>
      <c r="AM11" s="48">
        <f t="shared" si="7"/>
        <v>32.290117580866983</v>
      </c>
      <c r="AN11" s="48">
        <f t="shared" si="7"/>
        <v>32.593705076826147</v>
      </c>
      <c r="AO11" s="48">
        <f t="shared" si="7"/>
        <v>32.88234178825553</v>
      </c>
      <c r="AP11" s="48">
        <f t="shared" si="7"/>
        <v>33.27761754626124</v>
      </c>
      <c r="AQ11" s="48">
        <f t="shared" si="7"/>
        <v>33.695110657046385</v>
      </c>
      <c r="AR11" s="48">
        <f t="shared" si="7"/>
        <v>34.149805042334847</v>
      </c>
      <c r="AS11" s="48">
        <f t="shared" si="7"/>
        <v>34.622566722759252</v>
      </c>
      <c r="AT11" s="48">
        <f t="shared" si="7"/>
        <v>34.943487200641016</v>
      </c>
      <c r="AU11" s="48">
        <f t="shared" si="7"/>
        <v>35.454242977031612</v>
      </c>
      <c r="AV11" s="48">
        <f t="shared" si="7"/>
        <v>35.972440868932523</v>
      </c>
      <c r="AW11" s="48">
        <f t="shared" si="7"/>
        <v>36.503675046532841</v>
      </c>
      <c r="AX11" s="48">
        <f t="shared" si="7"/>
        <v>36.982302902456489</v>
      </c>
      <c r="AY11" s="48">
        <f t="shared" si="7"/>
        <v>37.500071313887005</v>
      </c>
      <c r="AZ11" s="48">
        <f t="shared" si="7"/>
        <v>38.05664106057818</v>
      </c>
      <c r="BA11" s="48">
        <f t="shared" si="7"/>
        <v>38.633497947530437</v>
      </c>
      <c r="BB11" s="48">
        <f t="shared" si="7"/>
        <v>39.184658873009781</v>
      </c>
      <c r="BC11" s="48">
        <f t="shared" si="7"/>
        <v>39.755656683519902</v>
      </c>
      <c r="BD11" s="48">
        <f t="shared" si="7"/>
        <v>40.372487252527151</v>
      </c>
      <c r="BE11" s="48">
        <f t="shared" si="7"/>
        <v>41.020600336751109</v>
      </c>
      <c r="BF11" s="48">
        <f t="shared" si="7"/>
        <v>41.695429574676695</v>
      </c>
      <c r="BG11" s="48">
        <f t="shared" si="7"/>
        <v>42.39768515803673</v>
      </c>
      <c r="BH11" s="48">
        <f t="shared" si="7"/>
        <v>43.126599183976616</v>
      </c>
      <c r="BI11" s="48">
        <f t="shared" si="7"/>
        <v>43.891340394644224</v>
      </c>
      <c r="BJ11" s="48">
        <f t="shared" si="7"/>
        <v>44.566765525638843</v>
      </c>
      <c r="BK11" s="48">
        <f t="shared" si="7"/>
        <v>45.272916735353803</v>
      </c>
      <c r="BL11" s="48">
        <f t="shared" si="7"/>
        <v>46.017844206093919</v>
      </c>
      <c r="BM11" s="48">
        <f t="shared" si="7"/>
        <v>46.804942175104408</v>
      </c>
      <c r="BN11" s="48">
        <f t="shared" si="7"/>
        <v>47.660847068913874</v>
      </c>
    </row>
    <row r="12" spans="1:72" x14ac:dyDescent="0.25">
      <c r="A12" t="str">
        <f>A10</f>
        <v>3A Livestock</v>
      </c>
      <c r="B12" t="str">
        <f>'IPCC Categories'!B12</f>
        <v>3A2 Manure management (CH4)</v>
      </c>
      <c r="C12" t="str">
        <f>'IPCC Categories'!C20</f>
        <v>3A2a Cattle</v>
      </c>
      <c r="D12" t="str">
        <f>D10</f>
        <v>CH4</v>
      </c>
      <c r="E12" t="str">
        <f>E10</f>
        <v>Gg CH4</v>
      </c>
      <c r="F12" s="28">
        <f>SUM(Emissions!H18:H23)</f>
        <v>8.7411879732159203</v>
      </c>
      <c r="G12" s="28">
        <f>SUM(Emissions!I18:I23)</f>
        <v>9.975428544318282</v>
      </c>
      <c r="H12" s="28">
        <f>SUM(Emissions!J18:J23)</f>
        <v>8.7049393037396534</v>
      </c>
      <c r="I12" s="28">
        <f>SUM(Emissions!K18:K23)</f>
        <v>9.1866288543050949</v>
      </c>
      <c r="J12" s="28">
        <f>SUM(Emissions!L18:L23)</f>
        <v>8.5387883014234216</v>
      </c>
      <c r="K12" s="28">
        <f>SUM(Emissions!M18:M23)</f>
        <v>9.1047703582547079</v>
      </c>
      <c r="L12" s="28">
        <f>SUM(Emissions!N18:N23)</f>
        <v>9.1488551241771336</v>
      </c>
      <c r="M12" s="28">
        <f>SUM(Emissions!O18:O23)</f>
        <v>8.8467258594312526</v>
      </c>
      <c r="N12" s="28">
        <f>SUM(Emissions!P18:P23)</f>
        <v>8.7366188809270806</v>
      </c>
      <c r="O12" s="28">
        <f>SUM(Emissions!Q18:Q23)</f>
        <v>8.6199113361492632</v>
      </c>
      <c r="P12" s="28">
        <f>SUM(Emissions!R18:R23)</f>
        <v>10.914641044652543</v>
      </c>
      <c r="Q12" s="28">
        <f>SUM(Emissions!S18:S23)</f>
        <v>10.875335802478894</v>
      </c>
      <c r="R12" s="28">
        <f>SUM(Emissions!T18:T23)</f>
        <v>9.5759431074378831</v>
      </c>
      <c r="S12" s="28">
        <f>SUM(Emissions!U18:U23)</f>
        <v>8.7330292709988893</v>
      </c>
      <c r="T12" s="28">
        <f>SUM(Emissions!V18:V23)</f>
        <v>8.4376183222193628</v>
      </c>
      <c r="U12" s="28">
        <f>SUM(Emissions!W18:W23)</f>
        <v>9.0020345528971131</v>
      </c>
      <c r="V12" s="28">
        <f>SUM(Emissions!X18:X23)</f>
        <v>8.8216264657665526</v>
      </c>
      <c r="W12" s="28">
        <f>SUM(Emissions!Y18:Y23)</f>
        <v>8.775466165479612</v>
      </c>
      <c r="X12" s="28">
        <f>SUM(Emissions!Z18:Z23)</f>
        <v>10.574651313182118</v>
      </c>
      <c r="Y12" s="28">
        <f>SUM(Emissions!AA18:AA23)</f>
        <v>10.837506153958151</v>
      </c>
      <c r="Z12" s="28">
        <f>SUM(Emissions!AB18:AB23)</f>
        <v>10.835280189588559</v>
      </c>
      <c r="AA12" s="28">
        <f>SUM(Emissions!AC18:AC23)</f>
        <v>10.50406860380672</v>
      </c>
      <c r="AB12" s="28">
        <f>SUM(Emissions!AD18:AD23)</f>
        <v>10.526942818971531</v>
      </c>
      <c r="AC12" s="28">
        <f>SUM(Emissions!AE18:AE23)</f>
        <v>10.616438052873971</v>
      </c>
      <c r="AD12" s="28">
        <f>SUM(Emissions!AF18:AF23)</f>
        <v>10.674115747322737</v>
      </c>
      <c r="AE12" s="28">
        <f>SUM(Emissions!AG18:AG23)</f>
        <v>10.706581308701374</v>
      </c>
      <c r="AF12" s="28">
        <f>SUM(Emissions!AH18:AH23)</f>
        <v>10.724271677836013</v>
      </c>
      <c r="AG12" s="28">
        <f>SUM(Emissions!AI18:AI23)</f>
        <v>10.760620568639466</v>
      </c>
      <c r="AH12" s="28">
        <f>SUM(Emissions!AJ18:AJ23)</f>
        <v>10.808385865871783</v>
      </c>
      <c r="AI12" s="28">
        <f>SUM(Emissions!AK18:AK23)</f>
        <v>10.856984334535912</v>
      </c>
      <c r="AJ12" s="28">
        <f>SUM(Emissions!AL18:AL23)</f>
        <v>10.455464419704548</v>
      </c>
      <c r="AK12" s="28">
        <f>SUM(Emissions!AM18:AM23)</f>
        <v>10.547745667859921</v>
      </c>
      <c r="AL12" s="28">
        <f>SUM(Emissions!AN18:AN23)</f>
        <v>10.639154175944361</v>
      </c>
      <c r="AM12" s="28">
        <f>SUM(Emissions!AO18:AO23)</f>
        <v>10.738864825070436</v>
      </c>
      <c r="AN12" s="28">
        <f>SUM(Emissions!AP18:AP23)</f>
        <v>10.845624231056245</v>
      </c>
      <c r="AO12" s="28">
        <f>SUM(Emissions!AQ18:AQ23)</f>
        <v>10.950938227514992</v>
      </c>
      <c r="AP12" s="28">
        <f>SUM(Emissions!AR18:AR23)</f>
        <v>11.072569509066383</v>
      </c>
      <c r="AQ12" s="28">
        <f>SUM(Emissions!AS18:AS23)</f>
        <v>11.198471806421978</v>
      </c>
      <c r="AR12" s="28">
        <f>SUM(Emissions!AT18:AT23)</f>
        <v>11.330984411855495</v>
      </c>
      <c r="AS12" s="28">
        <f>SUM(Emissions!AU18:AU23)</f>
        <v>11.467671860236305</v>
      </c>
      <c r="AT12" s="28">
        <f>SUM(Emissions!AV18:AV23)</f>
        <v>11.582348867814645</v>
      </c>
      <c r="AU12" s="28">
        <f>SUM(Emissions!AW18:AW23)</f>
        <v>11.728159923095413</v>
      </c>
      <c r="AV12" s="28">
        <f>SUM(Emissions!AX18:AX23)</f>
        <v>11.87675105727126</v>
      </c>
      <c r="AW12" s="28">
        <f>SUM(Emissions!AY18:AY23)</f>
        <v>12.029044505846938</v>
      </c>
      <c r="AX12" s="28">
        <f>SUM(Emissions!AZ18:AZ23)</f>
        <v>12.174560528610474</v>
      </c>
      <c r="AY12" s="28">
        <f>SUM(Emissions!BA18:BA23)</f>
        <v>12.328028446780822</v>
      </c>
      <c r="AZ12" s="28">
        <f>SUM(Emissions!BB18:BB23)</f>
        <v>12.4896086602396</v>
      </c>
      <c r="BA12" s="28">
        <f>SUM(Emissions!BC18:BC23)</f>
        <v>12.656417371239039</v>
      </c>
      <c r="BB12" s="28">
        <f>SUM(Emissions!BD18:BD23)</f>
        <v>12.820778110605536</v>
      </c>
      <c r="BC12" s="28">
        <f>SUM(Emissions!BE18:BE23)</f>
        <v>12.990451077724636</v>
      </c>
      <c r="BD12" s="28">
        <f>SUM(Emissions!BF18:BF23)</f>
        <v>13.170066630080314</v>
      </c>
      <c r="BE12" s="28">
        <f>SUM(Emissions!BG18:BG23)</f>
        <v>13.356903674563947</v>
      </c>
      <c r="BF12" s="28">
        <f>SUM(Emissions!BH18:BH23)</f>
        <v>13.550762784248485</v>
      </c>
      <c r="BG12" s="28">
        <f>SUM(Emissions!BI18:BI23)</f>
        <v>13.7519462118132</v>
      </c>
      <c r="BH12" s="28">
        <f>SUM(Emissions!BJ18:BJ23)</f>
        <v>13.960502419010334</v>
      </c>
      <c r="BI12" s="28">
        <f>SUM(Emissions!BK18:BK23)</f>
        <v>14.17829399494051</v>
      </c>
      <c r="BJ12" s="28">
        <f>SUM(Emissions!BL18:BL23)</f>
        <v>14.382403266474393</v>
      </c>
      <c r="BK12" s="28">
        <f>SUM(Emissions!BM18:BM23)</f>
        <v>14.594785877930324</v>
      </c>
      <c r="BL12" s="28">
        <f>SUM(Emissions!BN18:BN23)</f>
        <v>14.817182327208446</v>
      </c>
      <c r="BM12" s="28">
        <f>SUM(Emissions!BO18:BO23)</f>
        <v>15.050501219311077</v>
      </c>
      <c r="BN12" s="28">
        <f>SUM(Emissions!BP18:BP23)</f>
        <v>15.300186585888193</v>
      </c>
    </row>
    <row r="13" spans="1:72" x14ac:dyDescent="0.25">
      <c r="A13" t="str">
        <f t="shared" si="2"/>
        <v>3A Livestock</v>
      </c>
      <c r="B13" t="str">
        <f>B12</f>
        <v>3A2 Manure management (CH4)</v>
      </c>
      <c r="C13" t="str">
        <f>'IPCC Categories'!C22</f>
        <v>3A2c Sheep</v>
      </c>
      <c r="D13" t="str">
        <f t="shared" ref="D13:D18" si="8">D12</f>
        <v>CH4</v>
      </c>
      <c r="E13" t="str">
        <f t="shared" ref="E13:E18" si="9">E12</f>
        <v>Gg CH4</v>
      </c>
      <c r="F13" s="28">
        <f>SUM(Emissions!H24:H25)</f>
        <v>6.2894599121782607E-2</v>
      </c>
      <c r="G13" s="28">
        <f>SUM(Emissions!I24:I25)</f>
        <v>6.0066555504044758E-2</v>
      </c>
      <c r="H13" s="28">
        <f>SUM(Emissions!J24:J25)</f>
        <v>5.7584674495303009E-2</v>
      </c>
      <c r="I13" s="28">
        <f>SUM(Emissions!K24:K25)</f>
        <v>5.3854510138969261E-2</v>
      </c>
      <c r="J13" s="28">
        <f>SUM(Emissions!L24:L25)</f>
        <v>5.4234240031261954E-2</v>
      </c>
      <c r="K13" s="28">
        <f>SUM(Emissions!M24:M25)</f>
        <v>5.3457996605028271E-2</v>
      </c>
      <c r="L13" s="28">
        <f>SUM(Emissions!N24:N25)</f>
        <v>5.3636322797541415E-2</v>
      </c>
      <c r="M13" s="28">
        <f>SUM(Emissions!O24:O25)</f>
        <v>5.2469859702984858E-2</v>
      </c>
      <c r="N13" s="28">
        <f>SUM(Emissions!P24:P25)</f>
        <v>5.2614618612201423E-2</v>
      </c>
      <c r="O13" s="28">
        <f>SUM(Emissions!Q24:Q25)</f>
        <v>5.1322278205282637E-2</v>
      </c>
      <c r="P13" s="28">
        <f>SUM(Emissions!R24:R25)</f>
        <v>4.9482371489588214E-2</v>
      </c>
      <c r="Q13" s="28">
        <f>SUM(Emissions!S24:S25)</f>
        <v>4.8248773828438465E-2</v>
      </c>
      <c r="R13" s="28">
        <f>SUM(Emissions!T24:T25)</f>
        <v>4.7443159029320267E-2</v>
      </c>
      <c r="S13" s="28">
        <f>SUM(Emissions!U24:U25)</f>
        <v>4.7608897490597185E-2</v>
      </c>
      <c r="T13" s="28">
        <f>SUM(Emissions!V24:V25)</f>
        <v>4.6761323587358246E-2</v>
      </c>
      <c r="U13" s="28">
        <f>SUM(Emissions!W24:W25)</f>
        <v>4.6650131961438294E-2</v>
      </c>
      <c r="V13" s="28">
        <f>SUM(Emissions!X24:X25)</f>
        <v>4.6039626996481529E-2</v>
      </c>
      <c r="W13" s="28">
        <f>SUM(Emissions!Y24:Y25)</f>
        <v>4.5995569937154757E-2</v>
      </c>
      <c r="X13" s="28">
        <f>SUM(Emissions!Z24:Z25)</f>
        <v>4.6144524756783378E-2</v>
      </c>
      <c r="Y13" s="28">
        <f>SUM(Emissions!AA24:AA25)</f>
        <v>4.5980884250712492E-2</v>
      </c>
      <c r="Z13" s="28">
        <f>SUM(Emissions!AB24:AB25)</f>
        <v>4.5091351243352819E-2</v>
      </c>
      <c r="AA13" s="28">
        <f>SUM(Emissions!AC24:AC25)</f>
        <v>4.4738894768738595E-2</v>
      </c>
      <c r="AB13" s="28">
        <f>SUM(Emissions!AD24:AD25)</f>
        <v>4.0170627396180575E-2</v>
      </c>
      <c r="AC13" s="28">
        <f>SUM(Emissions!AE24:AE25)</f>
        <v>4.0193213882321617E-2</v>
      </c>
      <c r="AD13" s="28">
        <f>SUM(Emissions!AF24:AF25)</f>
        <v>4.0242566037021713E-2</v>
      </c>
      <c r="AE13" s="28">
        <f>SUM(Emissions!AG24:AG25)</f>
        <v>4.0317365100076732E-2</v>
      </c>
      <c r="AF13" s="28">
        <f>SUM(Emissions!AH24:AH25)</f>
        <v>4.0416867746612364E-2</v>
      </c>
      <c r="AG13" s="28">
        <f>SUM(Emissions!AI24:AI25)</f>
        <v>4.0541912396146962E-2</v>
      </c>
      <c r="AH13" s="28">
        <f>SUM(Emissions!AJ24:AJ25)</f>
        <v>4.0681408020836453E-2</v>
      </c>
      <c r="AI13" s="28">
        <f>SUM(Emissions!AK24:AK25)</f>
        <v>4.0834970852419106E-2</v>
      </c>
      <c r="AJ13" s="28">
        <f>SUM(Emissions!AL24:AL25)</f>
        <v>4.097654239035272E-2</v>
      </c>
      <c r="AK13" s="28">
        <f>SUM(Emissions!AM24:AM25)</f>
        <v>4.1082879870415742E-2</v>
      </c>
      <c r="AL13" s="28">
        <f>SUM(Emissions!AN24:AN25)</f>
        <v>4.1175082437228686E-2</v>
      </c>
      <c r="AM13" s="28">
        <f>SUM(Emissions!AO24:AO25)</f>
        <v>4.1252582414841997E-2</v>
      </c>
      <c r="AN13" s="28">
        <f>SUM(Emissions!AP24:AP25)</f>
        <v>4.1330397990127207E-2</v>
      </c>
      <c r="AO13" s="28">
        <f>SUM(Emissions!AQ24:AQ25)</f>
        <v>4.1407427235867496E-2</v>
      </c>
      <c r="AP13" s="28">
        <f>SUM(Emissions!AR24:AR25)</f>
        <v>4.1484084757046208E-2</v>
      </c>
      <c r="AQ13" s="28">
        <f>SUM(Emissions!AS24:AS25)</f>
        <v>4.1559168197003039E-2</v>
      </c>
      <c r="AR13" s="28">
        <f>SUM(Emissions!AT24:AT25)</f>
        <v>4.1632317964692828E-2</v>
      </c>
      <c r="AS13" s="28">
        <f>SUM(Emissions!AU24:AU25)</f>
        <v>4.1704906289146741E-2</v>
      </c>
      <c r="AT13" s="28">
        <f>SUM(Emissions!AV24:AV25)</f>
        <v>4.1775085318590956E-2</v>
      </c>
      <c r="AU13" s="28">
        <f>SUM(Emissions!AW24:AW25)</f>
        <v>4.1845402087669591E-2</v>
      </c>
      <c r="AV13" s="28">
        <f>SUM(Emissions!AX24:AX25)</f>
        <v>4.1913973524565148E-2</v>
      </c>
      <c r="AW13" s="28">
        <f>SUM(Emissions!AY24:AY25)</f>
        <v>4.1980530901808623E-2</v>
      </c>
      <c r="AX13" s="28">
        <f>SUM(Emissions!AZ24:AZ25)</f>
        <v>4.2044753789326574E-2</v>
      </c>
      <c r="AY13" s="28">
        <f>SUM(Emissions!BA24:BA25)</f>
        <v>4.2107183087451414E-2</v>
      </c>
      <c r="AZ13" s="28">
        <f>SUM(Emissions!BB24:BB25)</f>
        <v>4.2167568825297083E-2</v>
      </c>
      <c r="BA13" s="28">
        <f>SUM(Emissions!BC24:BC25)</f>
        <v>4.2225508298955508E-2</v>
      </c>
      <c r="BB13" s="28">
        <f>SUM(Emissions!BD24:BD25)</f>
        <v>4.2280349401562535E-2</v>
      </c>
      <c r="BC13" s="28">
        <f>SUM(Emissions!BE24:BE25)</f>
        <v>4.2332895861801043E-2</v>
      </c>
      <c r="BD13" s="28">
        <f>SUM(Emissions!BF24:BF25)</f>
        <v>4.2383204071315531E-2</v>
      </c>
      <c r="BE13" s="28">
        <f>SUM(Emissions!BG24:BG25)</f>
        <v>4.243096638968015E-2</v>
      </c>
      <c r="BF13" s="28">
        <f>SUM(Emissions!BH24:BH25)</f>
        <v>4.2475967231961301E-2</v>
      </c>
      <c r="BG13" s="28">
        <f>SUM(Emissions!BI24:BI25)</f>
        <v>4.2518055658437921E-2</v>
      </c>
      <c r="BH13" s="28">
        <f>SUM(Emissions!BJ24:BJ25)</f>
        <v>4.2557100036842641E-2</v>
      </c>
      <c r="BI13" s="28">
        <f>SUM(Emissions!BK24:BK25)</f>
        <v>4.2593052765443805E-2</v>
      </c>
      <c r="BJ13" s="28">
        <f>SUM(Emissions!BL24:BL25)</f>
        <v>4.2624518475714822E-2</v>
      </c>
      <c r="BK13" s="28">
        <f>SUM(Emissions!BM24:BM25)</f>
        <v>4.2652566765941327E-2</v>
      </c>
      <c r="BL13" s="28">
        <f>SUM(Emissions!BN24:BN25)</f>
        <v>4.2677166642090425E-2</v>
      </c>
      <c r="BM13" s="28">
        <f>SUM(Emissions!BO24:BO25)</f>
        <v>4.2698169026402111E-2</v>
      </c>
      <c r="BN13" s="28">
        <f>SUM(Emissions!BP24:BP25)</f>
        <v>4.2715758207981243E-2</v>
      </c>
    </row>
    <row r="14" spans="1:72" x14ac:dyDescent="0.25">
      <c r="A14" t="str">
        <f t="shared" si="2"/>
        <v>3A Livestock</v>
      </c>
      <c r="B14" t="str">
        <f t="shared" ref="B14:B18" si="10">B13</f>
        <v>3A2 Manure management (CH4)</v>
      </c>
      <c r="C14" t="str">
        <f>'IPCC Categories'!C23</f>
        <v>3A2d Goats</v>
      </c>
      <c r="D14" t="str">
        <f t="shared" si="8"/>
        <v>CH4</v>
      </c>
      <c r="E14" t="str">
        <f t="shared" si="9"/>
        <v>Gg CH4</v>
      </c>
      <c r="F14" s="28">
        <f>SUM(Emissions!H26:H27)</f>
        <v>5.7474022342600642E-2</v>
      </c>
      <c r="G14" s="28">
        <f>SUM(Emissions!I26:I27)</f>
        <v>5.0823279310165601E-2</v>
      </c>
      <c r="H14" s="28">
        <f>SUM(Emissions!J26:J27)</f>
        <v>4.7342516601601464E-2</v>
      </c>
      <c r="I14" s="28">
        <f>SUM(Emissions!K26:K27)</f>
        <v>4.4731944570178372E-2</v>
      </c>
      <c r="J14" s="28">
        <f>SUM(Emissions!L26:L27)</f>
        <v>4.8419895535204649E-2</v>
      </c>
      <c r="K14" s="28">
        <f>SUM(Emissions!M26:M27)</f>
        <v>4.9082897955883539E-2</v>
      </c>
      <c r="L14" s="28">
        <f>SUM(Emissions!N26:N27)</f>
        <v>4.9849494504793493E-2</v>
      </c>
      <c r="M14" s="28">
        <f>SUM(Emissions!O26:O27)</f>
        <v>4.9600868597038911E-2</v>
      </c>
      <c r="N14" s="28">
        <f>SUM(Emissions!P26:P27)</f>
        <v>4.8896428525067599E-2</v>
      </c>
      <c r="O14" s="28">
        <f>SUM(Emissions!Q26:Q27)</f>
        <v>4.8171269627450081E-2</v>
      </c>
      <c r="P14" s="28">
        <f>SUM(Emissions!R26:R27)</f>
        <v>4.8792834396836522E-2</v>
      </c>
      <c r="Q14" s="28">
        <f>SUM(Emissions!S26:S27)</f>
        <v>5.0284589843364008E-2</v>
      </c>
      <c r="R14" s="28">
        <f>SUM(Emissions!T26:T27)</f>
        <v>4.5912917632012634E-2</v>
      </c>
      <c r="S14" s="28">
        <f>SUM(Emissions!U26:U27)</f>
        <v>4.475266339582458E-2</v>
      </c>
      <c r="T14" s="28">
        <f>SUM(Emissions!V26:V27)</f>
        <v>4.4835538698409449E-2</v>
      </c>
      <c r="U14" s="28">
        <f>SUM(Emissions!W26:W27)</f>
        <v>4.4255411580315415E-2</v>
      </c>
      <c r="V14" s="28">
        <f>SUM(Emissions!X26:X27)</f>
        <v>4.5187758734395102E-2</v>
      </c>
      <c r="W14" s="28">
        <f>SUM(Emissions!Y26:Y27)</f>
        <v>4.3841035067391121E-2</v>
      </c>
      <c r="X14" s="28">
        <f>SUM(Emissions!Z26:Z27)</f>
        <v>4.3799597416098693E-2</v>
      </c>
      <c r="Y14" s="28">
        <f>SUM(Emissions!AA26:AA27)</f>
        <v>4.3033000867188732E-2</v>
      </c>
      <c r="Z14" s="28">
        <f>SUM(Emissions!AB26:AB27)</f>
        <v>4.2515030226033354E-2</v>
      </c>
      <c r="AA14" s="28">
        <f>SUM(Emissions!AC26:AC27)</f>
        <v>4.2121372538755267E-2</v>
      </c>
      <c r="AB14" s="28">
        <f>SUM(Emissions!AD26:AD27)</f>
        <v>4.2379104176597231E-2</v>
      </c>
      <c r="AC14" s="28">
        <f>SUM(Emissions!AE26:AE27)</f>
        <v>4.249073117373052E-2</v>
      </c>
      <c r="AD14" s="28">
        <f>SUM(Emissions!AF26:AF27)</f>
        <v>4.263841761766024E-2</v>
      </c>
      <c r="AE14" s="28">
        <f>SUM(Emissions!AG26:AG27)</f>
        <v>4.2820635858143656E-2</v>
      </c>
      <c r="AF14" s="28">
        <f>SUM(Emissions!AH26:AH27)</f>
        <v>4.3036683543092605E-2</v>
      </c>
      <c r="AG14" s="28">
        <f>SUM(Emissions!AI26:AI27)</f>
        <v>4.3288361266623158E-2</v>
      </c>
      <c r="AH14" s="28">
        <f>SUM(Emissions!AJ26:AJ27)</f>
        <v>4.3557742807259041E-2</v>
      </c>
      <c r="AI14" s="28">
        <f>SUM(Emissions!AK26:AK27)</f>
        <v>4.3844586630110538E-2</v>
      </c>
      <c r="AJ14" s="28">
        <f>SUM(Emissions!AL26:AL27)</f>
        <v>4.4106598811169143E-2</v>
      </c>
      <c r="AK14" s="28">
        <f>SUM(Emissions!AM26:AM27)</f>
        <v>4.430646461596506E-2</v>
      </c>
      <c r="AL14" s="28">
        <f>SUM(Emissions!AN26:AN27)</f>
        <v>4.4479335476974649E-2</v>
      </c>
      <c r="AM14" s="28">
        <f>SUM(Emissions!AO26:AO27)</f>
        <v>4.4624785821003689E-2</v>
      </c>
      <c r="AN14" s="28">
        <f>SUM(Emissions!AP26:AP27)</f>
        <v>4.4767587500774572E-2</v>
      </c>
      <c r="AO14" s="28">
        <f>SUM(Emissions!AQ26:AQ27)</f>
        <v>4.4906202402871423E-2</v>
      </c>
      <c r="AP14" s="28">
        <f>SUM(Emissions!AR26:AR27)</f>
        <v>4.5041525653718308E-2</v>
      </c>
      <c r="AQ14" s="28">
        <f>SUM(Emissions!AS26:AS27)</f>
        <v>4.5171822209770326E-2</v>
      </c>
      <c r="AR14" s="28">
        <f>SUM(Emissions!AT26:AT27)</f>
        <v>4.5296705752505349E-2</v>
      </c>
      <c r="AS14" s="28">
        <f>SUM(Emissions!AU26:AU27)</f>
        <v>4.5418549336973438E-2</v>
      </c>
      <c r="AT14" s="28">
        <f>SUM(Emissions!AV26:AV27)</f>
        <v>4.5534546552566932E-2</v>
      </c>
      <c r="AU14" s="28">
        <f>SUM(Emissions!AW26:AW27)</f>
        <v>4.5648908966173629E-2</v>
      </c>
      <c r="AV14" s="28">
        <f>SUM(Emissions!AX26:AX27)</f>
        <v>4.5758753449240117E-2</v>
      </c>
      <c r="AW14" s="28">
        <f>SUM(Emissions!AY26:AY27)</f>
        <v>4.586377405437677E-2</v>
      </c>
      <c r="AX14" s="28">
        <f>SUM(Emissions!AZ26:AZ27)</f>
        <v>4.5963576459697175E-2</v>
      </c>
      <c r="AY14" s="28">
        <f>SUM(Emissions!BA26:BA27)</f>
        <v>4.6059123892469578E-2</v>
      </c>
      <c r="AZ14" s="28">
        <f>SUM(Emissions!BB26:BB27)</f>
        <v>4.6150116494394974E-2</v>
      </c>
      <c r="BA14" s="28">
        <f>SUM(Emissions!BC26:BC27)</f>
        <v>4.6236009701773953E-2</v>
      </c>
      <c r="BB14" s="28">
        <f>SUM(Emissions!BD26:BD27)</f>
        <v>4.6315864993251077E-2</v>
      </c>
      <c r="BC14" s="28">
        <f>SUM(Emissions!BE26:BE27)</f>
        <v>4.6391031193774523E-2</v>
      </c>
      <c r="BD14" s="28">
        <f>SUM(Emissions!BF26:BF27)</f>
        <v>4.646167137245906E-2</v>
      </c>
      <c r="BE14" s="28">
        <f>SUM(Emissions!BG26:BG27)</f>
        <v>4.6527373711341941E-2</v>
      </c>
      <c r="BF14" s="28">
        <f>SUM(Emissions!BH26:BH27)</f>
        <v>4.6587869214767638E-2</v>
      </c>
      <c r="BG14" s="28">
        <f>SUM(Emissions!BI26:BI27)</f>
        <v>4.6642987997709141E-2</v>
      </c>
      <c r="BH14" s="28">
        <f>SUM(Emissions!BJ26:BJ27)</f>
        <v>4.6692588127907067E-2</v>
      </c>
      <c r="BI14" s="28">
        <f>SUM(Emissions!BK26:BK27)</f>
        <v>4.6736656196798995E-2</v>
      </c>
      <c r="BJ14" s="28">
        <f>SUM(Emissions!BL26:BL27)</f>
        <v>4.6773085408572918E-2</v>
      </c>
      <c r="BK14" s="28">
        <f>SUM(Emissions!BM26:BM27)</f>
        <v>4.6803597709168671E-2</v>
      </c>
      <c r="BL14" s="28">
        <f>SUM(Emissions!BN26:BN27)</f>
        <v>4.6828199627087161E-2</v>
      </c>
      <c r="BM14" s="28">
        <f>SUM(Emissions!BO26:BO27)</f>
        <v>4.6846713165729345E-2</v>
      </c>
      <c r="BN14" s="28">
        <f>SUM(Emissions!BP26:BP27)</f>
        <v>4.68594732436277E-2</v>
      </c>
    </row>
    <row r="15" spans="1:72" x14ac:dyDescent="0.25">
      <c r="A15" t="str">
        <f t="shared" si="2"/>
        <v>3A Livestock</v>
      </c>
      <c r="B15" t="str">
        <f t="shared" si="10"/>
        <v>3A2 Manure management (CH4)</v>
      </c>
      <c r="C15" t="str">
        <f>'IPCC Categories'!C24</f>
        <v>3A2f Horses</v>
      </c>
      <c r="D15" t="str">
        <f t="shared" si="8"/>
        <v>CH4</v>
      </c>
      <c r="E15" t="str">
        <f t="shared" si="9"/>
        <v>Gg CH4</v>
      </c>
      <c r="F15" s="28">
        <f>Emissions!H28</f>
        <v>3.0819999999999997E-3</v>
      </c>
      <c r="G15" s="28">
        <f>Emissions!I28</f>
        <v>3.0819999999999997E-3</v>
      </c>
      <c r="H15" s="28">
        <f>Emissions!J28</f>
        <v>3.0819999999999997E-3</v>
      </c>
      <c r="I15" s="28">
        <f>Emissions!K28</f>
        <v>3.1489999999999999E-3</v>
      </c>
      <c r="J15" s="28">
        <f>Emissions!L28</f>
        <v>3.2159999999999997E-3</v>
      </c>
      <c r="K15" s="28">
        <f>Emissions!M28</f>
        <v>3.2829999999999999E-3</v>
      </c>
      <c r="L15" s="28">
        <f>Emissions!N28</f>
        <v>3.3499999999999997E-3</v>
      </c>
      <c r="M15" s="28">
        <f>Emissions!O28</f>
        <v>3.4169999999999999E-3</v>
      </c>
      <c r="N15" s="28">
        <f>Emissions!P28</f>
        <v>3.4839999999999997E-3</v>
      </c>
      <c r="O15" s="28">
        <f>Emissions!Q28</f>
        <v>3.4572000000000001E-3</v>
      </c>
      <c r="P15" s="28">
        <f>Emissions!R28</f>
        <v>3.6179999999999997E-3</v>
      </c>
      <c r="Q15" s="28">
        <f>Emissions!S28</f>
        <v>3.6179999999999997E-3</v>
      </c>
      <c r="R15" s="28">
        <f>Emissions!T28</f>
        <v>3.6179999999999997E-3</v>
      </c>
      <c r="S15" s="28">
        <f>Emissions!U28</f>
        <v>3.6179999999999997E-3</v>
      </c>
      <c r="T15" s="28">
        <f>Emissions!V28</f>
        <v>3.6179999999999997E-3</v>
      </c>
      <c r="U15" s="28">
        <f>Emissions!W28</f>
        <v>3.6179999999999997E-3</v>
      </c>
      <c r="V15" s="28">
        <f>Emissions!X28</f>
        <v>3.7519999999999997E-3</v>
      </c>
      <c r="W15" s="28">
        <f>Emissions!Y28</f>
        <v>3.8859999999999997E-3</v>
      </c>
      <c r="X15" s="28">
        <f>Emissions!Z28</f>
        <v>3.9931999999999997E-3</v>
      </c>
      <c r="Y15" s="28">
        <f>Emissions!AA28</f>
        <v>4.0200000000000001E-3</v>
      </c>
      <c r="Z15" s="28">
        <f>Emissions!AB28</f>
        <v>4.0200000000000001E-3</v>
      </c>
      <c r="AA15" s="28">
        <f>Emissions!AC28</f>
        <v>4.0869999999999995E-3</v>
      </c>
      <c r="AB15" s="28">
        <f>Emissions!AD28</f>
        <v>4.1413472520052744E-3</v>
      </c>
      <c r="AC15" s="28">
        <f>Emissions!AE28</f>
        <v>4.1725962798212154E-3</v>
      </c>
      <c r="AD15" s="28">
        <f>Emissions!AF28</f>
        <v>4.1809862559087727E-3</v>
      </c>
      <c r="AE15" s="28">
        <f>Emissions!AG28</f>
        <v>4.170921583553441E-3</v>
      </c>
      <c r="AF15" s="28">
        <f>Emissions!AH28</f>
        <v>4.1488169330690531E-3</v>
      </c>
      <c r="AG15" s="28">
        <f>Emissions!AI28</f>
        <v>4.1334525003106437E-3</v>
      </c>
      <c r="AH15" s="28">
        <f>Emissions!AJ28</f>
        <v>4.1225744406130343E-3</v>
      </c>
      <c r="AI15" s="28">
        <f>Emissions!AK28</f>
        <v>4.1103011987925799E-3</v>
      </c>
      <c r="AJ15" s="28">
        <f>Emissions!AL28</f>
        <v>3.8577783743946425E-3</v>
      </c>
      <c r="AK15" s="28">
        <f>Emissions!AM28</f>
        <v>3.8804022024825488E-3</v>
      </c>
      <c r="AL15" s="28">
        <f>Emissions!AN28</f>
        <v>3.9048108667614624E-3</v>
      </c>
      <c r="AM15" s="28">
        <f>Emissions!AO28</f>
        <v>3.9359278419030504E-3</v>
      </c>
      <c r="AN15" s="28">
        <f>Emissions!AP28</f>
        <v>3.9705492162372168E-3</v>
      </c>
      <c r="AO15" s="28">
        <f>Emissions!AQ28</f>
        <v>4.0043537221719581E-3</v>
      </c>
      <c r="AP15" s="28">
        <f>Emissions!AR28</f>
        <v>4.0464885210042502E-3</v>
      </c>
      <c r="AQ15" s="28">
        <f>Emissions!AS28</f>
        <v>4.090797550319894E-3</v>
      </c>
      <c r="AR15" s="28">
        <f>Emissions!AT28</f>
        <v>4.138507626137676E-3</v>
      </c>
      <c r="AS15" s="28">
        <f>Emissions!AU28</f>
        <v>4.1881005685404284E-3</v>
      </c>
      <c r="AT15" s="28">
        <f>Emissions!AV28</f>
        <v>4.2265786483806789E-3</v>
      </c>
      <c r="AU15" s="28">
        <f>Emissions!AW28</f>
        <v>4.2801614961300357E-3</v>
      </c>
      <c r="AV15" s="28">
        <f>Emissions!AX28</f>
        <v>4.3350151300279331E-3</v>
      </c>
      <c r="AW15" s="28">
        <f>Emissions!AY28</f>
        <v>4.3916372985619168E-3</v>
      </c>
      <c r="AX15" s="28">
        <f>Emissions!AZ28</f>
        <v>4.4448581704474247E-3</v>
      </c>
      <c r="AY15" s="28">
        <f>Emissions!BA28</f>
        <v>4.501935764721238E-3</v>
      </c>
      <c r="AZ15" s="28">
        <f>Emissions!BB28</f>
        <v>4.5629516677921887E-3</v>
      </c>
      <c r="BA15" s="28">
        <f>Emissions!BC28</f>
        <v>4.6265240012097163E-3</v>
      </c>
      <c r="BB15" s="28">
        <f>Emissions!BD28</f>
        <v>4.6890015203478429E-3</v>
      </c>
      <c r="BC15" s="28">
        <f>Emissions!BE28</f>
        <v>4.7540526942852499E-3</v>
      </c>
      <c r="BD15" s="28">
        <f>Emissions!BF28</f>
        <v>4.8239001890312281E-3</v>
      </c>
      <c r="BE15" s="28">
        <f>Emissions!BG28</f>
        <v>4.8975122976642454E-3</v>
      </c>
      <c r="BF15" s="28">
        <f>Emissions!BH28</f>
        <v>4.9745752195711869E-3</v>
      </c>
      <c r="BG15" s="28">
        <f>Emissions!BI28</f>
        <v>5.0552526925305265E-3</v>
      </c>
      <c r="BH15" s="28">
        <f>Emissions!BJ28</f>
        <v>5.1395858169488873E-3</v>
      </c>
      <c r="BI15" s="28">
        <f>Emissions!BK28</f>
        <v>5.2284700002295671E-3</v>
      </c>
      <c r="BJ15" s="28">
        <f>Emissions!BL28</f>
        <v>5.3112549848531266E-3</v>
      </c>
      <c r="BK15" s="28">
        <f>Emissions!BM28</f>
        <v>5.398250068279143E-3</v>
      </c>
      <c r="BL15" s="28">
        <f>Emissions!BN28</f>
        <v>5.4902884099429471E-3</v>
      </c>
      <c r="BM15" s="28">
        <f>Emissions!BO28</f>
        <v>5.5878308986497668E-3</v>
      </c>
      <c r="BN15" s="28">
        <f>Emissions!BP28</f>
        <v>5.6934142647654612E-3</v>
      </c>
    </row>
    <row r="16" spans="1:72" x14ac:dyDescent="0.25">
      <c r="A16" t="str">
        <f t="shared" si="2"/>
        <v>3A Livestock</v>
      </c>
      <c r="B16" t="str">
        <f t="shared" si="10"/>
        <v>3A2 Manure management (CH4)</v>
      </c>
      <c r="C16" t="str">
        <f>'IPCC Categories'!C25</f>
        <v>3A2g Mules &amp; asses</v>
      </c>
      <c r="D16" t="str">
        <f t="shared" si="8"/>
        <v>CH4</v>
      </c>
      <c r="E16" t="str">
        <f t="shared" si="9"/>
        <v>Gg CH4</v>
      </c>
      <c r="F16" s="28">
        <f>Emissions!H29</f>
        <v>1.0079999999999998E-3</v>
      </c>
      <c r="G16" s="28">
        <f>Emissions!I29</f>
        <v>1.0079999999999998E-3</v>
      </c>
      <c r="H16" s="28">
        <f>Emissions!J29</f>
        <v>1.0079999999999998E-3</v>
      </c>
      <c r="I16" s="28">
        <f>Emissions!K29</f>
        <v>1.0079999999999998E-3</v>
      </c>
      <c r="J16" s="28">
        <f>Emissions!L29</f>
        <v>1.0079999999999998E-3</v>
      </c>
      <c r="K16" s="28">
        <f>Emissions!M29</f>
        <v>1.0079999999999998E-3</v>
      </c>
      <c r="L16" s="28">
        <f>Emissions!N29</f>
        <v>1.0079999999999998E-3</v>
      </c>
      <c r="M16" s="28">
        <f>Emissions!O29</f>
        <v>1.0079999999999998E-3</v>
      </c>
      <c r="N16" s="28">
        <f>Emissions!P29</f>
        <v>1.0079999999999998E-3</v>
      </c>
      <c r="O16" s="28">
        <f>Emissions!Q29</f>
        <v>1.0079999999999998E-3</v>
      </c>
      <c r="P16" s="28">
        <f>Emissions!R29</f>
        <v>7.3799999999999994E-4</v>
      </c>
      <c r="Q16" s="28">
        <f>Emissions!S29</f>
        <v>7.3799999999999994E-4</v>
      </c>
      <c r="R16" s="28">
        <f>Emissions!T29</f>
        <v>7.3799999999999994E-4</v>
      </c>
      <c r="S16" s="28">
        <f>Emissions!U29</f>
        <v>7.3799999999999994E-4</v>
      </c>
      <c r="T16" s="28">
        <f>Emissions!V29</f>
        <v>7.3799999999999994E-4</v>
      </c>
      <c r="U16" s="28">
        <f>Emissions!W29</f>
        <v>7.3799999999999994E-4</v>
      </c>
      <c r="V16" s="28">
        <f>Emissions!X29</f>
        <v>7.3822499999999991E-4</v>
      </c>
      <c r="W16" s="28">
        <f>Emissions!Y29</f>
        <v>7.4069999999999995E-4</v>
      </c>
      <c r="X16" s="28">
        <f>Emissions!Z29</f>
        <v>7.4114999999999999E-4</v>
      </c>
      <c r="Y16" s="28">
        <f>Emissions!AA29</f>
        <v>7.4159999999999992E-4</v>
      </c>
      <c r="Z16" s="28">
        <f>Emissions!AB29</f>
        <v>7.4834999999999984E-4</v>
      </c>
      <c r="AA16" s="28">
        <f>Emissions!AC29</f>
        <v>7.515E-4</v>
      </c>
      <c r="AB16" s="28">
        <f>Emissions!AD29</f>
        <v>7.515E-4</v>
      </c>
      <c r="AC16" s="28">
        <f>Emissions!AE29</f>
        <v>7.515E-4</v>
      </c>
      <c r="AD16" s="28">
        <f>Emissions!AF29</f>
        <v>7.515E-4</v>
      </c>
      <c r="AE16" s="28">
        <f>Emissions!AG29</f>
        <v>7.515E-4</v>
      </c>
      <c r="AF16" s="28">
        <f>Emissions!AH29</f>
        <v>7.515E-4</v>
      </c>
      <c r="AG16" s="28">
        <f>Emissions!AI29</f>
        <v>7.515E-4</v>
      </c>
      <c r="AH16" s="28">
        <f>Emissions!AJ29</f>
        <v>7.515E-4</v>
      </c>
      <c r="AI16" s="28">
        <f>Emissions!AK29</f>
        <v>7.515E-4</v>
      </c>
      <c r="AJ16" s="28">
        <f>Emissions!AL29</f>
        <v>7.515E-4</v>
      </c>
      <c r="AK16" s="28">
        <f>Emissions!AM29</f>
        <v>7.515E-4</v>
      </c>
      <c r="AL16" s="28">
        <f>Emissions!AN29</f>
        <v>7.515E-4</v>
      </c>
      <c r="AM16" s="28">
        <f>Emissions!AO29</f>
        <v>7.515E-4</v>
      </c>
      <c r="AN16" s="28">
        <f>Emissions!AP29</f>
        <v>7.515E-4</v>
      </c>
      <c r="AO16" s="28">
        <f>Emissions!AQ29</f>
        <v>7.515E-4</v>
      </c>
      <c r="AP16" s="28">
        <f>Emissions!AR29</f>
        <v>7.515E-4</v>
      </c>
      <c r="AQ16" s="28">
        <f>Emissions!AS29</f>
        <v>7.515E-4</v>
      </c>
      <c r="AR16" s="28">
        <f>Emissions!AT29</f>
        <v>7.515E-4</v>
      </c>
      <c r="AS16" s="28">
        <f>Emissions!AU29</f>
        <v>7.515E-4</v>
      </c>
      <c r="AT16" s="28">
        <f>Emissions!AV29</f>
        <v>7.515E-4</v>
      </c>
      <c r="AU16" s="28">
        <f>Emissions!AW29</f>
        <v>7.515E-4</v>
      </c>
      <c r="AV16" s="28">
        <f>Emissions!AX29</f>
        <v>7.515E-4</v>
      </c>
      <c r="AW16" s="28">
        <f>Emissions!AY29</f>
        <v>7.515E-4</v>
      </c>
      <c r="AX16" s="28">
        <f>Emissions!AZ29</f>
        <v>7.515E-4</v>
      </c>
      <c r="AY16" s="28">
        <f>Emissions!BA29</f>
        <v>7.515E-4</v>
      </c>
      <c r="AZ16" s="28">
        <f>Emissions!BB29</f>
        <v>7.515E-4</v>
      </c>
      <c r="BA16" s="28">
        <f>Emissions!BC29</f>
        <v>7.515E-4</v>
      </c>
      <c r="BB16" s="28">
        <f>Emissions!BD29</f>
        <v>7.515E-4</v>
      </c>
      <c r="BC16" s="28">
        <f>Emissions!BE29</f>
        <v>7.515E-4</v>
      </c>
      <c r="BD16" s="28">
        <f>Emissions!BF29</f>
        <v>7.515E-4</v>
      </c>
      <c r="BE16" s="28">
        <f>Emissions!BG29</f>
        <v>7.515E-4</v>
      </c>
      <c r="BF16" s="28">
        <f>Emissions!BH29</f>
        <v>7.515E-4</v>
      </c>
      <c r="BG16" s="28">
        <f>Emissions!BI29</f>
        <v>7.515E-4</v>
      </c>
      <c r="BH16" s="28">
        <f>Emissions!BJ29</f>
        <v>7.515E-4</v>
      </c>
      <c r="BI16" s="28">
        <f>Emissions!BK29</f>
        <v>7.515E-4</v>
      </c>
      <c r="BJ16" s="28">
        <f>Emissions!BL29</f>
        <v>7.515E-4</v>
      </c>
      <c r="BK16" s="28">
        <f>Emissions!BM29</f>
        <v>7.515E-4</v>
      </c>
      <c r="BL16" s="28">
        <f>Emissions!BN29</f>
        <v>7.515E-4</v>
      </c>
      <c r="BM16" s="28">
        <f>Emissions!BO29</f>
        <v>7.515E-4</v>
      </c>
      <c r="BN16" s="28">
        <f>Emissions!BP29</f>
        <v>7.515E-4</v>
      </c>
    </row>
    <row r="17" spans="1:66" x14ac:dyDescent="0.25">
      <c r="A17" t="str">
        <f t="shared" si="2"/>
        <v>3A Livestock</v>
      </c>
      <c r="B17" t="str">
        <f t="shared" si="10"/>
        <v>3A2 Manure management (CH4)</v>
      </c>
      <c r="C17" t="str">
        <f>'IPCC Categories'!C26</f>
        <v>3A2h Swine</v>
      </c>
      <c r="D17" t="str">
        <f t="shared" si="8"/>
        <v>CH4</v>
      </c>
      <c r="E17" t="str">
        <f t="shared" si="9"/>
        <v>Gg CH4</v>
      </c>
      <c r="F17" s="28">
        <f>SUM(Emissions!H30:H31)</f>
        <v>21.491561588124931</v>
      </c>
      <c r="G17" s="28">
        <f>SUM(Emissions!I30:I31)</f>
        <v>23.479954097262475</v>
      </c>
      <c r="H17" s="28">
        <f>SUM(Emissions!J30:J31)</f>
        <v>23.324831277400676</v>
      </c>
      <c r="I17" s="28">
        <f>SUM(Emissions!K30:K31)</f>
        <v>23.310729202867787</v>
      </c>
      <c r="J17" s="28">
        <f>SUM(Emissions!L30:L31)</f>
        <v>22.140257016637882</v>
      </c>
      <c r="K17" s="28">
        <f>SUM(Emissions!M30:M31)</f>
        <v>22.351788134631242</v>
      </c>
      <c r="L17" s="28">
        <f>SUM(Emissions!N30:N31)</f>
        <v>24.072241227643865</v>
      </c>
      <c r="M17" s="28">
        <f>SUM(Emissions!O30:O31)</f>
        <v>23.959424631380745</v>
      </c>
      <c r="N17" s="28">
        <f>SUM(Emissions!P30:P31)</f>
        <v>24.481201389097684</v>
      </c>
      <c r="O17" s="28">
        <f>SUM(Emissions!Q30:Q31)</f>
        <v>25.101692668544864</v>
      </c>
      <c r="P17" s="28">
        <f>SUM(Emissions!R30:R31)</f>
        <v>23.22611675567045</v>
      </c>
      <c r="Q17" s="28">
        <f>SUM(Emissions!S30:S31)</f>
        <v>23.663281066190045</v>
      </c>
      <c r="R17" s="28">
        <f>SUM(Emissions!T30:T31)</f>
        <v>24.11454745124254</v>
      </c>
      <c r="S17" s="28">
        <f>SUM(Emissions!U30:U31)</f>
        <v>23.451749948196689</v>
      </c>
      <c r="T17" s="28">
        <f>SUM(Emissions!V30:V31)</f>
        <v>23.451749948196689</v>
      </c>
      <c r="U17" s="28">
        <f>SUM(Emissions!W30:W31)</f>
        <v>23.282525053802008</v>
      </c>
      <c r="V17" s="28">
        <f>SUM(Emissions!X30:X31)</f>
        <v>22.873564892348188</v>
      </c>
      <c r="W17" s="28">
        <f>SUM(Emissions!Y30:Y31)</f>
        <v>23.282525053802008</v>
      </c>
      <c r="X17" s="28">
        <f>SUM(Emissions!Z30:Z31)</f>
        <v>22.774850370617955</v>
      </c>
      <c r="Y17" s="28">
        <f>SUM(Emissions!AA30:AA31)</f>
        <v>22.746646221552176</v>
      </c>
      <c r="Z17" s="28">
        <f>SUM(Emissions!AB30:AB31)</f>
        <v>22.478706805427255</v>
      </c>
      <c r="AA17" s="28">
        <f>SUM(Emissions!AC30:AC31)</f>
        <v>22.337686060098353</v>
      </c>
      <c r="AB17" s="28">
        <f>SUM(Emissions!AD30:AD31)</f>
        <v>23.468707997590215</v>
      </c>
      <c r="AC17" s="28">
        <f>SUM(Emissions!AE30:AE31)</f>
        <v>23.467806419163871</v>
      </c>
      <c r="AD17" s="28">
        <f>SUM(Emissions!AF30:AF31)</f>
        <v>23.247119239409386</v>
      </c>
      <c r="AE17" s="28">
        <f>SUM(Emissions!AG30:AG31)</f>
        <v>22.859460940792768</v>
      </c>
      <c r="AF17" s="28">
        <f>SUM(Emissions!AH30:AH31)</f>
        <v>22.375558899664657</v>
      </c>
      <c r="AG17" s="28">
        <f>SUM(Emissions!AI30:AI31)</f>
        <v>21.991698213640504</v>
      </c>
      <c r="AH17" s="28">
        <f>SUM(Emissions!AJ30:AJ31)</f>
        <v>21.672254846379513</v>
      </c>
      <c r="AI17" s="28">
        <f>SUM(Emissions!AK30:AK31)</f>
        <v>21.354785713201665</v>
      </c>
      <c r="AJ17" s="28">
        <f>SUM(Emissions!AL30:AL31)</f>
        <v>18.607847522048822</v>
      </c>
      <c r="AK17" s="28">
        <f>SUM(Emissions!AM30:AM31)</f>
        <v>18.638735771310024</v>
      </c>
      <c r="AL17" s="28">
        <f>SUM(Emissions!AN30:AN31)</f>
        <v>18.677122812660709</v>
      </c>
      <c r="AM17" s="28">
        <f>SUM(Emissions!AO30:AO31)</f>
        <v>18.77025064463335</v>
      </c>
      <c r="AN17" s="28">
        <f>SUM(Emissions!AP30:AP31)</f>
        <v>18.894493085754085</v>
      </c>
      <c r="AO17" s="28">
        <f>SUM(Emissions!AQ30:AQ31)</f>
        <v>19.006541127102654</v>
      </c>
      <c r="AP17" s="28">
        <f>SUM(Emissions!AR30:AR31)</f>
        <v>19.193550740233121</v>
      </c>
      <c r="AQ17" s="28">
        <f>SUM(Emissions!AS30:AS31)</f>
        <v>19.394382794963494</v>
      </c>
      <c r="AR17" s="28">
        <f>SUM(Emissions!AT30:AT31)</f>
        <v>19.619460512584645</v>
      </c>
      <c r="AS17" s="28">
        <f>SUM(Emissions!AU30:AU31)</f>
        <v>19.854697315184914</v>
      </c>
      <c r="AT17" s="28">
        <f>SUM(Emissions!AV30:AV31)</f>
        <v>19.980453989044328</v>
      </c>
      <c r="AU17" s="28">
        <f>SUM(Emissions!AW30:AW31)</f>
        <v>20.236828326559838</v>
      </c>
      <c r="AV17" s="28">
        <f>SUM(Emissions!AX30:AX31)</f>
        <v>20.495363074705949</v>
      </c>
      <c r="AW17" s="28">
        <f>SUM(Emissions!AY30:AY31)</f>
        <v>20.759849939181162</v>
      </c>
      <c r="AX17" s="28">
        <f>SUM(Emissions!AZ30:AZ31)</f>
        <v>20.984754611464538</v>
      </c>
      <c r="AY17" s="28">
        <f>SUM(Emissions!BA30:BA31)</f>
        <v>21.233612344194192</v>
      </c>
      <c r="AZ17" s="28">
        <f>SUM(Emissions!BB30:BB31)</f>
        <v>21.505790391541627</v>
      </c>
      <c r="BA17" s="28">
        <f>SUM(Emissions!BC30:BC31)</f>
        <v>21.788278712785026</v>
      </c>
      <c r="BB17" s="28">
        <f>SUM(Emissions!BD30:BD31)</f>
        <v>22.049682810534939</v>
      </c>
      <c r="BC17" s="28">
        <f>SUM(Emissions!BE30:BE31)</f>
        <v>22.3208590021624</v>
      </c>
      <c r="BD17" s="28">
        <f>SUM(Emissions!BF30:BF31)</f>
        <v>22.619023761652535</v>
      </c>
      <c r="BE17" s="28">
        <f>SUM(Emissions!BG30:BG31)</f>
        <v>22.934328813539498</v>
      </c>
      <c r="BF17" s="28">
        <f>SUM(Emissions!BH30:BH31)</f>
        <v>23.263047336160461</v>
      </c>
      <c r="BG17" s="28">
        <f>SUM(Emissions!BI30:BI31)</f>
        <v>23.605332601825829</v>
      </c>
      <c r="BH17" s="28">
        <f>SUM(Emissions!BJ30:BJ31)</f>
        <v>23.960347055489621</v>
      </c>
      <c r="BI17" s="28">
        <f>SUM(Emissions!BK30:BK31)</f>
        <v>24.333766530549092</v>
      </c>
      <c r="BJ17" s="28">
        <f>SUM(Emissions!BL30:BL31)</f>
        <v>24.643634505497573</v>
      </c>
      <c r="BK17" s="28">
        <f>SUM(Emissions!BM30:BM31)</f>
        <v>24.968582318417361</v>
      </c>
      <c r="BL17" s="28">
        <f>SUM(Emissions!BN30:BN31)</f>
        <v>25.313417872222448</v>
      </c>
      <c r="BM17" s="28">
        <f>SUM(Emissions!BO30:BO31)</f>
        <v>25.679854388035388</v>
      </c>
      <c r="BN17" s="28">
        <f>SUM(Emissions!BP30:BP31)</f>
        <v>26.084367305884815</v>
      </c>
    </row>
    <row r="18" spans="1:66" x14ac:dyDescent="0.25">
      <c r="A18" t="str">
        <f t="shared" si="2"/>
        <v>3A Livestock</v>
      </c>
      <c r="B18" t="str">
        <f t="shared" si="10"/>
        <v>3A2 Manure management (CH4)</v>
      </c>
      <c r="C18" t="str">
        <f>'IPCC Categories'!C27</f>
        <v>3A2i Poultry</v>
      </c>
      <c r="D18" t="str">
        <f t="shared" si="8"/>
        <v>CH4</v>
      </c>
      <c r="E18" t="str">
        <f t="shared" si="9"/>
        <v>Gg CH4</v>
      </c>
      <c r="F18" s="28">
        <f>SUM(Emissions!H32:H35)</f>
        <v>1.3455156687778258</v>
      </c>
      <c r="G18" s="28">
        <f>SUM(Emissions!I32:I35)</f>
        <v>1.2760746173506023</v>
      </c>
      <c r="H18" s="28">
        <f>SUM(Emissions!J32:J35)</f>
        <v>1.2071518876777516</v>
      </c>
      <c r="I18" s="28">
        <f>SUM(Emissions!K32:K35)</f>
        <v>1.3112406123644875</v>
      </c>
      <c r="J18" s="28">
        <f>SUM(Emissions!L32:L35)</f>
        <v>1.2878479203358015</v>
      </c>
      <c r="K18" s="28">
        <f>SUM(Emissions!M32:M35)</f>
        <v>1.4574822448350102</v>
      </c>
      <c r="L18" s="28">
        <f>SUM(Emissions!N32:N35)</f>
        <v>1.6585519756378786</v>
      </c>
      <c r="M18" s="28">
        <f>SUM(Emissions!O32:O35)</f>
        <v>1.6829831179003492</v>
      </c>
      <c r="N18" s="28">
        <f>SUM(Emissions!P32:P35)</f>
        <v>1.8549562107540372</v>
      </c>
      <c r="O18" s="28">
        <f>SUM(Emissions!Q32:Q35)</f>
        <v>1.9479379111082711</v>
      </c>
      <c r="P18" s="28">
        <f>SUM(Emissions!R32:R35)</f>
        <v>2.0536731601042231</v>
      </c>
      <c r="Q18" s="28">
        <f>SUM(Emissions!S32:S35)</f>
        <v>2.0089908832558949</v>
      </c>
      <c r="R18" s="28">
        <f>SUM(Emissions!T32:T35)</f>
        <v>2.1759262032341824</v>
      </c>
      <c r="S18" s="28">
        <f>SUM(Emissions!U32:U35)</f>
        <v>2.0734984652627912</v>
      </c>
      <c r="T18" s="28">
        <f>SUM(Emissions!V32:V35)</f>
        <v>2.1285917053454204</v>
      </c>
      <c r="U18" s="28">
        <f>SUM(Emissions!W32:W35)</f>
        <v>2.3353468813999299</v>
      </c>
      <c r="V18" s="28">
        <f>SUM(Emissions!X32:X35)</f>
        <v>2.5134086143565382</v>
      </c>
      <c r="W18" s="28">
        <f>SUM(Emissions!Y32:Y35)</f>
        <v>2.6601525958477232</v>
      </c>
      <c r="X18" s="28">
        <f>SUM(Emissions!Z32:Z35)</f>
        <v>2.8035850548611285</v>
      </c>
      <c r="Y18" s="28">
        <f>SUM(Emissions!AA32:AA35)</f>
        <v>2.6565217675227304</v>
      </c>
      <c r="Z18" s="28">
        <f>SUM(Emissions!AB32:AB35)</f>
        <v>2.7308472443629443</v>
      </c>
      <c r="AA18" s="28">
        <f>SUM(Emissions!AC32:AC35)</f>
        <v>2.8311378814399824</v>
      </c>
      <c r="AB18" s="28">
        <f>SUM(Emissions!AD32:AD35)</f>
        <v>2.9001320647926985</v>
      </c>
      <c r="AC18" s="28">
        <f>SUM(Emissions!AE32:AE35)</f>
        <v>2.9621654461275471</v>
      </c>
      <c r="AD18" s="28">
        <f>SUM(Emissions!AF32:AF35)</f>
        <v>2.9876241467198228</v>
      </c>
      <c r="AE18" s="28">
        <f>SUM(Emissions!AG32:AG35)</f>
        <v>2.9836285633071506</v>
      </c>
      <c r="AF18" s="28">
        <f>SUM(Emissions!AH32:AH35)</f>
        <v>2.9607923075327762</v>
      </c>
      <c r="AG18" s="28">
        <f>SUM(Emissions!AI32:AI35)</f>
        <v>2.9515766767200056</v>
      </c>
      <c r="AH18" s="28">
        <f>SUM(Emissions!AJ32:AJ35)</f>
        <v>2.9510673644839205</v>
      </c>
      <c r="AI18" s="28">
        <f>SUM(Emissions!AK32:AK35)</f>
        <v>2.9489802184905063</v>
      </c>
      <c r="AJ18" s="28">
        <f>SUM(Emissions!AL32:AL35)</f>
        <v>2.5172938559378748</v>
      </c>
      <c r="AK18" s="28">
        <f>SUM(Emissions!AM32:AM35)</f>
        <v>2.569904729849974</v>
      </c>
      <c r="AL18" s="28">
        <f>SUM(Emissions!AN32:AN35)</f>
        <v>2.624685300471457</v>
      </c>
      <c r="AM18" s="28">
        <f>SUM(Emissions!AO32:AO35)</f>
        <v>2.6904373150854455</v>
      </c>
      <c r="AN18" s="28">
        <f>SUM(Emissions!AP32:AP35)</f>
        <v>2.7627677253086773</v>
      </c>
      <c r="AO18" s="28">
        <f>SUM(Emissions!AQ32:AQ35)</f>
        <v>2.833792950276969</v>
      </c>
      <c r="AP18" s="28">
        <f>SUM(Emissions!AR32:AR35)</f>
        <v>2.92017369802997</v>
      </c>
      <c r="AQ18" s="28">
        <f>SUM(Emissions!AS32:AS35)</f>
        <v>3.0106827677038162</v>
      </c>
      <c r="AR18" s="28">
        <f>SUM(Emissions!AT32:AT35)</f>
        <v>3.1075410865513722</v>
      </c>
      <c r="AS18" s="28">
        <f>SUM(Emissions!AU32:AU35)</f>
        <v>3.2081344911433716</v>
      </c>
      <c r="AT18" s="28">
        <f>SUM(Emissions!AV32:AV35)</f>
        <v>3.288396633262511</v>
      </c>
      <c r="AU18" s="28">
        <f>SUM(Emissions!AW32:AW35)</f>
        <v>3.3967287548263863</v>
      </c>
      <c r="AV18" s="28">
        <f>SUM(Emissions!AX32:AX35)</f>
        <v>3.5075674948514761</v>
      </c>
      <c r="AW18" s="28">
        <f>SUM(Emissions!AY32:AY35)</f>
        <v>3.6217931592499983</v>
      </c>
      <c r="AX18" s="28">
        <f>SUM(Emissions!AZ32:AZ35)</f>
        <v>3.7297830739620048</v>
      </c>
      <c r="AY18" s="28">
        <f>SUM(Emissions!BA32:BA35)</f>
        <v>3.8450107801673492</v>
      </c>
      <c r="AZ18" s="28">
        <f>SUM(Emissions!BB32:BB35)</f>
        <v>3.9676098718094677</v>
      </c>
      <c r="BA18" s="28">
        <f>SUM(Emissions!BC32:BC35)</f>
        <v>4.0949623215044335</v>
      </c>
      <c r="BB18" s="28">
        <f>SUM(Emissions!BD32:BD35)</f>
        <v>4.2201612359541434</v>
      </c>
      <c r="BC18" s="28">
        <f>SUM(Emissions!BE32:BE35)</f>
        <v>4.3501171238830123</v>
      </c>
      <c r="BD18" s="28">
        <f>SUM(Emissions!BF32:BF35)</f>
        <v>4.4889765851614944</v>
      </c>
      <c r="BE18" s="28">
        <f>SUM(Emissions!BG32:BG35)</f>
        <v>4.6347604962489797</v>
      </c>
      <c r="BF18" s="28">
        <f>SUM(Emissions!BH32:BH35)</f>
        <v>4.7868295426014456</v>
      </c>
      <c r="BG18" s="28">
        <f>SUM(Emissions!BI32:BI35)</f>
        <v>4.9454385480490233</v>
      </c>
      <c r="BH18" s="28">
        <f>SUM(Emissions!BJ32:BJ35)</f>
        <v>5.1106089354949606</v>
      </c>
      <c r="BI18" s="28">
        <f>SUM(Emissions!BK32:BK35)</f>
        <v>5.2839701901921474</v>
      </c>
      <c r="BJ18" s="28">
        <f>SUM(Emissions!BL32:BL35)</f>
        <v>5.445267394797737</v>
      </c>
      <c r="BK18" s="28">
        <f>SUM(Emissions!BM32:BM35)</f>
        <v>5.6139426244627275</v>
      </c>
      <c r="BL18" s="28">
        <f>SUM(Emissions!BN32:BN35)</f>
        <v>5.7914968519839016</v>
      </c>
      <c r="BM18" s="28">
        <f>SUM(Emissions!BO32:BO35)</f>
        <v>5.9787023546671652</v>
      </c>
      <c r="BN18" s="28">
        <f>SUM(Emissions!BP32:BP35)</f>
        <v>6.1802730314244902</v>
      </c>
    </row>
    <row r="19" spans="1:66" s="19" customFormat="1" ht="15.75" x14ac:dyDescent="0.25">
      <c r="A19" s="19" t="str">
        <f>A26</f>
        <v>3A Livestock</v>
      </c>
      <c r="B19" s="19" t="str">
        <f>B26</f>
        <v>3A2 Manure management (N2O)</v>
      </c>
      <c r="C19" s="19" t="s">
        <v>148</v>
      </c>
      <c r="D19" s="19" t="str">
        <f>D26</f>
        <v>N2O</v>
      </c>
      <c r="E19" s="19" t="str">
        <f>E26</f>
        <v>Gg N2O</v>
      </c>
      <c r="F19" s="46">
        <f t="shared" ref="F19:AK19" si="11">SUM(F20:F26)</f>
        <v>3.8813342644172093</v>
      </c>
      <c r="G19" s="46">
        <f t="shared" si="11"/>
        <v>3.8661487301239461</v>
      </c>
      <c r="H19" s="46">
        <f t="shared" si="11"/>
        <v>3.7862483767973956</v>
      </c>
      <c r="I19" s="46">
        <f t="shared" si="11"/>
        <v>3.8129334854284056</v>
      </c>
      <c r="J19" s="46">
        <f t="shared" si="11"/>
        <v>3.6996407314660944</v>
      </c>
      <c r="K19" s="46">
        <f t="shared" si="11"/>
        <v>3.8335350634638918</v>
      </c>
      <c r="L19" s="46">
        <f t="shared" si="11"/>
        <v>4.0409580802685516</v>
      </c>
      <c r="M19" s="46">
        <f t="shared" si="11"/>
        <v>4.0955542331246733</v>
      </c>
      <c r="N19" s="46">
        <f t="shared" si="11"/>
        <v>4.2655318251850405</v>
      </c>
      <c r="O19" s="46">
        <f t="shared" si="11"/>
        <v>4.3438825095880835</v>
      </c>
      <c r="P19" s="46">
        <f t="shared" si="11"/>
        <v>4.4272539945305205</v>
      </c>
      <c r="Q19" s="46">
        <f t="shared" si="11"/>
        <v>4.3758778433663306</v>
      </c>
      <c r="R19" s="46">
        <f t="shared" si="11"/>
        <v>4.5059558233007309</v>
      </c>
      <c r="S19" s="46">
        <f t="shared" si="11"/>
        <v>4.4292467756859457</v>
      </c>
      <c r="T19" s="46">
        <f t="shared" si="11"/>
        <v>4.4470330949647732</v>
      </c>
      <c r="U19" s="46">
        <f t="shared" si="11"/>
        <v>4.5974101613100977</v>
      </c>
      <c r="V19" s="46">
        <f t="shared" si="11"/>
        <v>4.7310450300813258</v>
      </c>
      <c r="W19" s="46">
        <f t="shared" si="11"/>
        <v>4.8799892939067844</v>
      </c>
      <c r="X19" s="46">
        <f t="shared" si="11"/>
        <v>4.9663886389564027</v>
      </c>
      <c r="Y19" s="46">
        <f t="shared" si="11"/>
        <v>4.8614306045888265</v>
      </c>
      <c r="Z19" s="46">
        <f t="shared" si="11"/>
        <v>4.8921309188133044</v>
      </c>
      <c r="AA19" s="46">
        <f t="shared" si="11"/>
        <v>5.064588718240568</v>
      </c>
      <c r="AB19" s="46">
        <f t="shared" si="11"/>
        <v>5.2252066465607747</v>
      </c>
      <c r="AC19" s="46">
        <f t="shared" si="11"/>
        <v>5.3068547539139157</v>
      </c>
      <c r="AD19" s="46">
        <f t="shared" si="11"/>
        <v>5.3370553793182749</v>
      </c>
      <c r="AE19" s="46">
        <f t="shared" si="11"/>
        <v>5.3262947500774791</v>
      </c>
      <c r="AF19" s="46">
        <f t="shared" si="11"/>
        <v>5.2899415453265863</v>
      </c>
      <c r="AG19" s="46">
        <f t="shared" si="11"/>
        <v>5.2743048830867032</v>
      </c>
      <c r="AH19" s="46">
        <f t="shared" si="11"/>
        <v>5.2717047198796356</v>
      </c>
      <c r="AI19" s="46">
        <f t="shared" si="11"/>
        <v>5.2675172234274106</v>
      </c>
      <c r="AJ19" s="46">
        <f t="shared" si="11"/>
        <v>4.6567892276637979</v>
      </c>
      <c r="AK19" s="46">
        <f t="shared" si="11"/>
        <v>4.7359445199532644</v>
      </c>
      <c r="AL19" s="46">
        <f t="shared" ref="AL19:BN19" si="12">SUM(AL20:AL26)</f>
        <v>4.8171736062832906</v>
      </c>
      <c r="AM19" s="46">
        <f t="shared" si="12"/>
        <v>4.9128671101529209</v>
      </c>
      <c r="AN19" s="46">
        <f t="shared" si="12"/>
        <v>5.0176195172374625</v>
      </c>
      <c r="AO19" s="46">
        <f t="shared" si="12"/>
        <v>5.120288767330246</v>
      </c>
      <c r="AP19" s="46">
        <f t="shared" si="12"/>
        <v>5.2443404581823749</v>
      </c>
      <c r="AQ19" s="46">
        <f t="shared" si="12"/>
        <v>5.3739205272204451</v>
      </c>
      <c r="AR19" s="46">
        <f t="shared" si="12"/>
        <v>5.5121380958090445</v>
      </c>
      <c r="AS19" s="46">
        <f t="shared" si="12"/>
        <v>5.6553945070280758</v>
      </c>
      <c r="AT19" s="46">
        <f t="shared" si="12"/>
        <v>5.7698257552546766</v>
      </c>
      <c r="AU19" s="46">
        <f t="shared" si="12"/>
        <v>5.9177809941330128</v>
      </c>
      <c r="AV19" s="46">
        <f t="shared" si="12"/>
        <v>6.0688385242486982</v>
      </c>
      <c r="AW19" s="46">
        <f t="shared" si="12"/>
        <v>6.224221943944114</v>
      </c>
      <c r="AX19" s="46">
        <f t="shared" si="12"/>
        <v>6.3704808047575066</v>
      </c>
      <c r="AY19" s="46">
        <f t="shared" si="12"/>
        <v>6.5264829031439131</v>
      </c>
      <c r="AZ19" s="46">
        <f t="shared" si="12"/>
        <v>6.692383557680377</v>
      </c>
      <c r="BA19" s="46">
        <f t="shared" si="12"/>
        <v>6.8645027519068567</v>
      </c>
      <c r="BB19" s="46">
        <f t="shared" si="12"/>
        <v>7.0332058899742531</v>
      </c>
      <c r="BC19" s="46">
        <f t="shared" si="12"/>
        <v>7.2081537174463062</v>
      </c>
      <c r="BD19" s="46">
        <f t="shared" si="12"/>
        <v>7.395095406763053</v>
      </c>
      <c r="BE19" s="46">
        <f t="shared" si="12"/>
        <v>7.5945699067800598</v>
      </c>
      <c r="BF19" s="46">
        <f t="shared" si="12"/>
        <v>7.8024624297609844</v>
      </c>
      <c r="BG19" s="46">
        <f t="shared" si="12"/>
        <v>8.0191172227166856</v>
      </c>
      <c r="BH19" s="46">
        <f t="shared" si="12"/>
        <v>8.2445564677270831</v>
      </c>
      <c r="BI19" s="46">
        <f t="shared" si="12"/>
        <v>8.4810303600830927</v>
      </c>
      <c r="BJ19" s="46">
        <f t="shared" si="12"/>
        <v>8.7004798939483425</v>
      </c>
      <c r="BK19" s="46">
        <f t="shared" si="12"/>
        <v>8.9298497510974677</v>
      </c>
      <c r="BL19" s="46">
        <f t="shared" si="12"/>
        <v>9.1712092278776822</v>
      </c>
      <c r="BM19" s="46">
        <f t="shared" si="12"/>
        <v>9.4256134983372721</v>
      </c>
      <c r="BN19" s="46">
        <f t="shared" si="12"/>
        <v>9.6995683984484877</v>
      </c>
    </row>
    <row r="20" spans="1:66" x14ac:dyDescent="0.25">
      <c r="A20" t="str">
        <f>A18</f>
        <v>3A Livestock</v>
      </c>
      <c r="B20" t="str">
        <f>'IPCC Categories'!B20</f>
        <v>3A2 Manure management (N2O)</v>
      </c>
      <c r="C20" t="str">
        <f t="shared" ref="C20:C26" si="13">C12</f>
        <v>3A2a Cattle</v>
      </c>
      <c r="D20" t="s">
        <v>139</v>
      </c>
      <c r="E20" t="s">
        <v>287</v>
      </c>
      <c r="F20" s="28">
        <f>SUM(Emissions!H36:H41)</f>
        <v>2.3334515596574898</v>
      </c>
      <c r="G20" s="28">
        <f>SUM(Emissions!I36:I41)</f>
        <v>2.3913266020486907</v>
      </c>
      <c r="H20" s="28">
        <f>SUM(Emissions!J36:J41)</f>
        <v>2.3837489012139343</v>
      </c>
      <c r="I20" s="28">
        <f>SUM(Emissions!K36:K41)</f>
        <v>2.3538599023692135</v>
      </c>
      <c r="J20" s="28">
        <f>SUM(Emissions!L36:L41)</f>
        <v>2.2497683959178429</v>
      </c>
      <c r="K20" s="28">
        <f>SUM(Emissions!M36:M41)</f>
        <v>2.2583248814343775</v>
      </c>
      <c r="L20" s="28">
        <f>SUM(Emissions!N36:N41)</f>
        <v>2.3013624403278148</v>
      </c>
      <c r="M20" s="28">
        <f>SUM(Emissions!O36:O41)</f>
        <v>2.3439053818582685</v>
      </c>
      <c r="N20" s="28">
        <f>SUM(Emissions!P36:P41)</f>
        <v>2.3881538701270464</v>
      </c>
      <c r="O20" s="28">
        <f>SUM(Emissions!Q36:Q41)</f>
        <v>2.4045249883488831</v>
      </c>
      <c r="P20" s="28">
        <f>SUM(Emissions!R36:R41)</f>
        <v>2.4217802003919431</v>
      </c>
      <c r="Q20" s="28">
        <f>SUM(Emissions!S36:S41)</f>
        <v>2.4052042445092017</v>
      </c>
      <c r="R20" s="28">
        <f>SUM(Emissions!T36:T41)</f>
        <v>2.4204844754419144</v>
      </c>
      <c r="S20" s="28">
        <f>SUM(Emissions!U36:U41)</f>
        <v>2.4261595848898265</v>
      </c>
      <c r="T20" s="28">
        <f>SUM(Emissions!V36:V41)</f>
        <v>2.4077185173815416</v>
      </c>
      <c r="U20" s="28">
        <f>SUM(Emissions!W36:W41)</f>
        <v>2.4068130130940584</v>
      </c>
      <c r="V20" s="28">
        <f>SUM(Emissions!X36:X41)</f>
        <v>2.4140441898890113</v>
      </c>
      <c r="W20" s="28">
        <f>SUM(Emissions!Y36:Y41)</f>
        <v>2.4616595203806031</v>
      </c>
      <c r="X20" s="28">
        <f>SUM(Emissions!Z36:Z41)</f>
        <v>2.4413231585134629</v>
      </c>
      <c r="Y20" s="28">
        <f>SUM(Emissions!AA36:AA41)</f>
        <v>2.4490820347552171</v>
      </c>
      <c r="Z20" s="28">
        <f>SUM(Emissions!AB36:AB41)</f>
        <v>2.4334145229663386</v>
      </c>
      <c r="AA20" s="28">
        <f>SUM(Emissions!AC36:AC41)</f>
        <v>2.5369197805494066</v>
      </c>
      <c r="AB20" s="28">
        <f>SUM(Emissions!AD36:AD41)</f>
        <v>2.6514097282204374</v>
      </c>
      <c r="AC20" s="28">
        <f>SUM(Emissions!AE36:AE41)</f>
        <v>2.6873100585070251</v>
      </c>
      <c r="AD20" s="28">
        <f>SUM(Emissions!AF36:AF41)</f>
        <v>2.7004133549191462</v>
      </c>
      <c r="AE20" s="28">
        <f>SUM(Emissions!AG36:AG41)</f>
        <v>2.6955266946619183</v>
      </c>
      <c r="AF20" s="28">
        <f>SUM(Emissions!AH36:AH41)</f>
        <v>2.6796050899783892</v>
      </c>
      <c r="AG20" s="28">
        <f>SUM(Emissions!AI36:AI41)</f>
        <v>2.6733529583379765</v>
      </c>
      <c r="AH20" s="28">
        <f>SUM(Emissions!AJ36:AJ41)</f>
        <v>2.6730850943272859</v>
      </c>
      <c r="AI20" s="28">
        <f>SUM(Emissions!AK36:AK41)</f>
        <v>2.6722939427870576</v>
      </c>
      <c r="AJ20" s="28">
        <f>SUM(Emissions!AL36:AL41)</f>
        <v>2.4025645698982476</v>
      </c>
      <c r="AK20" s="28">
        <f>SUM(Emissions!AM36:AM41)</f>
        <v>2.4421452674999795</v>
      </c>
      <c r="AL20" s="28">
        <f>SUM(Emissions!AN36:AN41)</f>
        <v>2.4822197577626008</v>
      </c>
      <c r="AM20" s="28">
        <f>SUM(Emissions!AO36:AO41)</f>
        <v>2.528285645007184</v>
      </c>
      <c r="AN20" s="28">
        <f>SUM(Emissions!AP36:AP41)</f>
        <v>2.5782832292464439</v>
      </c>
      <c r="AO20" s="28">
        <f>SUM(Emissions!AQ36:AQ41)</f>
        <v>2.6272618250535196</v>
      </c>
      <c r="AP20" s="28">
        <f>SUM(Emissions!AR36:AR41)</f>
        <v>2.6856485933396401</v>
      </c>
      <c r="AQ20" s="28">
        <f>SUM(Emissions!AS36:AS41)</f>
        <v>2.7464001422675852</v>
      </c>
      <c r="AR20" s="28">
        <f>SUM(Emissions!AT36:AT41)</f>
        <v>2.8108993156015853</v>
      </c>
      <c r="AS20" s="28">
        <f>SUM(Emissions!AU36:AU41)</f>
        <v>2.8775874206214489</v>
      </c>
      <c r="AT20" s="28">
        <f>SUM(Emissions!AV36:AV41)</f>
        <v>2.9313946503873796</v>
      </c>
      <c r="AU20" s="28">
        <f>SUM(Emissions!AW36:AW41)</f>
        <v>2.9968835504357108</v>
      </c>
      <c r="AV20" s="28">
        <f>SUM(Emissions!AX36:AX41)</f>
        <v>3.0636056618859788</v>
      </c>
      <c r="AW20" s="28">
        <f>SUM(Emissions!AY36:AY41)</f>
        <v>3.1321037153514002</v>
      </c>
      <c r="AX20" s="28">
        <f>SUM(Emissions!AZ36:AZ41)</f>
        <v>3.196421656597944</v>
      </c>
      <c r="AY20" s="28">
        <f>SUM(Emissions!BA36:BA41)</f>
        <v>3.2649348662735891</v>
      </c>
      <c r="AZ20" s="28">
        <f>SUM(Emissions!BB36:BB41)</f>
        <v>3.3377058725226751</v>
      </c>
      <c r="BA20" s="28">
        <f>SUM(Emissions!BC36:BC41)</f>
        <v>3.4131003398326394</v>
      </c>
      <c r="BB20" s="28">
        <f>SUM(Emissions!BD36:BD41)</f>
        <v>3.486855651893503</v>
      </c>
      <c r="BC20" s="28">
        <f>SUM(Emissions!BE36:BE41)</f>
        <v>3.5632610235379962</v>
      </c>
      <c r="BD20" s="28">
        <f>SUM(Emissions!BF36:BF41)</f>
        <v>3.6448550338540606</v>
      </c>
      <c r="BE20" s="28">
        <f>SUM(Emissions!BG36:BG41)</f>
        <v>3.7337231755923623</v>
      </c>
      <c r="BF20" s="28">
        <f>SUM(Emissions!BH36:BH41)</f>
        <v>3.8262550960603416</v>
      </c>
      <c r="BG20" s="28">
        <f>SUM(Emissions!BI36:BI41)</f>
        <v>3.9226055617596107</v>
      </c>
      <c r="BH20" s="28">
        <f>SUM(Emissions!BJ36:BJ41)</f>
        <v>4.0227880108012171</v>
      </c>
      <c r="BI20" s="28">
        <f>SUM(Emissions!BK36:BK41)</f>
        <v>4.1277996878605201</v>
      </c>
      <c r="BJ20" s="28">
        <f>SUM(Emissions!BL36:BL41)</f>
        <v>4.2252546696810009</v>
      </c>
      <c r="BK20" s="28">
        <f>SUM(Emissions!BM36:BM41)</f>
        <v>4.3270553038682467</v>
      </c>
      <c r="BL20" s="28">
        <f>SUM(Emissions!BN36:BN41)</f>
        <v>4.434119869411477</v>
      </c>
      <c r="BM20" s="28">
        <f>SUM(Emissions!BO36:BO41)</f>
        <v>4.5469179050996349</v>
      </c>
      <c r="BN20" s="28">
        <f>SUM(Emissions!BP36:BP41)</f>
        <v>4.668328314747864</v>
      </c>
    </row>
    <row r="21" spans="1:66" x14ac:dyDescent="0.25">
      <c r="A21" t="str">
        <f t="shared" si="2"/>
        <v>3A Livestock</v>
      </c>
      <c r="B21" t="str">
        <f>B20</f>
        <v>3A2 Manure management (N2O)</v>
      </c>
      <c r="C21" t="str">
        <f t="shared" si="13"/>
        <v>3A2c Sheep</v>
      </c>
      <c r="D21" t="str">
        <f>D20</f>
        <v>N2O</v>
      </c>
      <c r="E21" t="str">
        <f>E20</f>
        <v>Gg N2O</v>
      </c>
      <c r="F21" s="28">
        <f>SUM(Emissions!H42:H43)</f>
        <v>0.27697977351015546</v>
      </c>
      <c r="G21" s="28">
        <f>SUM(Emissions!I42:I43)</f>
        <v>0.26452543098066184</v>
      </c>
      <c r="H21" s="28">
        <f>SUM(Emissions!J42:J43)</f>
        <v>0.25359554432458542</v>
      </c>
      <c r="I21" s="28">
        <f>SUM(Emissions!K42:K43)</f>
        <v>0.23716837739770139</v>
      </c>
      <c r="J21" s="28">
        <f>SUM(Emissions!L42:L43)</f>
        <v>0.23884065929520765</v>
      </c>
      <c r="K21" s="28">
        <f>SUM(Emissions!M42:M43)</f>
        <v>0.23542218248815072</v>
      </c>
      <c r="L21" s="28">
        <f>SUM(Emissions!N42:N43)</f>
        <v>0.23620750824112324</v>
      </c>
      <c r="M21" s="28">
        <f>SUM(Emissions!O42:O43)</f>
        <v>0.23107055390403242</v>
      </c>
      <c r="N21" s="28">
        <f>SUM(Emissions!P42:P43)</f>
        <v>0.23170805363291622</v>
      </c>
      <c r="O21" s="28">
        <f>SUM(Emissions!Q42:Q43)</f>
        <v>0.22601675170549185</v>
      </c>
      <c r="P21" s="28">
        <f>SUM(Emissions!R42:R43)</f>
        <v>0.21791403776011653</v>
      </c>
      <c r="Q21" s="28">
        <f>SUM(Emissions!S42:S43)</f>
        <v>0.21248143137484779</v>
      </c>
      <c r="R21" s="28">
        <f>SUM(Emissions!T42:T43)</f>
        <v>0.20893360679671308</v>
      </c>
      <c r="S21" s="28">
        <f>SUM(Emissions!U42:U43)</f>
        <v>0.20966349779065224</v>
      </c>
      <c r="T21" s="28">
        <f>SUM(Emissions!V42:V43)</f>
        <v>0.20593089068240639</v>
      </c>
      <c r="U21" s="28">
        <f>SUM(Emissions!W42:W43)</f>
        <v>0.20544121697761175</v>
      </c>
      <c r="V21" s="28">
        <f>SUM(Emissions!X42:X43)</f>
        <v>0.20275263116449405</v>
      </c>
      <c r="W21" s="28">
        <f>SUM(Emissions!Y42:Y43)</f>
        <v>0.20255860950787735</v>
      </c>
      <c r="X21" s="28">
        <f>SUM(Emissions!Z42:Z43)</f>
        <v>0.203214587489772</v>
      </c>
      <c r="Y21" s="28">
        <f>SUM(Emissions!AA42:AA43)</f>
        <v>0.20249393562233842</v>
      </c>
      <c r="Z21" s="28">
        <f>SUM(Emissions!AB42:AB43)</f>
        <v>0.19857654598398133</v>
      </c>
      <c r="AA21" s="28">
        <f>SUM(Emissions!AC42:AC43)</f>
        <v>0.19702437273104745</v>
      </c>
      <c r="AB21" s="28">
        <f>SUM(Emissions!AD42:AD43)</f>
        <v>0.17984632083656066</v>
      </c>
      <c r="AC21" s="28">
        <f>SUM(Emissions!AE42:AE43)</f>
        <v>0.17994744189680767</v>
      </c>
      <c r="AD21" s="28">
        <f>SUM(Emissions!AF42:AF43)</f>
        <v>0.18016839446896027</v>
      </c>
      <c r="AE21" s="28">
        <f>SUM(Emissions!AG42:AG43)</f>
        <v>0.18050327438407321</v>
      </c>
      <c r="AF21" s="28">
        <f>SUM(Emissions!AH42:AH43)</f>
        <v>0.18094875373186742</v>
      </c>
      <c r="AG21" s="28">
        <f>SUM(Emissions!AI42:AI43)</f>
        <v>0.18150858616707685</v>
      </c>
      <c r="AH21" s="28">
        <f>SUM(Emissions!AJ42:AJ43)</f>
        <v>0.18213311648933883</v>
      </c>
      <c r="AI21" s="28">
        <f>SUM(Emissions!AK42:AK43)</f>
        <v>0.18282062654500728</v>
      </c>
      <c r="AJ21" s="28">
        <f>SUM(Emissions!AL42:AL43)</f>
        <v>0.18345445085602496</v>
      </c>
      <c r="AK21" s="28">
        <f>SUM(Emissions!AM42:AM43)</f>
        <v>0.18393053016560987</v>
      </c>
      <c r="AL21" s="28">
        <f>SUM(Emissions!AN42:AN43)</f>
        <v>0.18434332661634623</v>
      </c>
      <c r="AM21" s="28">
        <f>SUM(Emissions!AO42:AO43)</f>
        <v>0.18469029868878128</v>
      </c>
      <c r="AN21" s="28">
        <f>SUM(Emissions!AP42:AP43)</f>
        <v>0.18503868371102158</v>
      </c>
      <c r="AO21" s="28">
        <f>SUM(Emissions!AQ42:AQ43)</f>
        <v>0.18538354828847958</v>
      </c>
      <c r="AP21" s="28">
        <f>SUM(Emissions!AR42:AR43)</f>
        <v>0.18572674863266325</v>
      </c>
      <c r="AQ21" s="28">
        <f>SUM(Emissions!AS42:AS43)</f>
        <v>0.18606290172031137</v>
      </c>
      <c r="AR21" s="28">
        <f>SUM(Emissions!AT42:AT43)</f>
        <v>0.18639039764063417</v>
      </c>
      <c r="AS21" s="28">
        <f>SUM(Emissions!AU42:AU43)</f>
        <v>0.18671537994573928</v>
      </c>
      <c r="AT21" s="28">
        <f>SUM(Emissions!AV42:AV43)</f>
        <v>0.18702957569182374</v>
      </c>
      <c r="AU21" s="28">
        <f>SUM(Emissions!AW42:AW43)</f>
        <v>0.1873443881065561</v>
      </c>
      <c r="AV21" s="28">
        <f>SUM(Emissions!AX42:AX43)</f>
        <v>0.18765138656387453</v>
      </c>
      <c r="AW21" s="28">
        <f>SUM(Emissions!AY42:AY43)</f>
        <v>0.18794936795469813</v>
      </c>
      <c r="AX21" s="28">
        <f>SUM(Emissions!AZ42:AZ43)</f>
        <v>0.18823689769426857</v>
      </c>
      <c r="AY21" s="28">
        <f>SUM(Emissions!BA42:BA43)</f>
        <v>0.18851639742598617</v>
      </c>
      <c r="AZ21" s="28">
        <f>SUM(Emissions!BB42:BB43)</f>
        <v>0.1887867480151228</v>
      </c>
      <c r="BA21" s="28">
        <f>SUM(Emissions!BC42:BC43)</f>
        <v>0.18904614653200194</v>
      </c>
      <c r="BB21" s="28">
        <f>SUM(Emissions!BD42:BD43)</f>
        <v>0.18929167345487569</v>
      </c>
      <c r="BC21" s="28">
        <f>SUM(Emissions!BE42:BE43)</f>
        <v>0.18952692712551611</v>
      </c>
      <c r="BD21" s="28">
        <f>SUM(Emissions!BF42:BF43)</f>
        <v>0.18975216001271561</v>
      </c>
      <c r="BE21" s="28">
        <f>SUM(Emissions!BG42:BG43)</f>
        <v>0.1899659947917392</v>
      </c>
      <c r="BF21" s="28">
        <f>SUM(Emissions!BH42:BH43)</f>
        <v>0.19016746627584105</v>
      </c>
      <c r="BG21" s="28">
        <f>SUM(Emissions!BI42:BI43)</f>
        <v>0.19035589869878949</v>
      </c>
      <c r="BH21" s="28">
        <f>SUM(Emissions!BJ42:BJ43)</f>
        <v>0.19053070273498701</v>
      </c>
      <c r="BI21" s="28">
        <f>SUM(Emissions!BK42:BK43)</f>
        <v>0.19069166526861098</v>
      </c>
      <c r="BJ21" s="28">
        <f>SUM(Emissions!BL42:BL43)</f>
        <v>0.19083253915063778</v>
      </c>
      <c r="BK21" s="28">
        <f>SUM(Emissions!BM42:BM43)</f>
        <v>0.19095811303708082</v>
      </c>
      <c r="BL21" s="28">
        <f>SUM(Emissions!BN42:BN43)</f>
        <v>0.1910682481657861</v>
      </c>
      <c r="BM21" s="28">
        <f>SUM(Emissions!BO42:BO43)</f>
        <v>0.19116227710663386</v>
      </c>
      <c r="BN21" s="28">
        <f>SUM(Emissions!BP42:BP43)</f>
        <v>0.19124102493305772</v>
      </c>
    </row>
    <row r="22" spans="1:66" x14ac:dyDescent="0.25">
      <c r="A22" t="str">
        <f t="shared" si="2"/>
        <v>3A Livestock</v>
      </c>
      <c r="B22" t="str">
        <f t="shared" ref="B22:B26" si="14">B21</f>
        <v>3A2 Manure management (N2O)</v>
      </c>
      <c r="C22" t="str">
        <f t="shared" si="13"/>
        <v>3A2d Goats</v>
      </c>
      <c r="D22" t="str">
        <f t="shared" ref="D22:D26" si="15">D21</f>
        <v>N2O</v>
      </c>
      <c r="E22" t="str">
        <f t="shared" ref="E22:E26" si="16">E21</f>
        <v>Gg N2O</v>
      </c>
      <c r="F22" s="28">
        <f>SUM(Emissions!H44:H45)</f>
        <v>0.17617782385130304</v>
      </c>
      <c r="G22" s="28">
        <f>SUM(Emissions!I44:I45)</f>
        <v>0.15579098843087474</v>
      </c>
      <c r="H22" s="28">
        <f>SUM(Emissions!J44:J45)</f>
        <v>0.14512124279027669</v>
      </c>
      <c r="I22" s="28">
        <f>SUM(Emissions!K44:K45)</f>
        <v>0.13711893355982818</v>
      </c>
      <c r="J22" s="28">
        <f>SUM(Emissions!L44:L45)</f>
        <v>0.14842378310760462</v>
      </c>
      <c r="K22" s="28">
        <f>SUM(Emissions!M44:M45)</f>
        <v>0.1504561156105757</v>
      </c>
      <c r="L22" s="28">
        <f>SUM(Emissions!N44:N45)</f>
        <v>0.15280600006713599</v>
      </c>
      <c r="M22" s="28">
        <f>SUM(Emissions!O44:O45)</f>
        <v>0.15204387537852188</v>
      </c>
      <c r="N22" s="28">
        <f>SUM(Emissions!P44:P45)</f>
        <v>0.1498845220941151</v>
      </c>
      <c r="O22" s="28">
        <f>SUM(Emissions!Q44:Q45)</f>
        <v>0.14766165841899051</v>
      </c>
      <c r="P22" s="28">
        <f>SUM(Emissions!R44:R45)</f>
        <v>0.14956697014052586</v>
      </c>
      <c r="Q22" s="28">
        <f>SUM(Emissions!S44:S45)</f>
        <v>0.15413971827221074</v>
      </c>
      <c r="R22" s="28">
        <f>SUM(Emissions!T44:T45)</f>
        <v>0.14073902583074538</v>
      </c>
      <c r="S22" s="28">
        <f>SUM(Emissions!U44:U45)</f>
        <v>0.13718244395054602</v>
      </c>
      <c r="T22" s="28">
        <f>SUM(Emissions!V44:V45)</f>
        <v>0.13743648551341742</v>
      </c>
      <c r="U22" s="28">
        <f>SUM(Emissions!W44:W45)</f>
        <v>0.13565819457331774</v>
      </c>
      <c r="V22" s="28">
        <f>SUM(Emissions!X44:X45)</f>
        <v>0.13851616215562079</v>
      </c>
      <c r="W22" s="28">
        <f>SUM(Emissions!Y44:Y45)</f>
        <v>0.13438798675896085</v>
      </c>
      <c r="X22" s="28">
        <f>SUM(Emissions!Z44:Z45)</f>
        <v>0.13426096597752513</v>
      </c>
      <c r="Y22" s="28">
        <f>SUM(Emissions!AA44:AA45)</f>
        <v>0.13191108152096487</v>
      </c>
      <c r="Z22" s="28">
        <f>SUM(Emissions!AB44:AB45)</f>
        <v>0.13032332175301872</v>
      </c>
      <c r="AA22" s="28">
        <f>SUM(Emissions!AC44:AC45)</f>
        <v>0.12911662432937968</v>
      </c>
      <c r="AB22" s="28">
        <f>SUM(Emissions!AD44:AD45)</f>
        <v>0.12932201954336789</v>
      </c>
      <c r="AC22" s="28">
        <f>SUM(Emissions!AE44:AE45)</f>
        <v>0.12966265507555569</v>
      </c>
      <c r="AD22" s="28">
        <f>SUM(Emissions!AF44:AF45)</f>
        <v>0.13011332786723581</v>
      </c>
      <c r="AE22" s="28">
        <f>SUM(Emissions!AG44:AG45)</f>
        <v>0.13066937621499602</v>
      </c>
      <c r="AF22" s="28">
        <f>SUM(Emissions!AH44:AH45)</f>
        <v>0.13132865685525782</v>
      </c>
      <c r="AG22" s="28">
        <f>SUM(Emissions!AI44:AI45)</f>
        <v>0.13209666439372347</v>
      </c>
      <c r="AH22" s="28">
        <f>SUM(Emissions!AJ44:AJ45)</f>
        <v>0.13291869604209358</v>
      </c>
      <c r="AI22" s="28">
        <f>SUM(Emissions!AK44:AK45)</f>
        <v>0.13379401474420949</v>
      </c>
      <c r="AJ22" s="28">
        <f>SUM(Emissions!AL44:AL45)</f>
        <v>0.13459355841219892</v>
      </c>
      <c r="AK22" s="28">
        <f>SUM(Emissions!AM44:AM45)</f>
        <v>0.13520345921156837</v>
      </c>
      <c r="AL22" s="28">
        <f>SUM(Emissions!AN44:AN45)</f>
        <v>0.13573098354933635</v>
      </c>
      <c r="AM22" s="28">
        <f>SUM(Emissions!AO44:AO45)</f>
        <v>0.13617483276697748</v>
      </c>
      <c r="AN22" s="28">
        <f>SUM(Emissions!AP44:AP45)</f>
        <v>0.13661059944918955</v>
      </c>
      <c r="AO22" s="28">
        <f>SUM(Emissions!AQ44:AQ45)</f>
        <v>0.13703358996364853</v>
      </c>
      <c r="AP22" s="28">
        <f>SUM(Emissions!AR44:AR45)</f>
        <v>0.13744653583474975</v>
      </c>
      <c r="AQ22" s="28">
        <f>SUM(Emissions!AS44:AS45)</f>
        <v>0.13784414248773552</v>
      </c>
      <c r="AR22" s="28">
        <f>SUM(Emissions!AT44:AT45)</f>
        <v>0.13822523105173457</v>
      </c>
      <c r="AS22" s="28">
        <f>SUM(Emissions!AU44:AU45)</f>
        <v>0.13859704302647935</v>
      </c>
      <c r="AT22" s="28">
        <f>SUM(Emissions!AV44:AV45)</f>
        <v>0.13895101450542915</v>
      </c>
      <c r="AU22" s="28">
        <f>SUM(Emissions!AW44:AW45)</f>
        <v>0.13929999730189985</v>
      </c>
      <c r="AV22" s="28">
        <f>SUM(Emissions!AX44:AX45)</f>
        <v>0.13963519340058711</v>
      </c>
      <c r="AW22" s="28">
        <f>SUM(Emissions!AY44:AY45)</f>
        <v>0.13995566918727065</v>
      </c>
      <c r="AX22" s="28">
        <f>SUM(Emissions!AZ44:AZ45)</f>
        <v>0.14026022136840069</v>
      </c>
      <c r="AY22" s="28">
        <f>SUM(Emissions!BA44:BA45)</f>
        <v>0.14055178928160672</v>
      </c>
      <c r="AZ22" s="28">
        <f>SUM(Emissions!BB44:BB45)</f>
        <v>0.14082945789384216</v>
      </c>
      <c r="BA22" s="28">
        <f>SUM(Emissions!BC44:BC45)</f>
        <v>0.14109156544092533</v>
      </c>
      <c r="BB22" s="28">
        <f>SUM(Emissions!BD44:BD45)</f>
        <v>0.14133524797659219</v>
      </c>
      <c r="BC22" s="28">
        <f>SUM(Emissions!BE44:BE45)</f>
        <v>0.14156462150965668</v>
      </c>
      <c r="BD22" s="28">
        <f>SUM(Emissions!BF44:BF45)</f>
        <v>0.14178018365392289</v>
      </c>
      <c r="BE22" s="28">
        <f>SUM(Emissions!BG44:BG45)</f>
        <v>0.14198067772566286</v>
      </c>
      <c r="BF22" s="28">
        <f>SUM(Emissions!BH44:BH45)</f>
        <v>0.1421652828707764</v>
      </c>
      <c r="BG22" s="28">
        <f>SUM(Emissions!BI44:BI45)</f>
        <v>0.14233348067635213</v>
      </c>
      <c r="BH22" s="28">
        <f>SUM(Emissions!BJ44:BJ45)</f>
        <v>0.14248483802878883</v>
      </c>
      <c r="BI22" s="28">
        <f>SUM(Emissions!BK44:BK45)</f>
        <v>0.14261931401116759</v>
      </c>
      <c r="BJ22" s="28">
        <f>SUM(Emissions!BL44:BL45)</f>
        <v>0.14273047962753702</v>
      </c>
      <c r="BK22" s="28">
        <f>SUM(Emissions!BM44:BM45)</f>
        <v>0.14282358948463814</v>
      </c>
      <c r="BL22" s="28">
        <f>SUM(Emissions!BN44:BN45)</f>
        <v>0.14289866350452785</v>
      </c>
      <c r="BM22" s="28">
        <f>SUM(Emissions!BO44:BO45)</f>
        <v>0.14295515852141458</v>
      </c>
      <c r="BN22" s="28">
        <f>SUM(Emissions!BP44:BP45)</f>
        <v>0.14299409655645348</v>
      </c>
    </row>
    <row r="23" spans="1:66" x14ac:dyDescent="0.25">
      <c r="A23" t="str">
        <f t="shared" si="2"/>
        <v>3A Livestock</v>
      </c>
      <c r="B23" t="str">
        <f t="shared" si="14"/>
        <v>3A2 Manure management (N2O)</v>
      </c>
      <c r="C23" t="str">
        <f t="shared" si="13"/>
        <v>3A2f Horses</v>
      </c>
      <c r="D23" t="str">
        <f t="shared" si="15"/>
        <v>N2O</v>
      </c>
      <c r="E23" t="str">
        <f t="shared" si="16"/>
        <v>Gg N2O</v>
      </c>
      <c r="F23" s="28" t="str">
        <f>Emissions!H46</f>
        <v>NO</v>
      </c>
      <c r="G23" s="28" t="str">
        <f>Emissions!I46</f>
        <v>NO</v>
      </c>
      <c r="H23" s="28" t="str">
        <f>Emissions!J46</f>
        <v>NO</v>
      </c>
      <c r="I23" s="28" t="str">
        <f>Emissions!K46</f>
        <v>NO</v>
      </c>
      <c r="J23" s="28" t="str">
        <f>Emissions!L46</f>
        <v>NO</v>
      </c>
      <c r="K23" s="28" t="str">
        <f>Emissions!M46</f>
        <v>NO</v>
      </c>
      <c r="L23" s="28" t="str">
        <f>Emissions!N46</f>
        <v>NO</v>
      </c>
      <c r="M23" s="28" t="str">
        <f>Emissions!O46</f>
        <v>NO</v>
      </c>
      <c r="N23" s="28" t="str">
        <f>Emissions!P46</f>
        <v>NO</v>
      </c>
      <c r="O23" s="28" t="str">
        <f>Emissions!Q46</f>
        <v>NO</v>
      </c>
      <c r="P23" s="28" t="str">
        <f>Emissions!R46</f>
        <v>NO</v>
      </c>
      <c r="Q23" s="28" t="str">
        <f>Emissions!S46</f>
        <v>NO</v>
      </c>
      <c r="R23" s="28" t="str">
        <f>Emissions!T46</f>
        <v>NO</v>
      </c>
      <c r="S23" s="28" t="str">
        <f>Emissions!U46</f>
        <v>NO</v>
      </c>
      <c r="T23" s="28" t="str">
        <f>Emissions!V46</f>
        <v>NO</v>
      </c>
      <c r="U23" s="28" t="str">
        <f>Emissions!W46</f>
        <v>NO</v>
      </c>
      <c r="V23" s="28" t="str">
        <f>Emissions!X46</f>
        <v>NO</v>
      </c>
      <c r="W23" s="28" t="str">
        <f>Emissions!Y46</f>
        <v>NO</v>
      </c>
      <c r="X23" s="28" t="str">
        <f>Emissions!Z46</f>
        <v>NO</v>
      </c>
      <c r="Y23" s="28" t="str">
        <f>Emissions!AA46</f>
        <v>NO</v>
      </c>
      <c r="Z23" s="28" t="str">
        <f>Emissions!AB46</f>
        <v>NO</v>
      </c>
      <c r="AA23" s="28" t="str">
        <f>Emissions!AC46</f>
        <v>NO</v>
      </c>
      <c r="AB23" s="28" t="str">
        <f>Emissions!AD46</f>
        <v>NO</v>
      </c>
      <c r="AC23" s="28" t="str">
        <f>Emissions!AE46</f>
        <v>NO</v>
      </c>
      <c r="AD23" s="28" t="str">
        <f>Emissions!AF46</f>
        <v>NO</v>
      </c>
      <c r="AE23" s="28" t="str">
        <f>Emissions!AG46</f>
        <v>NO</v>
      </c>
      <c r="AF23" s="28" t="str">
        <f>Emissions!AH46</f>
        <v>NO</v>
      </c>
      <c r="AG23" s="28" t="str">
        <f>Emissions!AI46</f>
        <v>NO</v>
      </c>
      <c r="AH23" s="28" t="str">
        <f>Emissions!AJ46</f>
        <v>NO</v>
      </c>
      <c r="AI23" s="28" t="str">
        <f>Emissions!AK46</f>
        <v>NO</v>
      </c>
      <c r="AJ23" s="28" t="str">
        <f>Emissions!AL46</f>
        <v>NO</v>
      </c>
      <c r="AK23" s="28" t="str">
        <f>Emissions!AM46</f>
        <v>NO</v>
      </c>
      <c r="AL23" s="28" t="str">
        <f>Emissions!AN46</f>
        <v>NO</v>
      </c>
      <c r="AM23" s="28" t="str">
        <f>Emissions!AO46</f>
        <v>NO</v>
      </c>
      <c r="AN23" s="28" t="str">
        <f>Emissions!AP46</f>
        <v>NO</v>
      </c>
      <c r="AO23" s="28" t="str">
        <f>Emissions!AQ46</f>
        <v>NO</v>
      </c>
      <c r="AP23" s="28" t="str">
        <f>Emissions!AR46</f>
        <v>NO</v>
      </c>
      <c r="AQ23" s="28" t="str">
        <f>Emissions!AS46</f>
        <v>NO</v>
      </c>
      <c r="AR23" s="28" t="str">
        <f>Emissions!AT46</f>
        <v>NO</v>
      </c>
      <c r="AS23" s="28" t="str">
        <f>Emissions!AU46</f>
        <v>NO</v>
      </c>
      <c r="AT23" s="28" t="str">
        <f>Emissions!AV46</f>
        <v>NO</v>
      </c>
      <c r="AU23" s="28" t="str">
        <f>Emissions!AW46</f>
        <v>NO</v>
      </c>
      <c r="AV23" s="28" t="str">
        <f>Emissions!AX46</f>
        <v>NO</v>
      </c>
      <c r="AW23" s="28" t="str">
        <f>Emissions!AY46</f>
        <v>NO</v>
      </c>
      <c r="AX23" s="28" t="str">
        <f>Emissions!AZ46</f>
        <v>NO</v>
      </c>
      <c r="AY23" s="28" t="str">
        <f>Emissions!BA46</f>
        <v>NO</v>
      </c>
      <c r="AZ23" s="28" t="str">
        <f>Emissions!BB46</f>
        <v>NO</v>
      </c>
      <c r="BA23" s="28" t="str">
        <f>Emissions!BC46</f>
        <v>NO</v>
      </c>
      <c r="BB23" s="28" t="str">
        <f>Emissions!BD46</f>
        <v>NO</v>
      </c>
      <c r="BC23" s="28" t="str">
        <f>Emissions!BE46</f>
        <v>NO</v>
      </c>
      <c r="BD23" s="28" t="str">
        <f>Emissions!BF46</f>
        <v>NO</v>
      </c>
      <c r="BE23" s="28" t="str">
        <f>Emissions!BG46</f>
        <v>NO</v>
      </c>
      <c r="BF23" s="28" t="str">
        <f>Emissions!BH46</f>
        <v>NO</v>
      </c>
      <c r="BG23" s="28" t="str">
        <f>Emissions!BI46</f>
        <v>NO</v>
      </c>
      <c r="BH23" s="28" t="str">
        <f>Emissions!BJ46</f>
        <v>NO</v>
      </c>
      <c r="BI23" s="28" t="str">
        <f>Emissions!BK46</f>
        <v>NO</v>
      </c>
      <c r="BJ23" s="28" t="str">
        <f>Emissions!BL46</f>
        <v>NO</v>
      </c>
      <c r="BK23" s="28" t="str">
        <f>Emissions!BM46</f>
        <v>NO</v>
      </c>
      <c r="BL23" s="28" t="str">
        <f>Emissions!BN46</f>
        <v>NO</v>
      </c>
      <c r="BM23" s="28" t="str">
        <f>Emissions!BO46</f>
        <v>NO</v>
      </c>
      <c r="BN23" s="28" t="str">
        <f>Emissions!BP46</f>
        <v>NO</v>
      </c>
    </row>
    <row r="24" spans="1:66" x14ac:dyDescent="0.25">
      <c r="A24" t="str">
        <f t="shared" si="2"/>
        <v>3A Livestock</v>
      </c>
      <c r="B24" t="str">
        <f t="shared" si="14"/>
        <v>3A2 Manure management (N2O)</v>
      </c>
      <c r="C24" t="str">
        <f t="shared" si="13"/>
        <v>3A2g Mules &amp; asses</v>
      </c>
      <c r="D24" t="str">
        <f t="shared" si="15"/>
        <v>N2O</v>
      </c>
      <c r="E24" t="str">
        <f t="shared" si="16"/>
        <v>Gg N2O</v>
      </c>
      <c r="F24" s="28" t="str">
        <f>Emissions!H47</f>
        <v>NO</v>
      </c>
      <c r="G24" s="28" t="str">
        <f>Emissions!I47</f>
        <v>NO</v>
      </c>
      <c r="H24" s="28" t="str">
        <f>Emissions!J47</f>
        <v>NO</v>
      </c>
      <c r="I24" s="28" t="str">
        <f>Emissions!K47</f>
        <v>NO</v>
      </c>
      <c r="J24" s="28" t="str">
        <f>Emissions!L47</f>
        <v>NO</v>
      </c>
      <c r="K24" s="28" t="str">
        <f>Emissions!M47</f>
        <v>NO</v>
      </c>
      <c r="L24" s="28" t="str">
        <f>Emissions!N47</f>
        <v>NO</v>
      </c>
      <c r="M24" s="28" t="str">
        <f>Emissions!O47</f>
        <v>NO</v>
      </c>
      <c r="N24" s="28" t="str">
        <f>Emissions!P47</f>
        <v>NO</v>
      </c>
      <c r="O24" s="28" t="str">
        <f>Emissions!Q47</f>
        <v>NO</v>
      </c>
      <c r="P24" s="28" t="str">
        <f>Emissions!R47</f>
        <v>NO</v>
      </c>
      <c r="Q24" s="28" t="str">
        <f>Emissions!S47</f>
        <v>NO</v>
      </c>
      <c r="R24" s="28" t="str">
        <f>Emissions!T47</f>
        <v>NO</v>
      </c>
      <c r="S24" s="28" t="str">
        <f>Emissions!U47</f>
        <v>NO</v>
      </c>
      <c r="T24" s="28" t="str">
        <f>Emissions!V47</f>
        <v>NO</v>
      </c>
      <c r="U24" s="28" t="str">
        <f>Emissions!W47</f>
        <v>NO</v>
      </c>
      <c r="V24" s="28" t="str">
        <f>Emissions!X47</f>
        <v>NO</v>
      </c>
      <c r="W24" s="28" t="str">
        <f>Emissions!Y47</f>
        <v>NO</v>
      </c>
      <c r="X24" s="28" t="str">
        <f>Emissions!Z47</f>
        <v>NO</v>
      </c>
      <c r="Y24" s="28" t="str">
        <f>Emissions!AA47</f>
        <v>NO</v>
      </c>
      <c r="Z24" s="28" t="str">
        <f>Emissions!AB47</f>
        <v>NO</v>
      </c>
      <c r="AA24" s="28" t="str">
        <f>Emissions!AC47</f>
        <v>NO</v>
      </c>
      <c r="AB24" s="28" t="str">
        <f>Emissions!AD47</f>
        <v>NO</v>
      </c>
      <c r="AC24" s="28" t="str">
        <f>Emissions!AE47</f>
        <v>NO</v>
      </c>
      <c r="AD24" s="28" t="str">
        <f>Emissions!AF47</f>
        <v>NO</v>
      </c>
      <c r="AE24" s="28" t="str">
        <f>Emissions!AG47</f>
        <v>NO</v>
      </c>
      <c r="AF24" s="28" t="str">
        <f>Emissions!AH47</f>
        <v>NO</v>
      </c>
      <c r="AG24" s="28" t="str">
        <f>Emissions!AI47</f>
        <v>NO</v>
      </c>
      <c r="AH24" s="28" t="str">
        <f>Emissions!AJ47</f>
        <v>NO</v>
      </c>
      <c r="AI24" s="28" t="str">
        <f>Emissions!AK47</f>
        <v>NO</v>
      </c>
      <c r="AJ24" s="28" t="str">
        <f>Emissions!AL47</f>
        <v>NO</v>
      </c>
      <c r="AK24" s="28" t="str">
        <f>Emissions!AM47</f>
        <v>NO</v>
      </c>
      <c r="AL24" s="28" t="str">
        <f>Emissions!AN47</f>
        <v>NO</v>
      </c>
      <c r="AM24" s="28" t="str">
        <f>Emissions!AO47</f>
        <v>NO</v>
      </c>
      <c r="AN24" s="28" t="str">
        <f>Emissions!AP47</f>
        <v>NO</v>
      </c>
      <c r="AO24" s="28" t="str">
        <f>Emissions!AQ47</f>
        <v>NO</v>
      </c>
      <c r="AP24" s="28" t="str">
        <f>Emissions!AR47</f>
        <v>NO</v>
      </c>
      <c r="AQ24" s="28" t="str">
        <f>Emissions!AS47</f>
        <v>NO</v>
      </c>
      <c r="AR24" s="28" t="str">
        <f>Emissions!AT47</f>
        <v>NO</v>
      </c>
      <c r="AS24" s="28" t="str">
        <f>Emissions!AU47</f>
        <v>NO</v>
      </c>
      <c r="AT24" s="28" t="str">
        <f>Emissions!AV47</f>
        <v>NO</v>
      </c>
      <c r="AU24" s="28" t="str">
        <f>Emissions!AW47</f>
        <v>NO</v>
      </c>
      <c r="AV24" s="28" t="str">
        <f>Emissions!AX47</f>
        <v>NO</v>
      </c>
      <c r="AW24" s="28" t="str">
        <f>Emissions!AY47</f>
        <v>NO</v>
      </c>
      <c r="AX24" s="28" t="str">
        <f>Emissions!AZ47</f>
        <v>NO</v>
      </c>
      <c r="AY24" s="28" t="str">
        <f>Emissions!BA47</f>
        <v>NO</v>
      </c>
      <c r="AZ24" s="28" t="str">
        <f>Emissions!BB47</f>
        <v>NO</v>
      </c>
      <c r="BA24" s="28" t="str">
        <f>Emissions!BC47</f>
        <v>NO</v>
      </c>
      <c r="BB24" s="28" t="str">
        <f>Emissions!BD47</f>
        <v>NO</v>
      </c>
      <c r="BC24" s="28" t="str">
        <f>Emissions!BE47</f>
        <v>NO</v>
      </c>
      <c r="BD24" s="28" t="str">
        <f>Emissions!BF47</f>
        <v>NO</v>
      </c>
      <c r="BE24" s="28" t="str">
        <f>Emissions!BG47</f>
        <v>NO</v>
      </c>
      <c r="BF24" s="28" t="str">
        <f>Emissions!BH47</f>
        <v>NO</v>
      </c>
      <c r="BG24" s="28" t="str">
        <f>Emissions!BI47</f>
        <v>NO</v>
      </c>
      <c r="BH24" s="28" t="str">
        <f>Emissions!BJ47</f>
        <v>NO</v>
      </c>
      <c r="BI24" s="28" t="str">
        <f>Emissions!BK47</f>
        <v>NO</v>
      </c>
      <c r="BJ24" s="28" t="str">
        <f>Emissions!BL47</f>
        <v>NO</v>
      </c>
      <c r="BK24" s="28" t="str">
        <f>Emissions!BM47</f>
        <v>NO</v>
      </c>
      <c r="BL24" s="28" t="str">
        <f>Emissions!BN47</f>
        <v>NO</v>
      </c>
      <c r="BM24" s="28" t="str">
        <f>Emissions!BO47</f>
        <v>NO</v>
      </c>
      <c r="BN24" s="28" t="str">
        <f>Emissions!BP47</f>
        <v>NO</v>
      </c>
    </row>
    <row r="25" spans="1:66" x14ac:dyDescent="0.25">
      <c r="A25" t="str">
        <f t="shared" si="2"/>
        <v>3A Livestock</v>
      </c>
      <c r="B25" t="str">
        <f t="shared" si="14"/>
        <v>3A2 Manure management (N2O)</v>
      </c>
      <c r="C25" t="str">
        <f t="shared" si="13"/>
        <v>3A2h Swine</v>
      </c>
      <c r="D25" t="str">
        <f t="shared" si="15"/>
        <v>N2O</v>
      </c>
      <c r="E25" t="str">
        <f t="shared" si="16"/>
        <v>Gg N2O</v>
      </c>
      <c r="F25" s="28">
        <f>SUM(Emissions!H48:H49)</f>
        <v>0.12329867623327949</v>
      </c>
      <c r="G25" s="28">
        <f>SUM(Emissions!I48:I49)</f>
        <v>0.13470623092415376</v>
      </c>
      <c r="H25" s="28">
        <f>SUM(Emissions!J48:J49)</f>
        <v>0.13381627984897917</v>
      </c>
      <c r="I25" s="28">
        <f>SUM(Emissions!K48:K49)</f>
        <v>0.13373537520578149</v>
      </c>
      <c r="J25" s="28">
        <f>SUM(Emissions!L48:L49)</f>
        <v>0.12702028982037319</v>
      </c>
      <c r="K25" s="28">
        <f>SUM(Emissions!M48:M49)</f>
        <v>0.12823385946833857</v>
      </c>
      <c r="L25" s="28">
        <f>SUM(Emissions!N48:N49)</f>
        <v>0.13810422593845673</v>
      </c>
      <c r="M25" s="28">
        <f>SUM(Emissions!O48:O49)</f>
        <v>0.13745698879287524</v>
      </c>
      <c r="N25" s="28">
        <f>SUM(Emissions!P48:P49)</f>
        <v>0.14045046059118976</v>
      </c>
      <c r="O25" s="28">
        <f>SUM(Emissions!Q48:Q49)</f>
        <v>0.14401026489188812</v>
      </c>
      <c r="P25" s="28">
        <f>SUM(Emissions!R48:R49)</f>
        <v>0.13324994734659534</v>
      </c>
      <c r="Q25" s="28">
        <f>SUM(Emissions!S48:S49)</f>
        <v>0.13575799128572374</v>
      </c>
      <c r="R25" s="28">
        <f>SUM(Emissions!T48:T49)</f>
        <v>0.1383469398680498</v>
      </c>
      <c r="S25" s="28">
        <f>SUM(Emissions!U48:U49)</f>
        <v>0.1345444216377584</v>
      </c>
      <c r="T25" s="28">
        <f>SUM(Emissions!V48:V49)</f>
        <v>0.1345444216377584</v>
      </c>
      <c r="U25" s="28">
        <f>SUM(Emissions!W48:W49)</f>
        <v>0.1335735659193861</v>
      </c>
      <c r="V25" s="28">
        <f>SUM(Emissions!X48:X49)</f>
        <v>0.13122733126665309</v>
      </c>
      <c r="W25" s="28">
        <f>SUM(Emissions!Y48:Y49)</f>
        <v>0.1335735659193861</v>
      </c>
      <c r="X25" s="28">
        <f>SUM(Emissions!Z48:Z49)</f>
        <v>0.13066099876426929</v>
      </c>
      <c r="Y25" s="28">
        <f>SUM(Emissions!AA48:AA49)</f>
        <v>0.13049918947787389</v>
      </c>
      <c r="Z25" s="28">
        <f>SUM(Emissions!AB48:AB49)</f>
        <v>0.12896200125711779</v>
      </c>
      <c r="AA25" s="28">
        <f>SUM(Emissions!AC48:AC49)</f>
        <v>0.12815295482514089</v>
      </c>
      <c r="AB25" s="28">
        <f>SUM(Emissions!AD48:AD49)</f>
        <v>0.13624655115823153</v>
      </c>
      <c r="AC25" s="28">
        <f>SUM(Emissions!AE48:AE49)</f>
        <v>0.13624131708436601</v>
      </c>
      <c r="AD25" s="28">
        <f>SUM(Emissions!AF48:AF49)</f>
        <v>0.1349601273772261</v>
      </c>
      <c r="AE25" s="28">
        <f>SUM(Emissions!AG48:AG49)</f>
        <v>0.13270959418980879</v>
      </c>
      <c r="AF25" s="28">
        <f>SUM(Emissions!AH48:AH49)</f>
        <v>0.12990032219201059</v>
      </c>
      <c r="AG25" s="28">
        <f>SUM(Emissions!AI48:AI49)</f>
        <v>0.1276718358773232</v>
      </c>
      <c r="AH25" s="28">
        <f>SUM(Emissions!AJ48:AJ49)</f>
        <v>0.12581732147098471</v>
      </c>
      <c r="AI25" s="28">
        <f>SUM(Emissions!AK48:AK49)</f>
        <v>0.12397426839370768</v>
      </c>
      <c r="AJ25" s="28">
        <f>SUM(Emissions!AL48:AL49)</f>
        <v>0.10802703964861292</v>
      </c>
      <c r="AK25" s="28">
        <f>SUM(Emissions!AM48:AM49)</f>
        <v>0.10820636001995962</v>
      </c>
      <c r="AL25" s="28">
        <f>SUM(Emissions!AN48:AN49)</f>
        <v>0.10842921429867557</v>
      </c>
      <c r="AM25" s="28">
        <f>SUM(Emissions!AO48:AO49)</f>
        <v>0.1089698638275895</v>
      </c>
      <c r="AN25" s="28">
        <f>SUM(Emissions!AP48:AP49)</f>
        <v>0.10969114785020884</v>
      </c>
      <c r="AO25" s="28">
        <f>SUM(Emissions!AQ48:AQ49)</f>
        <v>0.11034163782176352</v>
      </c>
      <c r="AP25" s="28">
        <f>SUM(Emissions!AR48:AR49)</f>
        <v>0.11142731389839616</v>
      </c>
      <c r="AQ25" s="28">
        <f>SUM(Emissions!AS48:AS49)</f>
        <v>0.11259323555125597</v>
      </c>
      <c r="AR25" s="28">
        <f>SUM(Emissions!AT48:AT49)</f>
        <v>0.11389991433270388</v>
      </c>
      <c r="AS25" s="28">
        <f>SUM(Emissions!AU48:AU49)</f>
        <v>0.11526557123478251</v>
      </c>
      <c r="AT25" s="28">
        <f>SUM(Emissions!AV48:AV49)</f>
        <v>0.11599564606890778</v>
      </c>
      <c r="AU25" s="28">
        <f>SUM(Emissions!AW48:AW49)</f>
        <v>0.11748401599943617</v>
      </c>
      <c r="AV25" s="28">
        <f>SUM(Emissions!AX48:AX49)</f>
        <v>0.11898492809877653</v>
      </c>
      <c r="AW25" s="28">
        <f>SUM(Emissions!AY48:AY49)</f>
        <v>0.12052039494744596</v>
      </c>
      <c r="AX25" s="28">
        <f>SUM(Emissions!AZ48:AZ49)</f>
        <v>0.12182606912180313</v>
      </c>
      <c r="AY25" s="28">
        <f>SUM(Emissions!BA48:BA49)</f>
        <v>0.12327080173413751</v>
      </c>
      <c r="AZ25" s="28">
        <f>SUM(Emissions!BB48:BB49)</f>
        <v>0.12485091940639614</v>
      </c>
      <c r="BA25" s="28">
        <f>SUM(Emissions!BC48:BC49)</f>
        <v>0.12649089291988674</v>
      </c>
      <c r="BB25" s="28">
        <f>SUM(Emissions!BD48:BD49)</f>
        <v>0.12800846290203965</v>
      </c>
      <c r="BC25" s="28">
        <f>SUM(Emissions!BE48:BE49)</f>
        <v>0.12958276434501892</v>
      </c>
      <c r="BD25" s="28">
        <f>SUM(Emissions!BF48:BF49)</f>
        <v>0.13131374673065452</v>
      </c>
      <c r="BE25" s="28">
        <f>SUM(Emissions!BG48:BG49)</f>
        <v>0.13314423632926287</v>
      </c>
      <c r="BF25" s="28">
        <f>SUM(Emissions!BH48:BH49)</f>
        <v>0.13505259724173979</v>
      </c>
      <c r="BG25" s="28">
        <f>SUM(Emissions!BI48:BI49)</f>
        <v>0.13703971928373607</v>
      </c>
      <c r="BH25" s="28">
        <f>SUM(Emissions!BJ48:BJ49)</f>
        <v>0.13910074006630244</v>
      </c>
      <c r="BI25" s="28">
        <f>SUM(Emissions!BK48:BK49)</f>
        <v>0.14126861039036945</v>
      </c>
      <c r="BJ25" s="28">
        <f>SUM(Emissions!BL48:BL49)</f>
        <v>0.14306753527815838</v>
      </c>
      <c r="BK25" s="28">
        <f>SUM(Emissions!BM48:BM49)</f>
        <v>0.14495400550145646</v>
      </c>
      <c r="BL25" s="28">
        <f>SUM(Emissions!BN48:BN49)</f>
        <v>0.146955933128981</v>
      </c>
      <c r="BM25" s="28">
        <f>SUM(Emissions!BO48:BO49)</f>
        <v>0.14908326419054083</v>
      </c>
      <c r="BN25" s="28">
        <f>SUM(Emissions!BP48:BP49)</f>
        <v>0.15143164612795285</v>
      </c>
    </row>
    <row r="26" spans="1:66" x14ac:dyDescent="0.25">
      <c r="A26" t="str">
        <f t="shared" si="2"/>
        <v>3A Livestock</v>
      </c>
      <c r="B26" t="str">
        <f t="shared" si="14"/>
        <v>3A2 Manure management (N2O)</v>
      </c>
      <c r="C26" t="str">
        <f t="shared" si="13"/>
        <v>3A2i Poultry</v>
      </c>
      <c r="D26" t="str">
        <f t="shared" si="15"/>
        <v>N2O</v>
      </c>
      <c r="E26" t="str">
        <f t="shared" si="16"/>
        <v>Gg N2O</v>
      </c>
      <c r="F26" s="28">
        <f>SUM(Emissions!H50:H53)</f>
        <v>0.97142643116498173</v>
      </c>
      <c r="G26" s="28">
        <f>SUM(Emissions!I50:I53)</f>
        <v>0.91979947773956539</v>
      </c>
      <c r="H26" s="28">
        <f>SUM(Emissions!J50:J53)</f>
        <v>0.86996640861962027</v>
      </c>
      <c r="I26" s="28">
        <f>SUM(Emissions!K50:K53)</f>
        <v>0.95105089689588118</v>
      </c>
      <c r="J26" s="28">
        <f>SUM(Emissions!L50:L53)</f>
        <v>0.93558760332506563</v>
      </c>
      <c r="K26" s="28">
        <f>SUM(Emissions!M50:M53)</f>
        <v>1.0610980244624493</v>
      </c>
      <c r="L26" s="28">
        <f>SUM(Emissions!N50:N53)</f>
        <v>1.2124779056940209</v>
      </c>
      <c r="M26" s="28">
        <f>SUM(Emissions!O50:O53)</f>
        <v>1.2310774331909755</v>
      </c>
      <c r="N26" s="28">
        <f>SUM(Emissions!P50:P53)</f>
        <v>1.3553349187397734</v>
      </c>
      <c r="O26" s="28">
        <f>SUM(Emissions!Q50:Q53)</f>
        <v>1.4216688462228295</v>
      </c>
      <c r="P26" s="28">
        <f>SUM(Emissions!R50:R53)</f>
        <v>1.5047428388913393</v>
      </c>
      <c r="Q26" s="28">
        <f>SUM(Emissions!S50:S53)</f>
        <v>1.4682944579243469</v>
      </c>
      <c r="R26" s="28">
        <f>SUM(Emissions!T50:T53)</f>
        <v>1.5974517753633082</v>
      </c>
      <c r="S26" s="28">
        <f>SUM(Emissions!U50:U53)</f>
        <v>1.5216968274171625</v>
      </c>
      <c r="T26" s="28">
        <f>SUM(Emissions!V50:V53)</f>
        <v>1.561402779749649</v>
      </c>
      <c r="U26" s="28">
        <f>SUM(Emissions!W50:W53)</f>
        <v>1.715924170745724</v>
      </c>
      <c r="V26" s="28">
        <f>SUM(Emissions!X50:X53)</f>
        <v>1.8445047156055465</v>
      </c>
      <c r="W26" s="28">
        <f>SUM(Emissions!Y50:Y53)</f>
        <v>1.9478096113399568</v>
      </c>
      <c r="X26" s="28">
        <f>SUM(Emissions!Z50:Z53)</f>
        <v>2.0569289282113736</v>
      </c>
      <c r="Y26" s="28">
        <f>SUM(Emissions!AA50:AA53)</f>
        <v>1.9474443632124327</v>
      </c>
      <c r="Z26" s="28">
        <f>SUM(Emissions!AB50:AB53)</f>
        <v>2.0008545268528479</v>
      </c>
      <c r="AA26" s="28">
        <f>SUM(Emissions!AC50:AC53)</f>
        <v>2.0733749858055939</v>
      </c>
      <c r="AB26" s="28">
        <f>SUM(Emissions!AD50:AD53)</f>
        <v>2.1283820268021771</v>
      </c>
      <c r="AC26" s="28">
        <f>SUM(Emissions!AE50:AE53)</f>
        <v>2.1736932813501619</v>
      </c>
      <c r="AD26" s="28">
        <f>SUM(Emissions!AF50:AF53)</f>
        <v>2.1914001746857066</v>
      </c>
      <c r="AE26" s="28">
        <f>SUM(Emissions!AG50:AG53)</f>
        <v>2.1868858106266829</v>
      </c>
      <c r="AF26" s="28">
        <f>SUM(Emissions!AH50:AH53)</f>
        <v>2.1681587225690615</v>
      </c>
      <c r="AG26" s="28">
        <f>SUM(Emissions!AI50:AI53)</f>
        <v>2.1596748383106039</v>
      </c>
      <c r="AH26" s="28">
        <f>SUM(Emissions!AJ50:AJ53)</f>
        <v>2.1577504915499328</v>
      </c>
      <c r="AI26" s="28">
        <f>SUM(Emissions!AK50:AK53)</f>
        <v>2.1546343709574285</v>
      </c>
      <c r="AJ26" s="28">
        <f>SUM(Emissions!AL50:AL53)</f>
        <v>1.8281496088487141</v>
      </c>
      <c r="AK26" s="28">
        <f>SUM(Emissions!AM50:AM53)</f>
        <v>1.8664589030561474</v>
      </c>
      <c r="AL26" s="28">
        <f>SUM(Emissions!AN50:AN53)</f>
        <v>1.9064503240563322</v>
      </c>
      <c r="AM26" s="28">
        <f>SUM(Emissions!AO50:AO53)</f>
        <v>1.9547464698623886</v>
      </c>
      <c r="AN26" s="28">
        <f>SUM(Emissions!AP50:AP53)</f>
        <v>2.0079958569805987</v>
      </c>
      <c r="AO26" s="28">
        <f>SUM(Emissions!AQ50:AQ53)</f>
        <v>2.0602681662028348</v>
      </c>
      <c r="AP26" s="28">
        <f>SUM(Emissions!AR50:AR53)</f>
        <v>2.1240912664769258</v>
      </c>
      <c r="AQ26" s="28">
        <f>SUM(Emissions!AS50:AS53)</f>
        <v>2.1910201051935569</v>
      </c>
      <c r="AR26" s="28">
        <f>SUM(Emissions!AT50:AT53)</f>
        <v>2.2627232371823864</v>
      </c>
      <c r="AS26" s="28">
        <f>SUM(Emissions!AU50:AU53)</f>
        <v>2.3372290921996259</v>
      </c>
      <c r="AT26" s="28">
        <f>SUM(Emissions!AV50:AV53)</f>
        <v>2.3964548686011362</v>
      </c>
      <c r="AU26" s="28">
        <f>SUM(Emissions!AW50:AW53)</f>
        <v>2.4767690422894098</v>
      </c>
      <c r="AV26" s="28">
        <f>SUM(Emissions!AX50:AX53)</f>
        <v>2.5589613542994809</v>
      </c>
      <c r="AW26" s="28">
        <f>SUM(Emissions!AY50:AY53)</f>
        <v>2.643692796503299</v>
      </c>
      <c r="AX26" s="28">
        <f>SUM(Emissions!AZ50:AZ53)</f>
        <v>2.7237359599750905</v>
      </c>
      <c r="AY26" s="28">
        <f>SUM(Emissions!BA50:BA53)</f>
        <v>2.8092090484285936</v>
      </c>
      <c r="AZ26" s="28">
        <f>SUM(Emissions!BB50:BB53)</f>
        <v>2.9002105598423409</v>
      </c>
      <c r="BA26" s="28">
        <f>SUM(Emissions!BC50:BC53)</f>
        <v>2.994773807181403</v>
      </c>
      <c r="BB26" s="28">
        <f>SUM(Emissions!BD50:BD53)</f>
        <v>3.0877148537472427</v>
      </c>
      <c r="BC26" s="28">
        <f>SUM(Emissions!BE50:BE53)</f>
        <v>3.1842183809281175</v>
      </c>
      <c r="BD26" s="28">
        <f>SUM(Emissions!BF50:BF53)</f>
        <v>3.2873942825116993</v>
      </c>
      <c r="BE26" s="28">
        <f>SUM(Emissions!BG50:BG53)</f>
        <v>3.3957558223410329</v>
      </c>
      <c r="BF26" s="28">
        <f>SUM(Emissions!BH50:BH53)</f>
        <v>3.5088219873122868</v>
      </c>
      <c r="BG26" s="28">
        <f>SUM(Emissions!BI50:BI53)</f>
        <v>3.6267825622981973</v>
      </c>
      <c r="BH26" s="28">
        <f>SUM(Emissions!BJ50:BJ53)</f>
        <v>3.7496521760957862</v>
      </c>
      <c r="BI26" s="28">
        <f>SUM(Emissions!BK50:BK53)</f>
        <v>3.8786510825524232</v>
      </c>
      <c r="BJ26" s="28">
        <f>SUM(Emissions!BL50:BL53)</f>
        <v>3.9985946702110096</v>
      </c>
      <c r="BK26" s="28">
        <f>SUM(Emissions!BM50:BM53)</f>
        <v>4.1240587392060446</v>
      </c>
      <c r="BL26" s="28">
        <f>SUM(Emissions!BN50:BN53)</f>
        <v>4.2561665136669093</v>
      </c>
      <c r="BM26" s="28">
        <f>SUM(Emissions!BO50:BO53)</f>
        <v>4.3954948934190483</v>
      </c>
      <c r="BN26" s="28">
        <f>SUM(Emissions!BP50:BP53)</f>
        <v>4.5455733160831588</v>
      </c>
    </row>
    <row r="27" spans="1:66" s="19" customFormat="1" ht="15.75" x14ac:dyDescent="0.25">
      <c r="A27" s="19" t="str">
        <f>'IPCC Categories'!A59</f>
        <v>3C Aggregated and non-CO2 emissions on land</v>
      </c>
      <c r="B27" s="19" t="str">
        <f>'IPCC Categories'!B59</f>
        <v>3C1 Biomass burning (CH4)</v>
      </c>
      <c r="C27" s="19" t="s">
        <v>148</v>
      </c>
      <c r="D27" s="19" t="s">
        <v>121</v>
      </c>
      <c r="E27" s="19" t="s">
        <v>286</v>
      </c>
      <c r="F27" s="49">
        <f>SUM(F28:F33)</f>
        <v>53.0453492171862</v>
      </c>
      <c r="G27" s="49">
        <f t="shared" ref="G27:BN27" si="17">SUM(G28:G33)</f>
        <v>53.0453492171862</v>
      </c>
      <c r="H27" s="49">
        <f t="shared" si="17"/>
        <v>53.0453492171862</v>
      </c>
      <c r="I27" s="49">
        <f t="shared" si="17"/>
        <v>53.0453492171862</v>
      </c>
      <c r="J27" s="49">
        <f t="shared" si="17"/>
        <v>53.0453492171862</v>
      </c>
      <c r="K27" s="49">
        <f t="shared" si="17"/>
        <v>53.0453492171862</v>
      </c>
      <c r="L27" s="49">
        <f t="shared" si="17"/>
        <v>53.0453492171862</v>
      </c>
      <c r="M27" s="49">
        <f t="shared" si="17"/>
        <v>53.0453492171862</v>
      </c>
      <c r="N27" s="49">
        <f t="shared" si="17"/>
        <v>53.0453492171862</v>
      </c>
      <c r="O27" s="49">
        <f t="shared" si="17"/>
        <v>53.0453492171862</v>
      </c>
      <c r="P27" s="49">
        <f t="shared" si="17"/>
        <v>52.546557109309774</v>
      </c>
      <c r="Q27" s="49">
        <f t="shared" si="17"/>
        <v>61.073892579993647</v>
      </c>
      <c r="R27" s="49">
        <f t="shared" si="17"/>
        <v>61.377028794942774</v>
      </c>
      <c r="S27" s="49">
        <f t="shared" si="17"/>
        <v>48.163551471837515</v>
      </c>
      <c r="T27" s="49">
        <f t="shared" si="17"/>
        <v>42.065716129847253</v>
      </c>
      <c r="U27" s="49">
        <f t="shared" si="17"/>
        <v>67.254014225099425</v>
      </c>
      <c r="V27" s="49">
        <f t="shared" si="17"/>
        <v>58.899233231775128</v>
      </c>
      <c r="W27" s="49">
        <f t="shared" si="17"/>
        <v>58.027482006018275</v>
      </c>
      <c r="X27" s="49">
        <f t="shared" si="17"/>
        <v>54.279261632604765</v>
      </c>
      <c r="Y27" s="49">
        <f t="shared" si="17"/>
        <v>51.374827411779322</v>
      </c>
      <c r="Z27" s="49">
        <f t="shared" si="17"/>
        <v>52.716909833999999</v>
      </c>
      <c r="AA27" s="49">
        <f t="shared" si="17"/>
        <v>52.066398634182001</v>
      </c>
      <c r="AB27" s="49">
        <f t="shared" si="17"/>
        <v>43.638049727653843</v>
      </c>
      <c r="AC27" s="49">
        <f t="shared" si="17"/>
        <v>45.605203762152264</v>
      </c>
      <c r="AD27" s="49">
        <f t="shared" si="17"/>
        <v>44.965256516650697</v>
      </c>
      <c r="AE27" s="49">
        <f t="shared" si="17"/>
        <v>44.370632311149102</v>
      </c>
      <c r="AF27" s="49">
        <f t="shared" si="17"/>
        <v>44.847337385647528</v>
      </c>
      <c r="AG27" s="49">
        <f t="shared" si="17"/>
        <v>45.270823420145945</v>
      </c>
      <c r="AH27" s="49">
        <f t="shared" si="17"/>
        <v>45.390629294644363</v>
      </c>
      <c r="AI27" s="49">
        <f t="shared" si="17"/>
        <v>45.56015529937843</v>
      </c>
      <c r="AJ27" s="49">
        <f t="shared" si="17"/>
        <v>45.729681304112475</v>
      </c>
      <c r="AK27" s="49">
        <f t="shared" si="17"/>
        <v>45.899207308846528</v>
      </c>
      <c r="AL27" s="49">
        <f t="shared" si="17"/>
        <v>46.068733313580573</v>
      </c>
      <c r="AM27" s="49">
        <f t="shared" si="17"/>
        <v>46.238259318314633</v>
      </c>
      <c r="AN27" s="49">
        <f t="shared" si="17"/>
        <v>46.407785323048678</v>
      </c>
      <c r="AO27" s="49">
        <f t="shared" si="17"/>
        <v>46.577311327782738</v>
      </c>
      <c r="AP27" s="49">
        <f t="shared" si="17"/>
        <v>46.74683733251679</v>
      </c>
      <c r="AQ27" s="49">
        <f t="shared" si="17"/>
        <v>46.916363337250836</v>
      </c>
      <c r="AR27" s="49">
        <f t="shared" si="17"/>
        <v>47.085889341984888</v>
      </c>
      <c r="AS27" s="49">
        <f t="shared" si="17"/>
        <v>47.255415346718941</v>
      </c>
      <c r="AT27" s="49">
        <f t="shared" si="17"/>
        <v>47.424941351453</v>
      </c>
      <c r="AU27" s="49">
        <f t="shared" si="17"/>
        <v>47.584388215769366</v>
      </c>
      <c r="AV27" s="49">
        <f t="shared" si="17"/>
        <v>47.743835080085738</v>
      </c>
      <c r="AW27" s="49">
        <f t="shared" si="17"/>
        <v>47.90328194440211</v>
      </c>
      <c r="AX27" s="49">
        <f t="shared" si="17"/>
        <v>48.062728808718475</v>
      </c>
      <c r="AY27" s="49">
        <f t="shared" si="17"/>
        <v>48.222175673034847</v>
      </c>
      <c r="AZ27" s="49">
        <f t="shared" si="17"/>
        <v>48.38162253735122</v>
      </c>
      <c r="BA27" s="49">
        <f t="shared" si="17"/>
        <v>48.541069401667592</v>
      </c>
      <c r="BB27" s="49">
        <f t="shared" si="17"/>
        <v>48.700516265983957</v>
      </c>
      <c r="BC27" s="49">
        <f t="shared" si="17"/>
        <v>48.846366490942629</v>
      </c>
      <c r="BD27" s="49">
        <f t="shared" si="17"/>
        <v>48.992216715901286</v>
      </c>
      <c r="BE27" s="49">
        <f t="shared" si="17"/>
        <v>49.138066940859957</v>
      </c>
      <c r="BF27" s="49">
        <f t="shared" si="17"/>
        <v>49.283917165818607</v>
      </c>
      <c r="BG27" s="49">
        <f t="shared" si="17"/>
        <v>49.429767390777279</v>
      </c>
      <c r="BH27" s="49">
        <f t="shared" si="17"/>
        <v>49.575617615735943</v>
      </c>
      <c r="BI27" s="49">
        <f t="shared" si="17"/>
        <v>49.721467840694608</v>
      </c>
      <c r="BJ27" s="49">
        <f t="shared" si="17"/>
        <v>49.867318065653272</v>
      </c>
      <c r="BK27" s="49">
        <f t="shared" si="17"/>
        <v>50.013168290611944</v>
      </c>
      <c r="BL27" s="49">
        <f t="shared" si="17"/>
        <v>50.159018515570601</v>
      </c>
      <c r="BM27" s="49">
        <f t="shared" si="17"/>
        <v>50.304868740529272</v>
      </c>
      <c r="BN27" s="49">
        <f t="shared" si="17"/>
        <v>50.45071896548793</v>
      </c>
    </row>
    <row r="28" spans="1:66" x14ac:dyDescent="0.25">
      <c r="A28" t="str">
        <f>'IPCC Categories'!A59</f>
        <v>3C Aggregated and non-CO2 emissions on land</v>
      </c>
      <c r="B28" t="str">
        <f>'IPCC Categories'!B59</f>
        <v>3C1 Biomass burning (CH4)</v>
      </c>
      <c r="C28" t="str">
        <f>'IPCC Categories'!C59</f>
        <v>3C1a Biomass burning in forest land</v>
      </c>
      <c r="D28" t="s">
        <v>121</v>
      </c>
      <c r="E28" t="s">
        <v>286</v>
      </c>
      <c r="F28" s="22">
        <f>SUMIF(Emissions!$C$54:$C$69,'Emissions summary'!$C28,Emissions!H$54:H$69)</f>
        <v>17.00038365344173</v>
      </c>
      <c r="G28" s="22">
        <f>SUMIF(Emissions!$C$54:$C$69,'Emissions summary'!$C28,Emissions!I$54:I$69)</f>
        <v>17.00038365344173</v>
      </c>
      <c r="H28" s="22">
        <f>SUMIF(Emissions!$C$54:$C$69,'Emissions summary'!$C28,Emissions!J$54:J$69)</f>
        <v>17.00038365344173</v>
      </c>
      <c r="I28" s="22">
        <f>SUMIF(Emissions!$C$54:$C$69,'Emissions summary'!$C28,Emissions!K$54:K$69)</f>
        <v>17.00038365344173</v>
      </c>
      <c r="J28" s="22">
        <f>SUMIF(Emissions!$C$54:$C$69,'Emissions summary'!$C28,Emissions!L$54:L$69)</f>
        <v>17.00038365344173</v>
      </c>
      <c r="K28" s="22">
        <f>SUMIF(Emissions!$C$54:$C$69,'Emissions summary'!$C28,Emissions!M$54:M$69)</f>
        <v>17.00038365344173</v>
      </c>
      <c r="L28" s="22">
        <f>SUMIF(Emissions!$C$54:$C$69,'Emissions summary'!$C28,Emissions!N$54:N$69)</f>
        <v>17.00038365344173</v>
      </c>
      <c r="M28" s="22">
        <f>SUMIF(Emissions!$C$54:$C$69,'Emissions summary'!$C28,Emissions!O$54:O$69)</f>
        <v>17.00038365344173</v>
      </c>
      <c r="N28" s="22">
        <f>SUMIF(Emissions!$C$54:$C$69,'Emissions summary'!$C28,Emissions!P$54:P$69)</f>
        <v>17.00038365344173</v>
      </c>
      <c r="O28" s="22">
        <f>SUMIF(Emissions!$C$54:$C$69,'Emissions summary'!$C28,Emissions!Q$54:Q$69)</f>
        <v>17.00038365344173</v>
      </c>
      <c r="P28" s="22">
        <f>SUMIF(Emissions!$C$54:$C$69,'Emissions summary'!$C28,Emissions!R$54:R$69)</f>
        <v>16.569822193461611</v>
      </c>
      <c r="Q28" s="22">
        <f>SUMIF(Emissions!$C$54:$C$69,'Emissions summary'!$C28,Emissions!S$54:S$69)</f>
        <v>21.58066748690964</v>
      </c>
      <c r="R28" s="22">
        <f>SUMIF(Emissions!$C$54:$C$69,'Emissions summary'!$C28,Emissions!T$54:T$69)</f>
        <v>18.378408970459198</v>
      </c>
      <c r="S28" s="22">
        <f>SUMIF(Emissions!$C$54:$C$69,'Emissions summary'!$C28,Emissions!U$54:U$69)</f>
        <v>14.650554917049229</v>
      </c>
      <c r="T28" s="22">
        <f>SUMIF(Emissions!$C$54:$C$69,'Emissions summary'!$C28,Emissions!V$54:V$69)</f>
        <v>13.82246469932897</v>
      </c>
      <c r="U28" s="22">
        <f>SUMIF(Emissions!$C$54:$C$69,'Emissions summary'!$C28,Emissions!W$54:W$69)</f>
        <v>21.599133953641967</v>
      </c>
      <c r="V28" s="22">
        <f>SUMIF(Emissions!$C$54:$C$69,'Emissions summary'!$C28,Emissions!X$54:X$69)</f>
        <v>17.797777704403263</v>
      </c>
      <c r="W28" s="22">
        <f>SUMIF(Emissions!$C$54:$C$69,'Emissions summary'!$C28,Emissions!Y$54:Y$69)</f>
        <v>21.680359355173707</v>
      </c>
      <c r="X28" s="22">
        <f>SUMIF(Emissions!$C$54:$C$69,'Emissions summary'!$C28,Emissions!Z$54:Z$69)</f>
        <v>20.332068235899591</v>
      </c>
      <c r="Y28" s="22">
        <f>SUMIF(Emissions!$C$54:$C$69,'Emissions summary'!$C28,Emissions!AA$54:AA$69)</f>
        <v>15.730541423024663</v>
      </c>
      <c r="Z28" s="22">
        <f>SUMIF(Emissions!$C$54:$C$69,'Emissions summary'!$C28,Emissions!AB$54:AB$69)</f>
        <v>16.81926023646</v>
      </c>
      <c r="AA28" s="22">
        <f>SUMIF(Emissions!$C$54:$C$69,'Emissions summary'!$C28,Emissions!AC$54:AC$69)</f>
        <v>16.168604044590001</v>
      </c>
      <c r="AB28" s="22">
        <f>SUMIF(Emissions!$C$54:$C$69,'Emissions summary'!$C28,Emissions!AD$54:AD$69)</f>
        <v>11.204575160010251</v>
      </c>
      <c r="AC28" s="22">
        <f>SUMIF(Emissions!$C$54:$C$69,'Emissions summary'!$C28,Emissions!AE$54:AE$69)</f>
        <v>13.05690518017699</v>
      </c>
      <c r="AD28" s="22">
        <f>SUMIF(Emissions!$C$54:$C$69,'Emissions summary'!$C28,Emissions!AF$54:AF$69)</f>
        <v>12.302133920343731</v>
      </c>
      <c r="AE28" s="22">
        <f>SUMIF(Emissions!$C$54:$C$69,'Emissions summary'!$C28,Emissions!AG$54:AG$69)</f>
        <v>11.592685700510469</v>
      </c>
      <c r="AF28" s="22">
        <f>SUMIF(Emissions!$C$54:$C$69,'Emissions summary'!$C28,Emissions!AH$54:AH$69)</f>
        <v>11.954566760677208</v>
      </c>
      <c r="AG28" s="22">
        <f>SUMIF(Emissions!$C$54:$C$69,'Emissions summary'!$C28,Emissions!AI$54:AI$69)</f>
        <v>12.263228780843946</v>
      </c>
      <c r="AH28" s="22">
        <f>SUMIF(Emissions!$C$54:$C$69,'Emissions summary'!$C28,Emissions!AJ$54:AJ$69)</f>
        <v>12.268210641010684</v>
      </c>
      <c r="AI28" s="22">
        <f>SUMIF(Emissions!$C$54:$C$69,'Emissions summary'!$C28,Emissions!AK$54:AK$69)</f>
        <v>12.23948849988569</v>
      </c>
      <c r="AJ28" s="22">
        <f>SUMIF(Emissions!$C$54:$C$69,'Emissions summary'!$C28,Emissions!AL$54:AL$69)</f>
        <v>12.210766358760694</v>
      </c>
      <c r="AK28" s="22">
        <f>SUMIF(Emissions!$C$54:$C$69,'Emissions summary'!$C28,Emissions!AM$54:AM$69)</f>
        <v>12.182044217635699</v>
      </c>
      <c r="AL28" s="22">
        <f>SUMIF(Emissions!$C$54:$C$69,'Emissions summary'!$C28,Emissions!AN$54:AN$69)</f>
        <v>12.153322076510703</v>
      </c>
      <c r="AM28" s="22">
        <f>SUMIF(Emissions!$C$54:$C$69,'Emissions summary'!$C28,Emissions!AO$54:AO$69)</f>
        <v>12.124599935385708</v>
      </c>
      <c r="AN28" s="22">
        <f>SUMIF(Emissions!$C$54:$C$69,'Emissions summary'!$C28,Emissions!AP$54:AP$69)</f>
        <v>12.095877794260716</v>
      </c>
      <c r="AO28" s="22">
        <f>SUMIF(Emissions!$C$54:$C$69,'Emissions summary'!$C28,Emissions!AQ$54:AQ$69)</f>
        <v>12.067155653135719</v>
      </c>
      <c r="AP28" s="22">
        <f>SUMIF(Emissions!$C$54:$C$69,'Emissions summary'!$C28,Emissions!AR$54:AR$69)</f>
        <v>12.038433512010723</v>
      </c>
      <c r="AQ28" s="22">
        <f>SUMIF(Emissions!$C$54:$C$69,'Emissions summary'!$C28,Emissions!AS$54:AS$69)</f>
        <v>12.009711370885729</v>
      </c>
      <c r="AR28" s="22">
        <f>SUMIF(Emissions!$C$54:$C$69,'Emissions summary'!$C28,Emissions!AT$54:AT$69)</f>
        <v>11.980989229760732</v>
      </c>
      <c r="AS28" s="22">
        <f>SUMIF(Emissions!$C$54:$C$69,'Emissions summary'!$C28,Emissions!AU$54:AU$69)</f>
        <v>11.952267088635738</v>
      </c>
      <c r="AT28" s="22">
        <f>SUMIF(Emissions!$C$54:$C$69,'Emissions summary'!$C28,Emissions!AV$54:AV$69)</f>
        <v>11.923544947510743</v>
      </c>
      <c r="AU28" s="22">
        <f>SUMIF(Emissions!$C$54:$C$69,'Emissions summary'!$C28,Emissions!AW$54:AW$69)</f>
        <v>11.881226167028043</v>
      </c>
      <c r="AV28" s="22">
        <f>SUMIF(Emissions!$C$54:$C$69,'Emissions summary'!$C28,Emissions!AX$54:AX$69)</f>
        <v>11.838907386545339</v>
      </c>
      <c r="AW28" s="22">
        <f>SUMIF(Emissions!$C$54:$C$69,'Emissions summary'!$C28,Emissions!AY$54:AY$69)</f>
        <v>11.796588606062636</v>
      </c>
      <c r="AX28" s="22">
        <f>SUMIF(Emissions!$C$54:$C$69,'Emissions summary'!$C28,Emissions!AZ$54:AZ$69)</f>
        <v>11.754269825579936</v>
      </c>
      <c r="AY28" s="22">
        <f>SUMIF(Emissions!$C$54:$C$69,'Emissions summary'!$C28,Emissions!BA$54:BA$69)</f>
        <v>11.711951045097234</v>
      </c>
      <c r="AZ28" s="22">
        <f>SUMIF(Emissions!$C$54:$C$69,'Emissions summary'!$C28,Emissions!BB$54:BB$69)</f>
        <v>11.669632264614533</v>
      </c>
      <c r="BA28" s="22">
        <f>SUMIF(Emissions!$C$54:$C$69,'Emissions summary'!$C28,Emissions!BC$54:BC$69)</f>
        <v>11.627313484131829</v>
      </c>
      <c r="BB28" s="22">
        <f>SUMIF(Emissions!$C$54:$C$69,'Emissions summary'!$C28,Emissions!BD$54:BD$69)</f>
        <v>11.584994703649127</v>
      </c>
      <c r="BC28" s="22">
        <f>SUMIF(Emissions!$C$54:$C$69,'Emissions summary'!$C28,Emissions!BE$54:BE$69)</f>
        <v>11.52907928380872</v>
      </c>
      <c r="BD28" s="22">
        <f>SUMIF(Emissions!$C$54:$C$69,'Emissions summary'!$C28,Emissions!BF$54:BF$69)</f>
        <v>11.473163863968312</v>
      </c>
      <c r="BE28" s="22">
        <f>SUMIF(Emissions!$C$54:$C$69,'Emissions summary'!$C28,Emissions!BG$54:BG$69)</f>
        <v>11.4172484441279</v>
      </c>
      <c r="BF28" s="22">
        <f>SUMIF(Emissions!$C$54:$C$69,'Emissions summary'!$C28,Emissions!BH$54:BH$69)</f>
        <v>11.361333024287493</v>
      </c>
      <c r="BG28" s="22">
        <f>SUMIF(Emissions!$C$54:$C$69,'Emissions summary'!$C28,Emissions!BI$54:BI$69)</f>
        <v>11.305417604447085</v>
      </c>
      <c r="BH28" s="22">
        <f>SUMIF(Emissions!$C$54:$C$69,'Emissions summary'!$C28,Emissions!BJ$54:BJ$69)</f>
        <v>11.249502184606676</v>
      </c>
      <c r="BI28" s="22">
        <f>SUMIF(Emissions!$C$54:$C$69,'Emissions summary'!$C28,Emissions!BK$54:BK$69)</f>
        <v>11.193586764766268</v>
      </c>
      <c r="BJ28" s="22">
        <f>SUMIF(Emissions!$C$54:$C$69,'Emissions summary'!$C28,Emissions!BL$54:BL$69)</f>
        <v>11.13767134492586</v>
      </c>
      <c r="BK28" s="22">
        <f>SUMIF(Emissions!$C$54:$C$69,'Emissions summary'!$C28,Emissions!BM$54:BM$69)</f>
        <v>11.081755925085453</v>
      </c>
      <c r="BL28" s="22">
        <f>SUMIF(Emissions!$C$54:$C$69,'Emissions summary'!$C28,Emissions!BN$54:BN$69)</f>
        <v>11.025840505245043</v>
      </c>
      <c r="BM28" s="22">
        <f>SUMIF(Emissions!$C$54:$C$69,'Emissions summary'!$C28,Emissions!BO$54:BO$69)</f>
        <v>10.969925085404636</v>
      </c>
      <c r="BN28" s="22">
        <f>SUMIF(Emissions!$C$54:$C$69,'Emissions summary'!$C28,Emissions!BP$54:BP$69)</f>
        <v>10.914009665564226</v>
      </c>
    </row>
    <row r="29" spans="1:66" x14ac:dyDescent="0.25">
      <c r="A29" t="str">
        <f>A28</f>
        <v>3C Aggregated and non-CO2 emissions on land</v>
      </c>
      <c r="B29" t="str">
        <f>B28</f>
        <v>3C1 Biomass burning (CH4)</v>
      </c>
      <c r="C29" t="str">
        <f>'IPCC Categories'!C60</f>
        <v>3C1b Biomass burning in Croplands</v>
      </c>
      <c r="D29" t="str">
        <f>D28</f>
        <v>CH4</v>
      </c>
      <c r="E29" t="str">
        <f>E28</f>
        <v>Gg CH4</v>
      </c>
      <c r="F29" s="22">
        <f>SUMIF(Emissions!$C$54:$C$69,'Emissions summary'!$C29,Emissions!H$54:H$69)</f>
        <v>10.116490581610325</v>
      </c>
      <c r="G29" s="22">
        <f>SUMIF(Emissions!$C$54:$C$69,'Emissions summary'!$C29,Emissions!I$54:I$69)</f>
        <v>10.116490581610325</v>
      </c>
      <c r="H29" s="22">
        <f>SUMIF(Emissions!$C$54:$C$69,'Emissions summary'!$C29,Emissions!J$54:J$69)</f>
        <v>10.116490581610325</v>
      </c>
      <c r="I29" s="22">
        <f>SUMIF(Emissions!$C$54:$C$69,'Emissions summary'!$C29,Emissions!K$54:K$69)</f>
        <v>10.116490581610325</v>
      </c>
      <c r="J29" s="22">
        <f>SUMIF(Emissions!$C$54:$C$69,'Emissions summary'!$C29,Emissions!L$54:L$69)</f>
        <v>10.116490581610325</v>
      </c>
      <c r="K29" s="22">
        <f>SUMIF(Emissions!$C$54:$C$69,'Emissions summary'!$C29,Emissions!M$54:M$69)</f>
        <v>10.116490581610325</v>
      </c>
      <c r="L29" s="22">
        <f>SUMIF(Emissions!$C$54:$C$69,'Emissions summary'!$C29,Emissions!N$54:N$69)</f>
        <v>10.116490581610325</v>
      </c>
      <c r="M29" s="22">
        <f>SUMIF(Emissions!$C$54:$C$69,'Emissions summary'!$C29,Emissions!O$54:O$69)</f>
        <v>10.116490581610325</v>
      </c>
      <c r="N29" s="22">
        <f>SUMIF(Emissions!$C$54:$C$69,'Emissions summary'!$C29,Emissions!P$54:P$69)</f>
        <v>10.116490581610325</v>
      </c>
      <c r="O29" s="22">
        <f>SUMIF(Emissions!$C$54:$C$69,'Emissions summary'!$C29,Emissions!Q$54:Q$69)</f>
        <v>10.116490581610325</v>
      </c>
      <c r="P29" s="22">
        <f>SUMIF(Emissions!$C$54:$C$69,'Emissions summary'!$C29,Emissions!R$54:R$69)</f>
        <v>10.51046399228327</v>
      </c>
      <c r="Q29" s="22">
        <f>SUMIF(Emissions!$C$54:$C$69,'Emissions summary'!$C29,Emissions!S$54:S$69)</f>
        <v>10.882894026282271</v>
      </c>
      <c r="R29" s="22">
        <f>SUMIF(Emissions!$C$54:$C$69,'Emissions summary'!$C29,Emissions!T$54:T$69)</f>
        <v>11.945235434738436</v>
      </c>
      <c r="S29" s="22">
        <f>SUMIF(Emissions!$C$54:$C$69,'Emissions summary'!$C29,Emissions!U$54:U$69)</f>
        <v>9.2981039284457765</v>
      </c>
      <c r="T29" s="22">
        <f>SUMIF(Emissions!$C$54:$C$69,'Emissions summary'!$C29,Emissions!V$54:V$69)</f>
        <v>7.9457555263018627</v>
      </c>
      <c r="U29" s="22">
        <f>SUMIF(Emissions!$C$54:$C$69,'Emissions summary'!$C29,Emissions!W$54:W$69)</f>
        <v>13.860153794562336</v>
      </c>
      <c r="V29" s="22">
        <f>SUMIF(Emissions!$C$54:$C$69,'Emissions summary'!$C29,Emissions!X$54:X$69)</f>
        <v>13.058600630053951</v>
      </c>
      <c r="W29" s="22">
        <f>SUMIF(Emissions!$C$54:$C$69,'Emissions summary'!$C29,Emissions!Y$54:Y$69)</f>
        <v>10.476884235119428</v>
      </c>
      <c r="X29" s="22">
        <f>SUMIF(Emissions!$C$54:$C$69,'Emissions summary'!$C29,Emissions!Z$54:Z$69)</f>
        <v>9.4298063526468283</v>
      </c>
      <c r="Y29" s="22">
        <f>SUMIF(Emissions!$C$54:$C$69,'Emissions summary'!$C29,Emissions!AA$54:AA$69)</f>
        <v>9.8044168903577642</v>
      </c>
      <c r="Z29" s="22">
        <f>SUMIF(Emissions!$C$54:$C$69,'Emissions summary'!$C29,Emissions!AB$54:AB$69)</f>
        <v>9.7783617960000022</v>
      </c>
      <c r="AA29" s="22">
        <f>SUMIF(Emissions!$C$54:$C$69,'Emissions summary'!$C29,Emissions!AC$54:AC$69)</f>
        <v>9.4288811400000014</v>
      </c>
      <c r="AB29" s="22">
        <f>SUMIF(Emissions!$C$54:$C$69,'Emissions summary'!$C29,Emissions!AD$54:AD$69)</f>
        <v>8.929388994926228</v>
      </c>
      <c r="AC29" s="22">
        <f>SUMIF(Emissions!$C$54:$C$69,'Emissions summary'!$C29,Emissions!AE$54:AE$69)</f>
        <v>8.9289309923184508</v>
      </c>
      <c r="AD29" s="22">
        <f>SUMIF(Emissions!$C$54:$C$69,'Emissions summary'!$C29,Emissions!AF$54:AF$69)</f>
        <v>8.9284729897106754</v>
      </c>
      <c r="AE29" s="22">
        <f>SUMIF(Emissions!$C$54:$C$69,'Emissions summary'!$C29,Emissions!AG$54:AG$69)</f>
        <v>8.9280149871028947</v>
      </c>
      <c r="AF29" s="22">
        <f>SUMIF(Emissions!$C$54:$C$69,'Emissions summary'!$C29,Emissions!AH$54:AH$69)</f>
        <v>8.9275569844951157</v>
      </c>
      <c r="AG29" s="22">
        <f>SUMIF(Emissions!$C$54:$C$69,'Emissions summary'!$C29,Emissions!AI$54:AI$69)</f>
        <v>8.9270989818873403</v>
      </c>
      <c r="AH29" s="22">
        <f>SUMIF(Emissions!$C$54:$C$69,'Emissions summary'!$C29,Emissions!AJ$54:AJ$69)</f>
        <v>8.9266409792795596</v>
      </c>
      <c r="AI29" s="22">
        <f>SUMIF(Emissions!$C$54:$C$69,'Emissions summary'!$C29,Emissions!AK$54:AK$69)</f>
        <v>8.926182976671786</v>
      </c>
      <c r="AJ29" s="22">
        <f>SUMIF(Emissions!$C$54:$C$69,'Emissions summary'!$C29,Emissions!AL$54:AL$69)</f>
        <v>8.925724974064007</v>
      </c>
      <c r="AK29" s="22">
        <f>SUMIF(Emissions!$C$54:$C$69,'Emissions summary'!$C29,Emissions!AM$54:AM$69)</f>
        <v>8.925266971456228</v>
      </c>
      <c r="AL29" s="22">
        <f>SUMIF(Emissions!$C$54:$C$69,'Emissions summary'!$C29,Emissions!AN$54:AN$69)</f>
        <v>8.9248089688484491</v>
      </c>
      <c r="AM29" s="22">
        <f>SUMIF(Emissions!$C$54:$C$69,'Emissions summary'!$C29,Emissions!AO$54:AO$69)</f>
        <v>8.9243509662406719</v>
      </c>
      <c r="AN29" s="22">
        <f>SUMIF(Emissions!$C$54:$C$69,'Emissions summary'!$C29,Emissions!AP$54:AP$69)</f>
        <v>8.9238929636328947</v>
      </c>
      <c r="AO29" s="22">
        <f>SUMIF(Emissions!$C$54:$C$69,'Emissions summary'!$C29,Emissions!AQ$54:AQ$69)</f>
        <v>8.9234349610251176</v>
      </c>
      <c r="AP29" s="22">
        <f>SUMIF(Emissions!$C$54:$C$69,'Emissions summary'!$C29,Emissions!AR$54:AR$69)</f>
        <v>8.9229769584173386</v>
      </c>
      <c r="AQ29" s="22">
        <f>SUMIF(Emissions!$C$54:$C$69,'Emissions summary'!$C29,Emissions!AS$54:AS$69)</f>
        <v>8.9225189558095614</v>
      </c>
      <c r="AR29" s="22">
        <f>SUMIF(Emissions!$C$54:$C$69,'Emissions summary'!$C29,Emissions!AT$54:AT$69)</f>
        <v>8.9220609532017825</v>
      </c>
      <c r="AS29" s="22">
        <f>SUMIF(Emissions!$C$54:$C$69,'Emissions summary'!$C29,Emissions!AU$54:AU$69)</f>
        <v>8.9216029505940071</v>
      </c>
      <c r="AT29" s="22">
        <f>SUMIF(Emissions!$C$54:$C$69,'Emissions summary'!$C29,Emissions!AV$54:AV$69)</f>
        <v>8.9211449479862281</v>
      </c>
      <c r="AU29" s="22">
        <f>SUMIF(Emissions!$C$54:$C$69,'Emissions summary'!$C29,Emissions!AW$54:AW$69)</f>
        <v>8.9206869453784492</v>
      </c>
      <c r="AV29" s="22">
        <f>SUMIF(Emissions!$C$54:$C$69,'Emissions summary'!$C29,Emissions!AX$54:AX$69)</f>
        <v>8.920228942770672</v>
      </c>
      <c r="AW29" s="22">
        <f>SUMIF(Emissions!$C$54:$C$69,'Emissions summary'!$C29,Emissions!AY$54:AY$69)</f>
        <v>8.9197709401628948</v>
      </c>
      <c r="AX29" s="22">
        <f>SUMIF(Emissions!$C$54:$C$69,'Emissions summary'!$C29,Emissions!AZ$54:AZ$69)</f>
        <v>8.9193129375551177</v>
      </c>
      <c r="AY29" s="22">
        <f>SUMIF(Emissions!$C$54:$C$69,'Emissions summary'!$C29,Emissions!BA$54:BA$69)</f>
        <v>8.9188549349473387</v>
      </c>
      <c r="AZ29" s="22">
        <f>SUMIF(Emissions!$C$54:$C$69,'Emissions summary'!$C29,Emissions!BB$54:BB$69)</f>
        <v>8.9183969323395598</v>
      </c>
      <c r="BA29" s="22">
        <f>SUMIF(Emissions!$C$54:$C$69,'Emissions summary'!$C29,Emissions!BC$54:BC$69)</f>
        <v>8.9179389297317826</v>
      </c>
      <c r="BB29" s="22">
        <f>SUMIF(Emissions!$C$54:$C$69,'Emissions summary'!$C29,Emissions!BD$54:BD$69)</f>
        <v>8.9174809271240072</v>
      </c>
      <c r="BC29" s="22">
        <f>SUMIF(Emissions!$C$54:$C$69,'Emissions summary'!$C29,Emissions!BE$54:BE$69)</f>
        <v>8.9170229245162282</v>
      </c>
      <c r="BD29" s="22">
        <f>SUMIF(Emissions!$C$54:$C$69,'Emissions summary'!$C29,Emissions!BF$54:BF$69)</f>
        <v>8.9165649219084475</v>
      </c>
      <c r="BE29" s="22">
        <f>SUMIF(Emissions!$C$54:$C$69,'Emissions summary'!$C29,Emissions!BG$54:BG$69)</f>
        <v>8.9161069193006721</v>
      </c>
      <c r="BF29" s="22">
        <f>SUMIF(Emissions!$C$54:$C$69,'Emissions summary'!$C29,Emissions!BH$54:BH$69)</f>
        <v>8.9156489166928932</v>
      </c>
      <c r="BG29" s="22">
        <f>SUMIF(Emissions!$C$54:$C$69,'Emissions summary'!$C29,Emissions!BI$54:BI$69)</f>
        <v>8.915190914085116</v>
      </c>
      <c r="BH29" s="22">
        <f>SUMIF(Emissions!$C$54:$C$69,'Emissions summary'!$C29,Emissions!BJ$54:BJ$69)</f>
        <v>8.9147329114773388</v>
      </c>
      <c r="BI29" s="22">
        <f>SUMIF(Emissions!$C$54:$C$69,'Emissions summary'!$C29,Emissions!BK$54:BK$69)</f>
        <v>8.9142749088695599</v>
      </c>
      <c r="BJ29" s="22">
        <f>SUMIF(Emissions!$C$54:$C$69,'Emissions summary'!$C29,Emissions!BL$54:BL$69)</f>
        <v>8.9138169062617827</v>
      </c>
      <c r="BK29" s="22">
        <f>SUMIF(Emissions!$C$54:$C$69,'Emissions summary'!$C29,Emissions!BM$54:BM$69)</f>
        <v>8.9133589036540037</v>
      </c>
      <c r="BL29" s="22">
        <f>SUMIF(Emissions!$C$54:$C$69,'Emissions summary'!$C29,Emissions!BN$54:BN$69)</f>
        <v>8.9129009010462266</v>
      </c>
      <c r="BM29" s="22">
        <f>SUMIF(Emissions!$C$54:$C$69,'Emissions summary'!$C29,Emissions!BO$54:BO$69)</f>
        <v>8.9124428984384494</v>
      </c>
      <c r="BN29" s="22">
        <f>SUMIF(Emissions!$C$54:$C$69,'Emissions summary'!$C29,Emissions!BP$54:BP$69)</f>
        <v>8.9119848958306704</v>
      </c>
    </row>
    <row r="30" spans="1:66" x14ac:dyDescent="0.25">
      <c r="A30" t="str">
        <f t="shared" ref="A30:B46" si="18">A29</f>
        <v>3C Aggregated and non-CO2 emissions on land</v>
      </c>
      <c r="B30" t="str">
        <f t="shared" ref="B30:B33" si="19">B29</f>
        <v>3C1 Biomass burning (CH4)</v>
      </c>
      <c r="C30" t="str">
        <f>'IPCC Categories'!C61</f>
        <v>3C1c Biomass burning in Grasslands</v>
      </c>
      <c r="D30" t="str">
        <f t="shared" ref="D30:E33" si="20">D29</f>
        <v>CH4</v>
      </c>
      <c r="E30" t="str">
        <f t="shared" si="20"/>
        <v>Gg CH4</v>
      </c>
      <c r="F30" s="22">
        <f>SUMIF(Emissions!$C$54:$C$69,'Emissions summary'!$C30,Emissions!H$54:H$69)</f>
        <v>24.633908128575744</v>
      </c>
      <c r="G30" s="22">
        <f>SUMIF(Emissions!$C$54:$C$69,'Emissions summary'!$C30,Emissions!I$54:I$69)</f>
        <v>24.633908128575744</v>
      </c>
      <c r="H30" s="22">
        <f>SUMIF(Emissions!$C$54:$C$69,'Emissions summary'!$C30,Emissions!J$54:J$69)</f>
        <v>24.633908128575744</v>
      </c>
      <c r="I30" s="22">
        <f>SUMIF(Emissions!$C$54:$C$69,'Emissions summary'!$C30,Emissions!K$54:K$69)</f>
        <v>24.633908128575744</v>
      </c>
      <c r="J30" s="22">
        <f>SUMIF(Emissions!$C$54:$C$69,'Emissions summary'!$C30,Emissions!L$54:L$69)</f>
        <v>24.633908128575744</v>
      </c>
      <c r="K30" s="22">
        <f>SUMIF(Emissions!$C$54:$C$69,'Emissions summary'!$C30,Emissions!M$54:M$69)</f>
        <v>24.633908128575744</v>
      </c>
      <c r="L30" s="22">
        <f>SUMIF(Emissions!$C$54:$C$69,'Emissions summary'!$C30,Emissions!N$54:N$69)</f>
        <v>24.633908128575744</v>
      </c>
      <c r="M30" s="22">
        <f>SUMIF(Emissions!$C$54:$C$69,'Emissions summary'!$C30,Emissions!O$54:O$69)</f>
        <v>24.633908128575744</v>
      </c>
      <c r="N30" s="22">
        <f>SUMIF(Emissions!$C$54:$C$69,'Emissions summary'!$C30,Emissions!P$54:P$69)</f>
        <v>24.633908128575744</v>
      </c>
      <c r="O30" s="22">
        <f>SUMIF(Emissions!$C$54:$C$69,'Emissions summary'!$C30,Emissions!Q$54:Q$69)</f>
        <v>24.633908128575744</v>
      </c>
      <c r="P30" s="22">
        <f>SUMIF(Emissions!$C$54:$C$69,'Emissions summary'!$C30,Emissions!R$54:R$69)</f>
        <v>24.22100971223729</v>
      </c>
      <c r="Q30" s="22">
        <f>SUMIF(Emissions!$C$54:$C$69,'Emissions summary'!$C30,Emissions!S$54:S$69)</f>
        <v>27.159665944327305</v>
      </c>
      <c r="R30" s="22">
        <f>SUMIF(Emissions!$C$54:$C$69,'Emissions summary'!$C30,Emissions!T$54:T$69)</f>
        <v>29.557460778373962</v>
      </c>
      <c r="S30" s="22">
        <f>SUMIF(Emissions!$C$54:$C$69,'Emissions summary'!$C30,Emissions!U$54:U$69)</f>
        <v>22.967890703903489</v>
      </c>
      <c r="T30" s="22">
        <f>SUMIF(Emissions!$C$54:$C$69,'Emissions summary'!$C30,Emissions!V$54:V$69)</f>
        <v>19.263513504036663</v>
      </c>
      <c r="U30" s="22">
        <f>SUMIF(Emissions!$C$54:$C$69,'Emissions summary'!$C30,Emissions!W$54:W$69)</f>
        <v>29.989609054359072</v>
      </c>
      <c r="V30" s="22">
        <f>SUMIF(Emissions!$C$54:$C$69,'Emissions summary'!$C30,Emissions!X$54:X$69)</f>
        <v>26.44988664148541</v>
      </c>
      <c r="W30" s="22">
        <f>SUMIF(Emissions!$C$54:$C$69,'Emissions summary'!$C30,Emissions!Y$54:Y$69)</f>
        <v>24.310343671009509</v>
      </c>
      <c r="X30" s="22">
        <f>SUMIF(Emissions!$C$54:$C$69,'Emissions summary'!$C30,Emissions!Z$54:Z$69)</f>
        <v>23.321518510517112</v>
      </c>
      <c r="Y30" s="22">
        <f>SUMIF(Emissions!$C$54:$C$69,'Emissions summary'!$C30,Emissions!AA$54:AA$69)</f>
        <v>24.458614831490095</v>
      </c>
      <c r="Z30" s="22">
        <f>SUMIF(Emissions!$C$54:$C$69,'Emissions summary'!$C30,Emissions!AB$54:AB$69)</f>
        <v>24.608200366439995</v>
      </c>
      <c r="AA30" s="22">
        <f>SUMIF(Emissions!$C$54:$C$69,'Emissions summary'!$C30,Emissions!AC$54:AC$69)</f>
        <v>25.000606435391994</v>
      </c>
      <c r="AB30" s="22">
        <f>SUMIF(Emissions!$C$54:$C$69,'Emissions summary'!$C30,Emissions!AD$54:AD$69)</f>
        <v>22.211168240472922</v>
      </c>
      <c r="AC30" s="22">
        <f>SUMIF(Emissions!$C$54:$C$69,'Emissions summary'!$C30,Emissions!AE$54:AE$69)</f>
        <v>22.3255420719256</v>
      </c>
      <c r="AD30" s="22">
        <f>SUMIF(Emissions!$C$54:$C$69,'Emissions summary'!$C30,Emissions!AF$54:AF$69)</f>
        <v>22.439915903378274</v>
      </c>
      <c r="AE30" s="22">
        <f>SUMIF(Emissions!$C$54:$C$69,'Emissions summary'!$C30,Emissions!AG$54:AG$69)</f>
        <v>22.554289734830945</v>
      </c>
      <c r="AF30" s="22">
        <f>SUMIF(Emissions!$C$54:$C$69,'Emissions summary'!$C30,Emissions!AH$54:AH$69)</f>
        <v>22.668663566283627</v>
      </c>
      <c r="AG30" s="22">
        <f>SUMIF(Emissions!$C$54:$C$69,'Emissions summary'!$C30,Emissions!AI$54:AI$69)</f>
        <v>22.783037397736297</v>
      </c>
      <c r="AH30" s="22">
        <f>SUMIF(Emissions!$C$54:$C$69,'Emissions summary'!$C30,Emissions!AJ$54:AJ$69)</f>
        <v>22.897411229188972</v>
      </c>
      <c r="AI30" s="22">
        <f>SUMIF(Emissions!$C$54:$C$69,'Emissions summary'!$C30,Emissions!AK$54:AK$69)</f>
        <v>23.095209192169019</v>
      </c>
      <c r="AJ30" s="22">
        <f>SUMIF(Emissions!$C$54:$C$69,'Emissions summary'!$C30,Emissions!AL$54:AL$69)</f>
        <v>23.293007155149056</v>
      </c>
      <c r="AK30" s="22">
        <f>SUMIF(Emissions!$C$54:$C$69,'Emissions summary'!$C30,Emissions!AM$54:AM$69)</f>
        <v>23.490805118129099</v>
      </c>
      <c r="AL30" s="22">
        <f>SUMIF(Emissions!$C$54:$C$69,'Emissions summary'!$C30,Emissions!AN$54:AN$69)</f>
        <v>23.688603081109136</v>
      </c>
      <c r="AM30" s="22">
        <f>SUMIF(Emissions!$C$54:$C$69,'Emissions summary'!$C30,Emissions!AO$54:AO$69)</f>
        <v>23.886401044089183</v>
      </c>
      <c r="AN30" s="22">
        <f>SUMIF(Emissions!$C$54:$C$69,'Emissions summary'!$C30,Emissions!AP$54:AP$69)</f>
        <v>24.08419900706922</v>
      </c>
      <c r="AO30" s="22">
        <f>SUMIF(Emissions!$C$54:$C$69,'Emissions summary'!$C30,Emissions!AQ$54:AQ$69)</f>
        <v>24.281996970049263</v>
      </c>
      <c r="AP30" s="22">
        <f>SUMIF(Emissions!$C$54:$C$69,'Emissions summary'!$C30,Emissions!AR$54:AR$69)</f>
        <v>24.479794933029304</v>
      </c>
      <c r="AQ30" s="22">
        <f>SUMIF(Emissions!$C$54:$C$69,'Emissions summary'!$C30,Emissions!AS$54:AS$69)</f>
        <v>24.677592896009344</v>
      </c>
      <c r="AR30" s="22">
        <f>SUMIF(Emissions!$C$54:$C$69,'Emissions summary'!$C30,Emissions!AT$54:AT$69)</f>
        <v>24.875390858989384</v>
      </c>
      <c r="AS30" s="22">
        <f>SUMIF(Emissions!$C$54:$C$69,'Emissions summary'!$C30,Emissions!AU$54:AU$69)</f>
        <v>25.073188821969428</v>
      </c>
      <c r="AT30" s="22">
        <f>SUMIF(Emissions!$C$54:$C$69,'Emissions summary'!$C30,Emissions!AV$54:AV$69)</f>
        <v>25.270986784949468</v>
      </c>
      <c r="AU30" s="22">
        <f>SUMIF(Emissions!$C$54:$C$69,'Emissions summary'!$C30,Emissions!AW$54:AW$69)</f>
        <v>25.472302246869535</v>
      </c>
      <c r="AV30" s="22">
        <f>SUMIF(Emissions!$C$54:$C$69,'Emissions summary'!$C30,Emissions!AX$54:AX$69)</f>
        <v>25.6736177087896</v>
      </c>
      <c r="AW30" s="22">
        <f>SUMIF(Emissions!$C$54:$C$69,'Emissions summary'!$C30,Emissions!AY$54:AY$69)</f>
        <v>25.874933170709671</v>
      </c>
      <c r="AX30" s="22">
        <f>SUMIF(Emissions!$C$54:$C$69,'Emissions summary'!$C30,Emissions!AZ$54:AZ$69)</f>
        <v>26.076248632629738</v>
      </c>
      <c r="AY30" s="22">
        <f>SUMIF(Emissions!$C$54:$C$69,'Emissions summary'!$C30,Emissions!BA$54:BA$69)</f>
        <v>26.277564094549799</v>
      </c>
      <c r="AZ30" s="22">
        <f>SUMIF(Emissions!$C$54:$C$69,'Emissions summary'!$C30,Emissions!BB$54:BB$69)</f>
        <v>26.47887955646987</v>
      </c>
      <c r="BA30" s="22">
        <f>SUMIF(Emissions!$C$54:$C$69,'Emissions summary'!$C30,Emissions!BC$54:BC$69)</f>
        <v>26.680195018389934</v>
      </c>
      <c r="BB30" s="22">
        <f>SUMIF(Emissions!$C$54:$C$69,'Emissions summary'!$C30,Emissions!BD$54:BD$69)</f>
        <v>26.881510480309998</v>
      </c>
      <c r="BC30" s="22">
        <f>SUMIF(Emissions!$C$54:$C$69,'Emissions summary'!$C30,Emissions!BE$54:BE$69)</f>
        <v>27.082825942230066</v>
      </c>
      <c r="BD30" s="22">
        <f>SUMIF(Emissions!$C$54:$C$69,'Emissions summary'!$C30,Emissions!BF$54:BF$69)</f>
        <v>27.28414140415013</v>
      </c>
      <c r="BE30" s="22">
        <f>SUMIF(Emissions!$C$54:$C$69,'Emissions summary'!$C30,Emissions!BG$54:BG$69)</f>
        <v>27.485456866070198</v>
      </c>
      <c r="BF30" s="22">
        <f>SUMIF(Emissions!$C$54:$C$69,'Emissions summary'!$C30,Emissions!BH$54:BH$69)</f>
        <v>27.686772327990262</v>
      </c>
      <c r="BG30" s="22">
        <f>SUMIF(Emissions!$C$54:$C$69,'Emissions summary'!$C30,Emissions!BI$54:BI$69)</f>
        <v>27.88808778991033</v>
      </c>
      <c r="BH30" s="22">
        <f>SUMIF(Emissions!$C$54:$C$69,'Emissions summary'!$C30,Emissions!BJ$54:BJ$69)</f>
        <v>28.089403251830397</v>
      </c>
      <c r="BI30" s="22">
        <f>SUMIF(Emissions!$C$54:$C$69,'Emissions summary'!$C30,Emissions!BK$54:BK$69)</f>
        <v>28.290718713750465</v>
      </c>
      <c r="BJ30" s="22">
        <f>SUMIF(Emissions!$C$54:$C$69,'Emissions summary'!$C30,Emissions!BL$54:BL$69)</f>
        <v>28.492034175670533</v>
      </c>
      <c r="BK30" s="22">
        <f>SUMIF(Emissions!$C$54:$C$69,'Emissions summary'!$C30,Emissions!BM$54:BM$69)</f>
        <v>28.6933496375906</v>
      </c>
      <c r="BL30" s="22">
        <f>SUMIF(Emissions!$C$54:$C$69,'Emissions summary'!$C30,Emissions!BN$54:BN$69)</f>
        <v>28.894665099510664</v>
      </c>
      <c r="BM30" s="22">
        <f>SUMIF(Emissions!$C$54:$C$69,'Emissions summary'!$C30,Emissions!BO$54:BO$69)</f>
        <v>29.095980561430732</v>
      </c>
      <c r="BN30" s="22">
        <f>SUMIF(Emissions!$C$54:$C$69,'Emissions summary'!$C30,Emissions!BP$54:BP$69)</f>
        <v>29.2972960233508</v>
      </c>
    </row>
    <row r="31" spans="1:66" x14ac:dyDescent="0.25">
      <c r="A31" t="str">
        <f t="shared" si="18"/>
        <v>3C Aggregated and non-CO2 emissions on land</v>
      </c>
      <c r="B31" t="str">
        <f t="shared" si="19"/>
        <v>3C1 Biomass burning (CH4)</v>
      </c>
      <c r="C31" t="str">
        <f>'IPCC Categories'!C62</f>
        <v>3C1d Biomass burning in Wetlands</v>
      </c>
      <c r="D31" t="str">
        <f t="shared" si="20"/>
        <v>CH4</v>
      </c>
      <c r="E31" t="str">
        <f t="shared" si="20"/>
        <v>Gg CH4</v>
      </c>
      <c r="F31" s="22">
        <f>SUMIF(Emissions!$C$54:$C$69,'Emissions summary'!$C31,Emissions!H$54:H$69)</f>
        <v>0.80577517347341965</v>
      </c>
      <c r="G31" s="22">
        <f>SUMIF(Emissions!$C$54:$C$69,'Emissions summary'!$C31,Emissions!I$54:I$69)</f>
        <v>0.80577517347341965</v>
      </c>
      <c r="H31" s="22">
        <f>SUMIF(Emissions!$C$54:$C$69,'Emissions summary'!$C31,Emissions!J$54:J$69)</f>
        <v>0.80577517347341965</v>
      </c>
      <c r="I31" s="22">
        <f>SUMIF(Emissions!$C$54:$C$69,'Emissions summary'!$C31,Emissions!K$54:K$69)</f>
        <v>0.80577517347341965</v>
      </c>
      <c r="J31" s="22">
        <f>SUMIF(Emissions!$C$54:$C$69,'Emissions summary'!$C31,Emissions!L$54:L$69)</f>
        <v>0.80577517347341965</v>
      </c>
      <c r="K31" s="22">
        <f>SUMIF(Emissions!$C$54:$C$69,'Emissions summary'!$C31,Emissions!M$54:M$69)</f>
        <v>0.80577517347341965</v>
      </c>
      <c r="L31" s="22">
        <f>SUMIF(Emissions!$C$54:$C$69,'Emissions summary'!$C31,Emissions!N$54:N$69)</f>
        <v>0.80577517347341965</v>
      </c>
      <c r="M31" s="22">
        <f>SUMIF(Emissions!$C$54:$C$69,'Emissions summary'!$C31,Emissions!O$54:O$69)</f>
        <v>0.80577517347341965</v>
      </c>
      <c r="N31" s="22">
        <f>SUMIF(Emissions!$C$54:$C$69,'Emissions summary'!$C31,Emissions!P$54:P$69)</f>
        <v>0.80577517347341965</v>
      </c>
      <c r="O31" s="22">
        <f>SUMIF(Emissions!$C$54:$C$69,'Emissions summary'!$C31,Emissions!Q$54:Q$69)</f>
        <v>0.80577517347341965</v>
      </c>
      <c r="P31" s="22">
        <f>SUMIF(Emissions!$C$54:$C$69,'Emissions summary'!$C31,Emissions!R$54:R$69)</f>
        <v>0.71282120012392636</v>
      </c>
      <c r="Q31" s="22">
        <f>SUMIF(Emissions!$C$54:$C$69,'Emissions summary'!$C31,Emissions!S$54:S$69)</f>
        <v>0.86099923348302065</v>
      </c>
      <c r="R31" s="22">
        <f>SUMIF(Emissions!$C$54:$C$69,'Emissions summary'!$C31,Emissions!T$54:T$69)</f>
        <v>0.97458063350276725</v>
      </c>
      <c r="S31" s="22">
        <f>SUMIF(Emissions!$C$54:$C$69,'Emissions summary'!$C31,Emissions!U$54:U$69)</f>
        <v>0.79724568902749249</v>
      </c>
      <c r="T31" s="22">
        <f>SUMIF(Emissions!$C$54:$C$69,'Emissions summary'!$C31,Emissions!V$54:V$69)</f>
        <v>0.68322911122989261</v>
      </c>
      <c r="U31" s="22">
        <f>SUMIF(Emissions!$C$54:$C$69,'Emissions summary'!$C31,Emissions!W$54:W$69)</f>
        <v>1.0109179779535291</v>
      </c>
      <c r="V31" s="22">
        <f>SUMIF(Emissions!$C$54:$C$69,'Emissions summary'!$C31,Emissions!X$54:X$69)</f>
        <v>0.89733657793378252</v>
      </c>
      <c r="W31" s="22">
        <f>SUMIF(Emissions!$C$54:$C$69,'Emissions summary'!$C31,Emissions!Y$54:Y$69)</f>
        <v>0.79050043347076437</v>
      </c>
      <c r="X31" s="22">
        <f>SUMIF(Emissions!$C$54:$C$69,'Emissions summary'!$C31,Emissions!Z$54:Z$69)</f>
        <v>0.72087198901421468</v>
      </c>
      <c r="Y31" s="22">
        <f>SUMIF(Emissions!$C$54:$C$69,'Emissions summary'!$C31,Emissions!AA$54:AA$69)</f>
        <v>0.80964825569631549</v>
      </c>
      <c r="Z31" s="22">
        <f>SUMIF(Emissions!$C$54:$C$69,'Emissions summary'!$C31,Emissions!AB$54:AB$69)</f>
        <v>1.0836294956999997</v>
      </c>
      <c r="AA31" s="22">
        <f>SUMIF(Emissions!$C$54:$C$69,'Emissions summary'!$C31,Emissions!AC$54:AC$69)</f>
        <v>1.1703623921999995</v>
      </c>
      <c r="AB31" s="22">
        <f>SUMIF(Emissions!$C$54:$C$69,'Emissions summary'!$C31,Emissions!AD$54:AD$69)</f>
        <v>0.86319492850198365</v>
      </c>
      <c r="AC31" s="22">
        <f>SUMIF(Emissions!$C$54:$C$69,'Emissions summary'!$C31,Emissions!AE$54:AE$69)</f>
        <v>0.86319492850198365</v>
      </c>
      <c r="AD31" s="22">
        <f>SUMIF(Emissions!$C$54:$C$69,'Emissions summary'!$C31,Emissions!AF$54:AF$69)</f>
        <v>0.86319492850198365</v>
      </c>
      <c r="AE31" s="22">
        <f>SUMIF(Emissions!$C$54:$C$69,'Emissions summary'!$C31,Emissions!AG$54:AG$69)</f>
        <v>0.86319492850198365</v>
      </c>
      <c r="AF31" s="22">
        <f>SUMIF(Emissions!$C$54:$C$69,'Emissions summary'!$C31,Emissions!AH$54:AH$69)</f>
        <v>0.86319492850198365</v>
      </c>
      <c r="AG31" s="22">
        <f>SUMIF(Emissions!$C$54:$C$69,'Emissions summary'!$C31,Emissions!AI$54:AI$69)</f>
        <v>0.86319492850198365</v>
      </c>
      <c r="AH31" s="22">
        <f>SUMIF(Emissions!$C$54:$C$69,'Emissions summary'!$C31,Emissions!AJ$54:AJ$69)</f>
        <v>0.86319492850198365</v>
      </c>
      <c r="AI31" s="22">
        <f>SUMIF(Emissions!$C$54:$C$69,'Emissions summary'!$C31,Emissions!AK$54:AK$69)</f>
        <v>0.86319492850198365</v>
      </c>
      <c r="AJ31" s="22">
        <f>SUMIF(Emissions!$C$54:$C$69,'Emissions summary'!$C31,Emissions!AL$54:AL$69)</f>
        <v>0.86319492850198365</v>
      </c>
      <c r="AK31" s="22">
        <f>SUMIF(Emissions!$C$54:$C$69,'Emissions summary'!$C31,Emissions!AM$54:AM$69)</f>
        <v>0.86319492850198365</v>
      </c>
      <c r="AL31" s="22">
        <f>SUMIF(Emissions!$C$54:$C$69,'Emissions summary'!$C31,Emissions!AN$54:AN$69)</f>
        <v>0.86319492850198365</v>
      </c>
      <c r="AM31" s="22">
        <f>SUMIF(Emissions!$C$54:$C$69,'Emissions summary'!$C31,Emissions!AO$54:AO$69)</f>
        <v>0.86319492850198365</v>
      </c>
      <c r="AN31" s="22">
        <f>SUMIF(Emissions!$C$54:$C$69,'Emissions summary'!$C31,Emissions!AP$54:AP$69)</f>
        <v>0.86319492850198365</v>
      </c>
      <c r="AO31" s="22">
        <f>SUMIF(Emissions!$C$54:$C$69,'Emissions summary'!$C31,Emissions!AQ$54:AQ$69)</f>
        <v>0.86319492850198365</v>
      </c>
      <c r="AP31" s="22">
        <f>SUMIF(Emissions!$C$54:$C$69,'Emissions summary'!$C31,Emissions!AR$54:AR$69)</f>
        <v>0.86319492850198365</v>
      </c>
      <c r="AQ31" s="22">
        <f>SUMIF(Emissions!$C$54:$C$69,'Emissions summary'!$C31,Emissions!AS$54:AS$69)</f>
        <v>0.86319492850198365</v>
      </c>
      <c r="AR31" s="22">
        <f>SUMIF(Emissions!$C$54:$C$69,'Emissions summary'!$C31,Emissions!AT$54:AT$69)</f>
        <v>0.86319492850198365</v>
      </c>
      <c r="AS31" s="22">
        <f>SUMIF(Emissions!$C$54:$C$69,'Emissions summary'!$C31,Emissions!AU$54:AU$69)</f>
        <v>0.86319492850198365</v>
      </c>
      <c r="AT31" s="22">
        <f>SUMIF(Emissions!$C$54:$C$69,'Emissions summary'!$C31,Emissions!AV$54:AV$69)</f>
        <v>0.86319492850198365</v>
      </c>
      <c r="AU31" s="22">
        <f>SUMIF(Emissions!$C$54:$C$69,'Emissions summary'!$C31,Emissions!AW$54:AW$69)</f>
        <v>0.86319492850198365</v>
      </c>
      <c r="AV31" s="22">
        <f>SUMIF(Emissions!$C$54:$C$69,'Emissions summary'!$C31,Emissions!AX$54:AX$69)</f>
        <v>0.86319492850198365</v>
      </c>
      <c r="AW31" s="22">
        <f>SUMIF(Emissions!$C$54:$C$69,'Emissions summary'!$C31,Emissions!AY$54:AY$69)</f>
        <v>0.86319492850198365</v>
      </c>
      <c r="AX31" s="22">
        <f>SUMIF(Emissions!$C$54:$C$69,'Emissions summary'!$C31,Emissions!AZ$54:AZ$69)</f>
        <v>0.86319492850198365</v>
      </c>
      <c r="AY31" s="22">
        <f>SUMIF(Emissions!$C$54:$C$69,'Emissions summary'!$C31,Emissions!BA$54:BA$69)</f>
        <v>0.86319492850198365</v>
      </c>
      <c r="AZ31" s="22">
        <f>SUMIF(Emissions!$C$54:$C$69,'Emissions summary'!$C31,Emissions!BB$54:BB$69)</f>
        <v>0.86319492850198365</v>
      </c>
      <c r="BA31" s="22">
        <f>SUMIF(Emissions!$C$54:$C$69,'Emissions summary'!$C31,Emissions!BC$54:BC$69)</f>
        <v>0.86319492850198365</v>
      </c>
      <c r="BB31" s="22">
        <f>SUMIF(Emissions!$C$54:$C$69,'Emissions summary'!$C31,Emissions!BD$54:BD$69)</f>
        <v>0.86319492850198365</v>
      </c>
      <c r="BC31" s="22">
        <f>SUMIF(Emissions!$C$54:$C$69,'Emissions summary'!$C31,Emissions!BE$54:BE$69)</f>
        <v>0.86319492850198365</v>
      </c>
      <c r="BD31" s="22">
        <f>SUMIF(Emissions!$C$54:$C$69,'Emissions summary'!$C31,Emissions!BF$54:BF$69)</f>
        <v>0.86319492850198365</v>
      </c>
      <c r="BE31" s="22">
        <f>SUMIF(Emissions!$C$54:$C$69,'Emissions summary'!$C31,Emissions!BG$54:BG$69)</f>
        <v>0.86319492850198365</v>
      </c>
      <c r="BF31" s="22">
        <f>SUMIF(Emissions!$C$54:$C$69,'Emissions summary'!$C31,Emissions!BH$54:BH$69)</f>
        <v>0.86319492850198365</v>
      </c>
      <c r="BG31" s="22">
        <f>SUMIF(Emissions!$C$54:$C$69,'Emissions summary'!$C31,Emissions!BI$54:BI$69)</f>
        <v>0.86319492850198365</v>
      </c>
      <c r="BH31" s="22">
        <f>SUMIF(Emissions!$C$54:$C$69,'Emissions summary'!$C31,Emissions!BJ$54:BJ$69)</f>
        <v>0.86319492850198365</v>
      </c>
      <c r="BI31" s="22">
        <f>SUMIF(Emissions!$C$54:$C$69,'Emissions summary'!$C31,Emissions!BK$54:BK$69)</f>
        <v>0.86319492850198365</v>
      </c>
      <c r="BJ31" s="22">
        <f>SUMIF(Emissions!$C$54:$C$69,'Emissions summary'!$C31,Emissions!BL$54:BL$69)</f>
        <v>0.86319492850198365</v>
      </c>
      <c r="BK31" s="22">
        <f>SUMIF(Emissions!$C$54:$C$69,'Emissions summary'!$C31,Emissions!BM$54:BM$69)</f>
        <v>0.86319492850198365</v>
      </c>
      <c r="BL31" s="22">
        <f>SUMIF(Emissions!$C$54:$C$69,'Emissions summary'!$C31,Emissions!BN$54:BN$69)</f>
        <v>0.86319492850198365</v>
      </c>
      <c r="BM31" s="22">
        <f>SUMIF(Emissions!$C$54:$C$69,'Emissions summary'!$C31,Emissions!BO$54:BO$69)</f>
        <v>0.86319492850198365</v>
      </c>
      <c r="BN31" s="22">
        <f>SUMIF(Emissions!$C$54:$C$69,'Emissions summary'!$C31,Emissions!BP$54:BP$69)</f>
        <v>0.86319492850198365</v>
      </c>
    </row>
    <row r="32" spans="1:66" x14ac:dyDescent="0.25">
      <c r="A32" t="str">
        <f t="shared" si="18"/>
        <v>3C Aggregated and non-CO2 emissions on land</v>
      </c>
      <c r="B32" t="str">
        <f t="shared" si="19"/>
        <v>3C1 Biomass burning (CH4)</v>
      </c>
      <c r="C32" t="str">
        <f>'IPCC Categories'!C63</f>
        <v>3C1e Biomass burning in Settlements</v>
      </c>
      <c r="D32" t="str">
        <f t="shared" si="20"/>
        <v>CH4</v>
      </c>
      <c r="E32" t="str">
        <f t="shared" si="20"/>
        <v>Gg CH4</v>
      </c>
      <c r="F32" s="22">
        <f>SUMIF(Emissions!$C$54:$C$69,'Emissions summary'!$C32,Emissions!H$54:H$69)</f>
        <v>0.48879168008497798</v>
      </c>
      <c r="G32" s="22">
        <f>SUMIF(Emissions!$C$54:$C$69,'Emissions summary'!$C32,Emissions!I$54:I$69)</f>
        <v>0.48879168008497798</v>
      </c>
      <c r="H32" s="22">
        <f>SUMIF(Emissions!$C$54:$C$69,'Emissions summary'!$C32,Emissions!J$54:J$69)</f>
        <v>0.48879168008497798</v>
      </c>
      <c r="I32" s="22">
        <f>SUMIF(Emissions!$C$54:$C$69,'Emissions summary'!$C32,Emissions!K$54:K$69)</f>
        <v>0.48879168008497798</v>
      </c>
      <c r="J32" s="22">
        <f>SUMIF(Emissions!$C$54:$C$69,'Emissions summary'!$C32,Emissions!L$54:L$69)</f>
        <v>0.48879168008497798</v>
      </c>
      <c r="K32" s="22">
        <f>SUMIF(Emissions!$C$54:$C$69,'Emissions summary'!$C32,Emissions!M$54:M$69)</f>
        <v>0.48879168008497798</v>
      </c>
      <c r="L32" s="22">
        <f>SUMIF(Emissions!$C$54:$C$69,'Emissions summary'!$C32,Emissions!N$54:N$69)</f>
        <v>0.48879168008497798</v>
      </c>
      <c r="M32" s="22">
        <f>SUMIF(Emissions!$C$54:$C$69,'Emissions summary'!$C32,Emissions!O$54:O$69)</f>
        <v>0.48879168008497798</v>
      </c>
      <c r="N32" s="22">
        <f>SUMIF(Emissions!$C$54:$C$69,'Emissions summary'!$C32,Emissions!P$54:P$69)</f>
        <v>0.48879168008497798</v>
      </c>
      <c r="O32" s="22">
        <f>SUMIF(Emissions!$C$54:$C$69,'Emissions summary'!$C32,Emissions!Q$54:Q$69)</f>
        <v>0.48879168008497798</v>
      </c>
      <c r="P32" s="22">
        <f>SUMIF(Emissions!$C$54:$C$69,'Emissions summary'!$C32,Emissions!R$54:R$69)</f>
        <v>0.53244001120367745</v>
      </c>
      <c r="Q32" s="22">
        <f>SUMIF(Emissions!$C$54:$C$69,'Emissions summary'!$C32,Emissions!S$54:S$69)</f>
        <v>0.58966588899140415</v>
      </c>
      <c r="R32" s="22">
        <f>SUMIF(Emissions!$C$54:$C$69,'Emissions summary'!$C32,Emissions!T$54:T$69)</f>
        <v>0.52134297786841477</v>
      </c>
      <c r="S32" s="22">
        <f>SUMIF(Emissions!$C$54:$C$69,'Emissions summary'!$C32,Emissions!U$54:U$69)</f>
        <v>0.44975623341152487</v>
      </c>
      <c r="T32" s="22">
        <f>SUMIF(Emissions!$C$54:$C$69,'Emissions summary'!$C32,Emissions!V$54:V$69)</f>
        <v>0.35075328894986846</v>
      </c>
      <c r="U32" s="22">
        <f>SUMIF(Emissions!$C$54:$C$69,'Emissions summary'!$C32,Emissions!W$54:W$69)</f>
        <v>0.79419944458251857</v>
      </c>
      <c r="V32" s="22">
        <f>SUMIF(Emissions!$C$54:$C$69,'Emissions summary'!$C32,Emissions!X$54:X$69)</f>
        <v>0.69563167789871561</v>
      </c>
      <c r="W32" s="22">
        <f>SUMIF(Emissions!$C$54:$C$69,'Emissions summary'!$C32,Emissions!Y$54:Y$69)</f>
        <v>0.76939431124487268</v>
      </c>
      <c r="X32" s="22">
        <f>SUMIF(Emissions!$C$54:$C$69,'Emissions summary'!$C32,Emissions!Z$54:Z$69)</f>
        <v>0.47499654452702411</v>
      </c>
      <c r="Y32" s="22">
        <f>SUMIF(Emissions!$C$54:$C$69,'Emissions summary'!$C32,Emissions!AA$54:AA$69)</f>
        <v>0.5716060112104866</v>
      </c>
      <c r="Z32" s="22">
        <f>SUMIF(Emissions!$C$54:$C$69,'Emissions summary'!$C32,Emissions!AB$54:AB$69)</f>
        <v>0.42745793939999993</v>
      </c>
      <c r="AA32" s="22">
        <f>SUMIF(Emissions!$C$54:$C$69,'Emissions summary'!$C32,Emissions!AC$54:AC$69)</f>
        <v>0.29794462199999994</v>
      </c>
      <c r="AB32" s="22">
        <f>SUMIF(Emissions!$C$54:$C$69,'Emissions summary'!$C32,Emissions!AD$54:AD$69)</f>
        <v>0.42972240374246135</v>
      </c>
      <c r="AC32" s="22">
        <f>SUMIF(Emissions!$C$54:$C$69,'Emissions summary'!$C32,Emissions!AE$54:AE$69)</f>
        <v>0.43063058922924524</v>
      </c>
      <c r="AD32" s="22">
        <f>SUMIF(Emissions!$C$54:$C$69,'Emissions summary'!$C32,Emissions!AF$54:AF$69)</f>
        <v>0.43153877471602919</v>
      </c>
      <c r="AE32" s="22">
        <f>SUMIF(Emissions!$C$54:$C$69,'Emissions summary'!$C32,Emissions!AG$54:AG$69)</f>
        <v>0.43244696020281326</v>
      </c>
      <c r="AF32" s="22">
        <f>SUMIF(Emissions!$C$54:$C$69,'Emissions summary'!$C32,Emissions!AH$54:AH$69)</f>
        <v>0.43335514568959721</v>
      </c>
      <c r="AG32" s="22">
        <f>SUMIF(Emissions!$C$54:$C$69,'Emissions summary'!$C32,Emissions!AI$54:AI$69)</f>
        <v>0.43426333117638116</v>
      </c>
      <c r="AH32" s="22">
        <f>SUMIF(Emissions!$C$54:$C$69,'Emissions summary'!$C32,Emissions!AJ$54:AJ$69)</f>
        <v>0.43517151666316517</v>
      </c>
      <c r="AI32" s="22">
        <f>SUMIF(Emissions!$C$54:$C$69,'Emissions summary'!$C32,Emissions!AK$54:AK$69)</f>
        <v>0.43607970214994918</v>
      </c>
      <c r="AJ32" s="22">
        <f>SUMIF(Emissions!$C$54:$C$69,'Emissions summary'!$C32,Emissions!AL$54:AL$69)</f>
        <v>0.43698788763673319</v>
      </c>
      <c r="AK32" s="22">
        <f>SUMIF(Emissions!$C$54:$C$69,'Emissions summary'!$C32,Emissions!AM$54:AM$69)</f>
        <v>0.43789607312351719</v>
      </c>
      <c r="AL32" s="22">
        <f>SUMIF(Emissions!$C$54:$C$69,'Emissions summary'!$C32,Emissions!AN$54:AN$69)</f>
        <v>0.4388042586103012</v>
      </c>
      <c r="AM32" s="22">
        <f>SUMIF(Emissions!$C$54:$C$69,'Emissions summary'!$C32,Emissions!AO$54:AO$69)</f>
        <v>0.43971244409708521</v>
      </c>
      <c r="AN32" s="22">
        <f>SUMIF(Emissions!$C$54:$C$69,'Emissions summary'!$C32,Emissions!AP$54:AP$69)</f>
        <v>0.44062062958386911</v>
      </c>
      <c r="AO32" s="22">
        <f>SUMIF(Emissions!$C$54:$C$69,'Emissions summary'!$C32,Emissions!AQ$54:AQ$69)</f>
        <v>0.44152881507065311</v>
      </c>
      <c r="AP32" s="22">
        <f>SUMIF(Emissions!$C$54:$C$69,'Emissions summary'!$C32,Emissions!AR$54:AR$69)</f>
        <v>0.44243700055743712</v>
      </c>
      <c r="AQ32" s="22">
        <f>SUMIF(Emissions!$C$54:$C$69,'Emissions summary'!$C32,Emissions!AS$54:AS$69)</f>
        <v>0.44334518604422107</v>
      </c>
      <c r="AR32" s="22">
        <f>SUMIF(Emissions!$C$54:$C$69,'Emissions summary'!$C32,Emissions!AT$54:AT$69)</f>
        <v>0.44425337153100508</v>
      </c>
      <c r="AS32" s="22">
        <f>SUMIF(Emissions!$C$54:$C$69,'Emissions summary'!$C32,Emissions!AU$54:AU$69)</f>
        <v>0.44516155701778909</v>
      </c>
      <c r="AT32" s="22">
        <f>SUMIF(Emissions!$C$54:$C$69,'Emissions summary'!$C32,Emissions!AV$54:AV$69)</f>
        <v>0.44606974250457304</v>
      </c>
      <c r="AU32" s="22">
        <f>SUMIF(Emissions!$C$54:$C$69,'Emissions summary'!$C32,Emissions!AW$54:AW$69)</f>
        <v>0.44697792799135705</v>
      </c>
      <c r="AV32" s="22">
        <f>SUMIF(Emissions!$C$54:$C$69,'Emissions summary'!$C32,Emissions!AX$54:AX$69)</f>
        <v>0.44788611347814106</v>
      </c>
      <c r="AW32" s="22">
        <f>SUMIF(Emissions!$C$54:$C$69,'Emissions summary'!$C32,Emissions!AY$54:AY$69)</f>
        <v>0.44879429896492501</v>
      </c>
      <c r="AX32" s="22">
        <f>SUMIF(Emissions!$C$54:$C$69,'Emissions summary'!$C32,Emissions!AZ$54:AZ$69)</f>
        <v>0.44970248445170896</v>
      </c>
      <c r="AY32" s="22">
        <f>SUMIF(Emissions!$C$54:$C$69,'Emissions summary'!$C32,Emissions!BA$54:BA$69)</f>
        <v>0.45061066993849297</v>
      </c>
      <c r="AZ32" s="22">
        <f>SUMIF(Emissions!$C$54:$C$69,'Emissions summary'!$C32,Emissions!BB$54:BB$69)</f>
        <v>0.45151885542527692</v>
      </c>
      <c r="BA32" s="22">
        <f>SUMIF(Emissions!$C$54:$C$69,'Emissions summary'!$C32,Emissions!BC$54:BC$69)</f>
        <v>0.45242704091206093</v>
      </c>
      <c r="BB32" s="22">
        <f>SUMIF(Emissions!$C$54:$C$69,'Emissions summary'!$C32,Emissions!BD$54:BD$69)</f>
        <v>0.45333522639884494</v>
      </c>
      <c r="BC32" s="22">
        <f>SUMIF(Emissions!$C$54:$C$69,'Emissions summary'!$C32,Emissions!BE$54:BE$69)</f>
        <v>0.454243411885629</v>
      </c>
      <c r="BD32" s="22">
        <f>SUMIF(Emissions!$C$54:$C$69,'Emissions summary'!$C32,Emissions!BF$54:BF$69)</f>
        <v>0.45515159737241295</v>
      </c>
      <c r="BE32" s="22">
        <f>SUMIF(Emissions!$C$54:$C$69,'Emissions summary'!$C32,Emissions!BG$54:BG$69)</f>
        <v>0.4560597828591969</v>
      </c>
      <c r="BF32" s="22">
        <f>SUMIF(Emissions!$C$54:$C$69,'Emissions summary'!$C32,Emissions!BH$54:BH$69)</f>
        <v>0.45696796834598097</v>
      </c>
      <c r="BG32" s="22">
        <f>SUMIF(Emissions!$C$54:$C$69,'Emissions summary'!$C32,Emissions!BI$54:BI$69)</f>
        <v>0.45787615383276492</v>
      </c>
      <c r="BH32" s="22">
        <f>SUMIF(Emissions!$C$54:$C$69,'Emissions summary'!$C32,Emissions!BJ$54:BJ$69)</f>
        <v>0.45878433931954882</v>
      </c>
      <c r="BI32" s="22">
        <f>SUMIF(Emissions!$C$54:$C$69,'Emissions summary'!$C32,Emissions!BK$54:BK$69)</f>
        <v>0.45969252480633288</v>
      </c>
      <c r="BJ32" s="22">
        <f>SUMIF(Emissions!$C$54:$C$69,'Emissions summary'!$C32,Emissions!BL$54:BL$69)</f>
        <v>0.46060071029311683</v>
      </c>
      <c r="BK32" s="22">
        <f>SUMIF(Emissions!$C$54:$C$69,'Emissions summary'!$C32,Emissions!BM$54:BM$69)</f>
        <v>0.46150889577990084</v>
      </c>
      <c r="BL32" s="22">
        <f>SUMIF(Emissions!$C$54:$C$69,'Emissions summary'!$C32,Emissions!BN$54:BN$69)</f>
        <v>0.46241708126668479</v>
      </c>
      <c r="BM32" s="22">
        <f>SUMIF(Emissions!$C$54:$C$69,'Emissions summary'!$C32,Emissions!BO$54:BO$69)</f>
        <v>0.4633252667534688</v>
      </c>
      <c r="BN32" s="22">
        <f>SUMIF(Emissions!$C$54:$C$69,'Emissions summary'!$C32,Emissions!BP$54:BP$69)</f>
        <v>0.46423345224025281</v>
      </c>
    </row>
    <row r="33" spans="1:66" x14ac:dyDescent="0.25">
      <c r="A33" t="str">
        <f t="shared" si="18"/>
        <v>3C Aggregated and non-CO2 emissions on land</v>
      </c>
      <c r="B33" t="str">
        <f t="shared" si="19"/>
        <v>3C1 Biomass burning (CH4)</v>
      </c>
      <c r="C33" t="str">
        <f>'IPCC Categories'!C64</f>
        <v>3C1f Biomass burning in Other lands</v>
      </c>
      <c r="D33" t="str">
        <f t="shared" si="20"/>
        <v>CH4</v>
      </c>
      <c r="E33" t="str">
        <f t="shared" si="20"/>
        <v>Gg CH4</v>
      </c>
      <c r="F33" s="22">
        <f>SUMIF(Emissions!$C$54:$C$69,'Emissions summary'!$C33,Emissions!H$54:H$69)</f>
        <v>0</v>
      </c>
      <c r="G33" s="22">
        <f>SUMIF(Emissions!$C$54:$C$69,'Emissions summary'!$C33,Emissions!I$54:I$69)</f>
        <v>0</v>
      </c>
      <c r="H33" s="22">
        <f>SUMIF(Emissions!$C$54:$C$69,'Emissions summary'!$C33,Emissions!J$54:J$69)</f>
        <v>0</v>
      </c>
      <c r="I33" s="22">
        <f>SUMIF(Emissions!$C$54:$C$69,'Emissions summary'!$C33,Emissions!K$54:K$69)</f>
        <v>0</v>
      </c>
      <c r="J33" s="22">
        <f>SUMIF(Emissions!$C$54:$C$69,'Emissions summary'!$C33,Emissions!L$54:L$69)</f>
        <v>0</v>
      </c>
      <c r="K33" s="22">
        <f>SUMIF(Emissions!$C$54:$C$69,'Emissions summary'!$C33,Emissions!M$54:M$69)</f>
        <v>0</v>
      </c>
      <c r="L33" s="22">
        <f>SUMIF(Emissions!$C$54:$C$69,'Emissions summary'!$C33,Emissions!N$54:N$69)</f>
        <v>0</v>
      </c>
      <c r="M33" s="22">
        <f>SUMIF(Emissions!$C$54:$C$69,'Emissions summary'!$C33,Emissions!O$54:O$69)</f>
        <v>0</v>
      </c>
      <c r="N33" s="22">
        <f>SUMIF(Emissions!$C$54:$C$69,'Emissions summary'!$C33,Emissions!P$54:P$69)</f>
        <v>0</v>
      </c>
      <c r="O33" s="22">
        <f>SUMIF(Emissions!$C$54:$C$69,'Emissions summary'!$C33,Emissions!Q$54:Q$69)</f>
        <v>0</v>
      </c>
      <c r="P33" s="22">
        <f>SUMIF(Emissions!$C$54:$C$69,'Emissions summary'!$C33,Emissions!R$54:R$69)</f>
        <v>0</v>
      </c>
      <c r="Q33" s="22">
        <f>SUMIF(Emissions!$C$54:$C$69,'Emissions summary'!$C33,Emissions!S$54:S$69)</f>
        <v>0</v>
      </c>
      <c r="R33" s="22">
        <f>SUMIF(Emissions!$C$54:$C$69,'Emissions summary'!$C33,Emissions!T$54:T$69)</f>
        <v>0</v>
      </c>
      <c r="S33" s="22">
        <f>SUMIF(Emissions!$C$54:$C$69,'Emissions summary'!$C33,Emissions!U$54:U$69)</f>
        <v>0</v>
      </c>
      <c r="T33" s="22">
        <f>SUMIF(Emissions!$C$54:$C$69,'Emissions summary'!$C33,Emissions!V$54:V$69)</f>
        <v>0</v>
      </c>
      <c r="U33" s="22">
        <f>SUMIF(Emissions!$C$54:$C$69,'Emissions summary'!$C33,Emissions!W$54:W$69)</f>
        <v>0</v>
      </c>
      <c r="V33" s="22">
        <f>SUMIF(Emissions!$C$54:$C$69,'Emissions summary'!$C33,Emissions!X$54:X$69)</f>
        <v>0</v>
      </c>
      <c r="W33" s="22">
        <f>SUMIF(Emissions!$C$54:$C$69,'Emissions summary'!$C33,Emissions!Y$54:Y$69)</f>
        <v>0</v>
      </c>
      <c r="X33" s="22">
        <f>SUMIF(Emissions!$C$54:$C$69,'Emissions summary'!$C33,Emissions!Z$54:Z$69)</f>
        <v>0</v>
      </c>
      <c r="Y33" s="22">
        <f>SUMIF(Emissions!$C$54:$C$69,'Emissions summary'!$C33,Emissions!AA$54:AA$69)</f>
        <v>0</v>
      </c>
      <c r="Z33" s="22">
        <f>SUMIF(Emissions!$C$54:$C$69,'Emissions summary'!$C33,Emissions!AB$54:AB$69)</f>
        <v>0</v>
      </c>
      <c r="AA33" s="22">
        <f>SUMIF(Emissions!$C$54:$C$69,'Emissions summary'!$C33,Emissions!AC$54:AC$69)</f>
        <v>0</v>
      </c>
      <c r="AB33" s="22">
        <f>SUMIF(Emissions!$C$54:$C$69,'Emissions summary'!$C33,Emissions!AD$54:AD$69)</f>
        <v>0</v>
      </c>
      <c r="AC33" s="22">
        <f>SUMIF(Emissions!$C$54:$C$69,'Emissions summary'!$C33,Emissions!AE$54:AE$69)</f>
        <v>0</v>
      </c>
      <c r="AD33" s="22">
        <f>SUMIF(Emissions!$C$54:$C$69,'Emissions summary'!$C33,Emissions!AF$54:AF$69)</f>
        <v>0</v>
      </c>
      <c r="AE33" s="22">
        <f>SUMIF(Emissions!$C$54:$C$69,'Emissions summary'!$C33,Emissions!AG$54:AG$69)</f>
        <v>0</v>
      </c>
      <c r="AF33" s="22">
        <f>SUMIF(Emissions!$C$54:$C$69,'Emissions summary'!$C33,Emissions!AH$54:AH$69)</f>
        <v>0</v>
      </c>
      <c r="AG33" s="22">
        <f>SUMIF(Emissions!$C$54:$C$69,'Emissions summary'!$C33,Emissions!AI$54:AI$69)</f>
        <v>0</v>
      </c>
      <c r="AH33" s="22">
        <f>SUMIF(Emissions!$C$54:$C$69,'Emissions summary'!$C33,Emissions!AJ$54:AJ$69)</f>
        <v>0</v>
      </c>
      <c r="AI33" s="22">
        <f>SUMIF(Emissions!$C$54:$C$69,'Emissions summary'!$C33,Emissions!AK$54:AK$69)</f>
        <v>0</v>
      </c>
      <c r="AJ33" s="22">
        <f>SUMIF(Emissions!$C$54:$C$69,'Emissions summary'!$C33,Emissions!AL$54:AL$69)</f>
        <v>0</v>
      </c>
      <c r="AK33" s="22">
        <f>SUMIF(Emissions!$C$54:$C$69,'Emissions summary'!$C33,Emissions!AM$54:AM$69)</f>
        <v>0</v>
      </c>
      <c r="AL33" s="22">
        <f>SUMIF(Emissions!$C$54:$C$69,'Emissions summary'!$C33,Emissions!AN$54:AN$69)</f>
        <v>0</v>
      </c>
      <c r="AM33" s="22">
        <f>SUMIF(Emissions!$C$54:$C$69,'Emissions summary'!$C33,Emissions!AO$54:AO$69)</f>
        <v>0</v>
      </c>
      <c r="AN33" s="22">
        <f>SUMIF(Emissions!$C$54:$C$69,'Emissions summary'!$C33,Emissions!AP$54:AP$69)</f>
        <v>0</v>
      </c>
      <c r="AO33" s="22">
        <f>SUMIF(Emissions!$C$54:$C$69,'Emissions summary'!$C33,Emissions!AQ$54:AQ$69)</f>
        <v>0</v>
      </c>
      <c r="AP33" s="22">
        <f>SUMIF(Emissions!$C$54:$C$69,'Emissions summary'!$C33,Emissions!AR$54:AR$69)</f>
        <v>0</v>
      </c>
      <c r="AQ33" s="22">
        <f>SUMIF(Emissions!$C$54:$C$69,'Emissions summary'!$C33,Emissions!AS$54:AS$69)</f>
        <v>0</v>
      </c>
      <c r="AR33" s="22">
        <f>SUMIF(Emissions!$C$54:$C$69,'Emissions summary'!$C33,Emissions!AT$54:AT$69)</f>
        <v>0</v>
      </c>
      <c r="AS33" s="22">
        <f>SUMIF(Emissions!$C$54:$C$69,'Emissions summary'!$C33,Emissions!AU$54:AU$69)</f>
        <v>0</v>
      </c>
      <c r="AT33" s="22">
        <f>SUMIF(Emissions!$C$54:$C$69,'Emissions summary'!$C33,Emissions!AV$54:AV$69)</f>
        <v>0</v>
      </c>
      <c r="AU33" s="22">
        <f>SUMIF(Emissions!$C$54:$C$69,'Emissions summary'!$C33,Emissions!AW$54:AW$69)</f>
        <v>0</v>
      </c>
      <c r="AV33" s="22">
        <f>SUMIF(Emissions!$C$54:$C$69,'Emissions summary'!$C33,Emissions!AX$54:AX$69)</f>
        <v>0</v>
      </c>
      <c r="AW33" s="22">
        <f>SUMIF(Emissions!$C$54:$C$69,'Emissions summary'!$C33,Emissions!AY$54:AY$69)</f>
        <v>0</v>
      </c>
      <c r="AX33" s="22">
        <f>SUMIF(Emissions!$C$54:$C$69,'Emissions summary'!$C33,Emissions!AZ$54:AZ$69)</f>
        <v>0</v>
      </c>
      <c r="AY33" s="22">
        <f>SUMIF(Emissions!$C$54:$C$69,'Emissions summary'!$C33,Emissions!BA$54:BA$69)</f>
        <v>0</v>
      </c>
      <c r="AZ33" s="22">
        <f>SUMIF(Emissions!$C$54:$C$69,'Emissions summary'!$C33,Emissions!BB$54:BB$69)</f>
        <v>0</v>
      </c>
      <c r="BA33" s="22">
        <f>SUMIF(Emissions!$C$54:$C$69,'Emissions summary'!$C33,Emissions!BC$54:BC$69)</f>
        <v>0</v>
      </c>
      <c r="BB33" s="22">
        <f>SUMIF(Emissions!$C$54:$C$69,'Emissions summary'!$C33,Emissions!BD$54:BD$69)</f>
        <v>0</v>
      </c>
      <c r="BC33" s="22">
        <f>SUMIF(Emissions!$C$54:$C$69,'Emissions summary'!$C33,Emissions!BE$54:BE$69)</f>
        <v>0</v>
      </c>
      <c r="BD33" s="22">
        <f>SUMIF(Emissions!$C$54:$C$69,'Emissions summary'!$C33,Emissions!BF$54:BF$69)</f>
        <v>0</v>
      </c>
      <c r="BE33" s="22">
        <f>SUMIF(Emissions!$C$54:$C$69,'Emissions summary'!$C33,Emissions!BG$54:BG$69)</f>
        <v>0</v>
      </c>
      <c r="BF33" s="22">
        <f>SUMIF(Emissions!$C$54:$C$69,'Emissions summary'!$C33,Emissions!BH$54:BH$69)</f>
        <v>0</v>
      </c>
      <c r="BG33" s="22">
        <f>SUMIF(Emissions!$C$54:$C$69,'Emissions summary'!$C33,Emissions!BI$54:BI$69)</f>
        <v>0</v>
      </c>
      <c r="BH33" s="22">
        <f>SUMIF(Emissions!$C$54:$C$69,'Emissions summary'!$C33,Emissions!BJ$54:BJ$69)</f>
        <v>0</v>
      </c>
      <c r="BI33" s="22">
        <f>SUMIF(Emissions!$C$54:$C$69,'Emissions summary'!$C33,Emissions!BK$54:BK$69)</f>
        <v>0</v>
      </c>
      <c r="BJ33" s="22">
        <f>SUMIF(Emissions!$C$54:$C$69,'Emissions summary'!$C33,Emissions!BL$54:BL$69)</f>
        <v>0</v>
      </c>
      <c r="BK33" s="22">
        <f>SUMIF(Emissions!$C$54:$C$69,'Emissions summary'!$C33,Emissions!BM$54:BM$69)</f>
        <v>0</v>
      </c>
      <c r="BL33" s="22">
        <f>SUMIF(Emissions!$C$54:$C$69,'Emissions summary'!$C33,Emissions!BN$54:BN$69)</f>
        <v>0</v>
      </c>
      <c r="BM33" s="22">
        <f>SUMIF(Emissions!$C$54:$C$69,'Emissions summary'!$C33,Emissions!BO$54:BO$69)</f>
        <v>0</v>
      </c>
      <c r="BN33" s="22">
        <f>SUMIF(Emissions!$C$54:$C$69,'Emissions summary'!$C33,Emissions!BP$54:BP$69)</f>
        <v>0</v>
      </c>
    </row>
    <row r="34" spans="1:66" s="19" customFormat="1" ht="15.75" x14ac:dyDescent="0.25">
      <c r="A34" s="19" t="str">
        <f t="shared" si="18"/>
        <v>3C Aggregated and non-CO2 emissions on land</v>
      </c>
      <c r="B34" s="19" t="str">
        <f>'IPCC Categories'!B65</f>
        <v>3C1 Biomass burning (N2O)</v>
      </c>
      <c r="C34" s="19" t="s">
        <v>148</v>
      </c>
      <c r="D34" s="19" t="s">
        <v>139</v>
      </c>
      <c r="E34" s="19" t="s">
        <v>287</v>
      </c>
      <c r="F34" s="49">
        <f>SUM(F35:F40)</f>
        <v>3.7075879357894523</v>
      </c>
      <c r="G34" s="49">
        <f t="shared" ref="G34:BN34" si="21">SUM(G35:G40)</f>
        <v>3.7075879357894523</v>
      </c>
      <c r="H34" s="49">
        <f t="shared" si="21"/>
        <v>3.7075879357894523</v>
      </c>
      <c r="I34" s="49">
        <f t="shared" si="21"/>
        <v>3.7075879357894523</v>
      </c>
      <c r="J34" s="49">
        <f t="shared" si="21"/>
        <v>3.7075879357894523</v>
      </c>
      <c r="K34" s="49">
        <f t="shared" si="21"/>
        <v>3.7075879357894523</v>
      </c>
      <c r="L34" s="49">
        <f t="shared" si="21"/>
        <v>3.7075879357894523</v>
      </c>
      <c r="M34" s="49">
        <f t="shared" si="21"/>
        <v>3.7075879357894523</v>
      </c>
      <c r="N34" s="49">
        <f t="shared" si="21"/>
        <v>3.7075879357894523</v>
      </c>
      <c r="O34" s="49">
        <f t="shared" si="21"/>
        <v>3.7075879357894523</v>
      </c>
      <c r="P34" s="49">
        <f t="shared" si="21"/>
        <v>3.6718973949162081</v>
      </c>
      <c r="Q34" s="49">
        <f t="shared" si="21"/>
        <v>4.3479436666429772</v>
      </c>
      <c r="R34" s="49">
        <f t="shared" si="21"/>
        <v>4.2850613259475647</v>
      </c>
      <c r="S34" s="49">
        <f t="shared" si="21"/>
        <v>3.282468107830713</v>
      </c>
      <c r="T34" s="49">
        <f t="shared" si="21"/>
        <v>2.9505691836097965</v>
      </c>
      <c r="U34" s="49">
        <f t="shared" si="21"/>
        <v>4.6706814433352601</v>
      </c>
      <c r="V34" s="49">
        <f t="shared" si="21"/>
        <v>4.0754902880758053</v>
      </c>
      <c r="W34" s="49">
        <f t="shared" si="21"/>
        <v>3.9272122256664277</v>
      </c>
      <c r="X34" s="49">
        <f t="shared" si="21"/>
        <v>3.8070383668685825</v>
      </c>
      <c r="Y34" s="49">
        <f t="shared" si="21"/>
        <v>3.574643820819225</v>
      </c>
      <c r="Z34" s="49">
        <f t="shared" si="21"/>
        <v>3.6185702919300007</v>
      </c>
      <c r="AA34" s="49">
        <f t="shared" si="21"/>
        <v>3.5841393659915992</v>
      </c>
      <c r="AB34" s="49">
        <f t="shared" si="21"/>
        <v>3.090013816562077</v>
      </c>
      <c r="AC34" s="49">
        <f t="shared" si="21"/>
        <v>3.2036391768546908</v>
      </c>
      <c r="AD34" s="49">
        <f t="shared" si="21"/>
        <v>3.1730419131473035</v>
      </c>
      <c r="AE34" s="49">
        <f t="shared" si="21"/>
        <v>3.1449518814399164</v>
      </c>
      <c r="AF34" s="49">
        <f t="shared" si="21"/>
        <v>3.1761268737325303</v>
      </c>
      <c r="AG34" s="49">
        <f t="shared" si="21"/>
        <v>3.2043578340251431</v>
      </c>
      <c r="AH34" s="49">
        <f t="shared" si="21"/>
        <v>3.2157894663177569</v>
      </c>
      <c r="AI34" s="49">
        <f t="shared" si="21"/>
        <v>3.2312714849038415</v>
      </c>
      <c r="AJ34" s="49">
        <f t="shared" si="21"/>
        <v>3.2467535034899253</v>
      </c>
      <c r="AK34" s="49">
        <f t="shared" si="21"/>
        <v>3.26223552207601</v>
      </c>
      <c r="AL34" s="49">
        <f t="shared" si="21"/>
        <v>3.2777175406620933</v>
      </c>
      <c r="AM34" s="49">
        <f t="shared" si="21"/>
        <v>3.2931995592481784</v>
      </c>
      <c r="AN34" s="49">
        <f t="shared" si="21"/>
        <v>3.3086815778342631</v>
      </c>
      <c r="AO34" s="49">
        <f t="shared" si="21"/>
        <v>3.3241635964203464</v>
      </c>
      <c r="AP34" s="49">
        <f t="shared" si="21"/>
        <v>3.3396456150064311</v>
      </c>
      <c r="AQ34" s="49">
        <f t="shared" si="21"/>
        <v>3.3551276335925149</v>
      </c>
      <c r="AR34" s="49">
        <f t="shared" si="21"/>
        <v>3.3706096521785995</v>
      </c>
      <c r="AS34" s="49">
        <f t="shared" si="21"/>
        <v>3.3860916707646842</v>
      </c>
      <c r="AT34" s="49">
        <f t="shared" si="21"/>
        <v>3.4015736893507675</v>
      </c>
      <c r="AU34" s="49">
        <f t="shared" si="21"/>
        <v>3.4166247163658898</v>
      </c>
      <c r="AV34" s="49">
        <f t="shared" si="21"/>
        <v>3.4316757433810112</v>
      </c>
      <c r="AW34" s="49">
        <f t="shared" si="21"/>
        <v>3.4467267703961331</v>
      </c>
      <c r="AX34" s="49">
        <f t="shared" si="21"/>
        <v>3.4617777974112558</v>
      </c>
      <c r="AY34" s="49">
        <f t="shared" si="21"/>
        <v>3.4768288244263776</v>
      </c>
      <c r="AZ34" s="49">
        <f t="shared" si="21"/>
        <v>3.491879851441499</v>
      </c>
      <c r="BA34" s="49">
        <f t="shared" si="21"/>
        <v>3.5069308784566204</v>
      </c>
      <c r="BB34" s="49">
        <f t="shared" si="21"/>
        <v>3.5219819054717427</v>
      </c>
      <c r="BC34" s="49">
        <f t="shared" si="21"/>
        <v>3.5362807779692043</v>
      </c>
      <c r="BD34" s="49">
        <f t="shared" si="21"/>
        <v>3.5505796504666653</v>
      </c>
      <c r="BE34" s="49">
        <f t="shared" si="21"/>
        <v>3.5648785229641264</v>
      </c>
      <c r="BF34" s="49">
        <f t="shared" si="21"/>
        <v>3.5791773954615884</v>
      </c>
      <c r="BG34" s="49">
        <f t="shared" si="21"/>
        <v>3.59347626795905</v>
      </c>
      <c r="BH34" s="49">
        <f t="shared" si="21"/>
        <v>3.6077751404565115</v>
      </c>
      <c r="BI34" s="49">
        <f t="shared" si="21"/>
        <v>3.622074012953973</v>
      </c>
      <c r="BJ34" s="49">
        <f t="shared" si="21"/>
        <v>3.6363728854514346</v>
      </c>
      <c r="BK34" s="49">
        <f t="shared" si="21"/>
        <v>3.6506717579488956</v>
      </c>
      <c r="BL34" s="49">
        <f t="shared" si="21"/>
        <v>3.6649706304463576</v>
      </c>
      <c r="BM34" s="49">
        <f t="shared" si="21"/>
        <v>3.6792695029438187</v>
      </c>
      <c r="BN34" s="49">
        <f t="shared" si="21"/>
        <v>3.6935683754412798</v>
      </c>
    </row>
    <row r="35" spans="1:66" x14ac:dyDescent="0.25">
      <c r="A35" t="str">
        <f>A33</f>
        <v>3C Aggregated and non-CO2 emissions on land</v>
      </c>
      <c r="B35" t="str">
        <f>'IPCC Categories'!B65</f>
        <v>3C1 Biomass burning (N2O)</v>
      </c>
      <c r="C35" t="str">
        <f>'IPCC Categories'!C65</f>
        <v>3C1a Biomass burning in forest land</v>
      </c>
      <c r="D35" t="s">
        <v>139</v>
      </c>
      <c r="E35" t="s">
        <v>287</v>
      </c>
      <c r="F35" s="22">
        <f>SUMIF(Emissions!$C$70:$C$85,'Emissions summary'!$C35,Emissions!H$70:H$85)</f>
        <v>1.1438763741385864</v>
      </c>
      <c r="G35" s="22">
        <f>SUMIF(Emissions!$C$70:$C$85,'Emissions summary'!$C35,Emissions!I$70:I$85)</f>
        <v>1.1438763741385864</v>
      </c>
      <c r="H35" s="22">
        <f>SUMIF(Emissions!$C$70:$C$85,'Emissions summary'!$C35,Emissions!J$70:J$85)</f>
        <v>1.1438763741385864</v>
      </c>
      <c r="I35" s="22">
        <f>SUMIF(Emissions!$C$70:$C$85,'Emissions summary'!$C35,Emissions!K$70:K$85)</f>
        <v>1.1438763741385864</v>
      </c>
      <c r="J35" s="22">
        <f>SUMIF(Emissions!$C$70:$C$85,'Emissions summary'!$C35,Emissions!L$70:L$85)</f>
        <v>1.1438763741385864</v>
      </c>
      <c r="K35" s="22">
        <f>SUMIF(Emissions!$C$70:$C$85,'Emissions summary'!$C35,Emissions!M$70:M$85)</f>
        <v>1.1438763741385864</v>
      </c>
      <c r="L35" s="22">
        <f>SUMIF(Emissions!$C$70:$C$85,'Emissions summary'!$C35,Emissions!N$70:N$85)</f>
        <v>1.1438763741385864</v>
      </c>
      <c r="M35" s="22">
        <f>SUMIF(Emissions!$C$70:$C$85,'Emissions summary'!$C35,Emissions!O$70:O$85)</f>
        <v>1.1438763741385864</v>
      </c>
      <c r="N35" s="22">
        <f>SUMIF(Emissions!$C$70:$C$85,'Emissions summary'!$C35,Emissions!P$70:P$85)</f>
        <v>1.1438763741385864</v>
      </c>
      <c r="O35" s="22">
        <f>SUMIF(Emissions!$C$70:$C$85,'Emissions summary'!$C35,Emissions!Q$70:Q$85)</f>
        <v>1.1438763741385864</v>
      </c>
      <c r="P35" s="22">
        <f>SUMIF(Emissions!$C$70:$C$85,'Emissions summary'!$C35,Emissions!R$70:R$85)</f>
        <v>1.129665625804974</v>
      </c>
      <c r="Q35" s="22">
        <f>SUMIF(Emissions!$C$70:$C$85,'Emissions summary'!$C35,Emissions!S$70:S$85)</f>
        <v>1.5001940667446125</v>
      </c>
      <c r="R35" s="22">
        <f>SUMIF(Emissions!$C$70:$C$85,'Emissions summary'!$C35,Emissions!T$70:T$85)</f>
        <v>1.2536062459262034</v>
      </c>
      <c r="S35" s="22">
        <f>SUMIF(Emissions!$C$70:$C$85,'Emissions summary'!$C35,Emissions!U$70:U$85)</f>
        <v>0.90130843582112352</v>
      </c>
      <c r="T35" s="22">
        <f>SUMIF(Emissions!$C$70:$C$85,'Emissions summary'!$C35,Emissions!V$70:V$85)</f>
        <v>0.93460749639601826</v>
      </c>
      <c r="U35" s="22">
        <f>SUMIF(Emissions!$C$70:$C$85,'Emissions summary'!$C35,Emissions!W$70:W$85)</f>
        <v>1.4818082671125721</v>
      </c>
      <c r="V35" s="22">
        <f>SUMIF(Emissions!$C$70:$C$85,'Emissions summary'!$C35,Emissions!X$70:X$85)</f>
        <v>1.2335191780721162</v>
      </c>
      <c r="W35" s="22">
        <f>SUMIF(Emissions!$C$70:$C$85,'Emissions summary'!$C35,Emissions!Y$70:Y$85)</f>
        <v>1.3425917486681966</v>
      </c>
      <c r="X35" s="22">
        <f>SUMIF(Emissions!$C$70:$C$85,'Emissions summary'!$C35,Emissions!Z$70:Z$85)</f>
        <v>1.3834411759926073</v>
      </c>
      <c r="Y35" s="22">
        <f>SUMIF(Emissions!$C$70:$C$85,'Emissions summary'!$C35,Emissions!AA$70:AA$85)</f>
        <v>1.0406581288181318</v>
      </c>
      <c r="Z35" s="22">
        <f>SUMIF(Emissions!$C$70:$C$85,'Emissions summary'!$C35,Emissions!AB$70:AB$85)</f>
        <v>1.1705685167880002</v>
      </c>
      <c r="AA35" s="22">
        <f>SUMIF(Emissions!$C$70:$C$85,'Emissions summary'!$C35,Emissions!AC$70:AC$85)</f>
        <v>1.1141746509779999</v>
      </c>
      <c r="AB35" s="22">
        <f>SUMIF(Emissions!$C$70:$C$85,'Emissions summary'!$C35,Emissions!AD$70:AD$85)</f>
        <v>0.81337835040550022</v>
      </c>
      <c r="AC35" s="22">
        <f>SUMIF(Emissions!$C$70:$C$85,'Emissions summary'!$C35,Emissions!AE$70:AE$85)</f>
        <v>0.91618667449117541</v>
      </c>
      <c r="AD35" s="22">
        <f>SUMIF(Emissions!$C$70:$C$85,'Emissions summary'!$C35,Emissions!AF$70:AF$85)</f>
        <v>0.87477237457685053</v>
      </c>
      <c r="AE35" s="22">
        <f>SUMIF(Emissions!$C$70:$C$85,'Emissions summary'!$C35,Emissions!AG$70:AG$85)</f>
        <v>0.83586530666252568</v>
      </c>
      <c r="AF35" s="22">
        <f>SUMIF(Emissions!$C$70:$C$85,'Emissions summary'!$C35,Emissions!AH$70:AH$85)</f>
        <v>0.85622326274820093</v>
      </c>
      <c r="AG35" s="22">
        <f>SUMIF(Emissions!$C$70:$C$85,'Emissions summary'!$C35,Emissions!AI$70:AI$85)</f>
        <v>0.87363718683387614</v>
      </c>
      <c r="AH35" s="22">
        <f>SUMIF(Emissions!$C$70:$C$85,'Emissions summary'!$C35,Emissions!AJ$70:AJ$85)</f>
        <v>0.87425178291955141</v>
      </c>
      <c r="AI35" s="22">
        <f>SUMIF(Emissions!$C$70:$C$85,'Emissions summary'!$C35,Emissions!AK$70:AK$85)</f>
        <v>0.87129977937663372</v>
      </c>
      <c r="AJ35" s="22">
        <f>SUMIF(Emissions!$C$70:$C$85,'Emissions summary'!$C35,Emissions!AL$70:AL$85)</f>
        <v>0.86834777583371592</v>
      </c>
      <c r="AK35" s="22">
        <f>SUMIF(Emissions!$C$70:$C$85,'Emissions summary'!$C35,Emissions!AM$70:AM$85)</f>
        <v>0.86539577229079812</v>
      </c>
      <c r="AL35" s="22">
        <f>SUMIF(Emissions!$C$70:$C$85,'Emissions summary'!$C35,Emissions!AN$70:AN$85)</f>
        <v>0.86244376874788042</v>
      </c>
      <c r="AM35" s="22">
        <f>SUMIF(Emissions!$C$70:$C$85,'Emissions summary'!$C35,Emissions!AO$70:AO$85)</f>
        <v>0.85949176520496295</v>
      </c>
      <c r="AN35" s="22">
        <f>SUMIF(Emissions!$C$70:$C$85,'Emissions summary'!$C35,Emissions!AP$70:AP$85)</f>
        <v>0.85653976166204526</v>
      </c>
      <c r="AO35" s="22">
        <f>SUMIF(Emissions!$C$70:$C$85,'Emissions summary'!$C35,Emissions!AQ$70:AQ$85)</f>
        <v>0.85358775811912746</v>
      </c>
      <c r="AP35" s="22">
        <f>SUMIF(Emissions!$C$70:$C$85,'Emissions summary'!$C35,Emissions!AR$70:AR$85)</f>
        <v>0.85063575457620977</v>
      </c>
      <c r="AQ35" s="22">
        <f>SUMIF(Emissions!$C$70:$C$85,'Emissions summary'!$C35,Emissions!AS$70:AS$85)</f>
        <v>0.84768375103329197</v>
      </c>
      <c r="AR35" s="22">
        <f>SUMIF(Emissions!$C$70:$C$85,'Emissions summary'!$C35,Emissions!AT$70:AT$85)</f>
        <v>0.84473174749037416</v>
      </c>
      <c r="AS35" s="22">
        <f>SUMIF(Emissions!$C$70:$C$85,'Emissions summary'!$C35,Emissions!AU$70:AU$85)</f>
        <v>0.84177974394745669</v>
      </c>
      <c r="AT35" s="22">
        <f>SUMIF(Emissions!$C$70:$C$85,'Emissions summary'!$C35,Emissions!AV$70:AV$85)</f>
        <v>0.838827740404539</v>
      </c>
      <c r="AU35" s="22">
        <f>SUMIF(Emissions!$C$70:$C$85,'Emissions summary'!$C35,Emissions!AW$70:AW$85)</f>
        <v>0.83512358234396089</v>
      </c>
      <c r="AV35" s="22">
        <f>SUMIF(Emissions!$C$70:$C$85,'Emissions summary'!$C35,Emissions!AX$70:AX$85)</f>
        <v>0.83141942428338278</v>
      </c>
      <c r="AW35" s="22">
        <f>SUMIF(Emissions!$C$70:$C$85,'Emissions summary'!$C35,Emissions!AY$70:AY$85)</f>
        <v>0.82771526622280467</v>
      </c>
      <c r="AX35" s="22">
        <f>SUMIF(Emissions!$C$70:$C$85,'Emissions summary'!$C35,Emissions!AZ$70:AZ$85)</f>
        <v>0.82401110816222667</v>
      </c>
      <c r="AY35" s="22">
        <f>SUMIF(Emissions!$C$70:$C$85,'Emissions summary'!$C35,Emissions!BA$70:BA$85)</f>
        <v>0.82030695010164856</v>
      </c>
      <c r="AZ35" s="22">
        <f>SUMIF(Emissions!$C$70:$C$85,'Emissions summary'!$C35,Emissions!BB$70:BB$85)</f>
        <v>0.81660279204107056</v>
      </c>
      <c r="BA35" s="22">
        <f>SUMIF(Emissions!$C$70:$C$85,'Emissions summary'!$C35,Emissions!BC$70:BC$85)</f>
        <v>0.81289863398049245</v>
      </c>
      <c r="BB35" s="22">
        <f>SUMIF(Emissions!$C$70:$C$85,'Emissions summary'!$C35,Emissions!BD$70:BD$85)</f>
        <v>0.80919447591991434</v>
      </c>
      <c r="BC35" s="22">
        <f>SUMIF(Emissions!$C$70:$C$85,'Emissions summary'!$C35,Emissions!BE$70:BE$85)</f>
        <v>0.80473816334167581</v>
      </c>
      <c r="BD35" s="22">
        <f>SUMIF(Emissions!$C$70:$C$85,'Emissions summary'!$C35,Emissions!BF$70:BF$85)</f>
        <v>0.80028185076343727</v>
      </c>
      <c r="BE35" s="22">
        <f>SUMIF(Emissions!$C$70:$C$85,'Emissions summary'!$C35,Emissions!BG$70:BG$85)</f>
        <v>0.79582553818519886</v>
      </c>
      <c r="BF35" s="22">
        <f>SUMIF(Emissions!$C$70:$C$85,'Emissions summary'!$C35,Emissions!BH$70:BH$85)</f>
        <v>0.79136922560696055</v>
      </c>
      <c r="BG35" s="22">
        <f>SUMIF(Emissions!$C$70:$C$85,'Emissions summary'!$C35,Emissions!BI$70:BI$85)</f>
        <v>0.78691291302872202</v>
      </c>
      <c r="BH35" s="22">
        <f>SUMIF(Emissions!$C$70:$C$85,'Emissions summary'!$C35,Emissions!BJ$70:BJ$85)</f>
        <v>0.7824566004504836</v>
      </c>
      <c r="BI35" s="22">
        <f>SUMIF(Emissions!$C$70:$C$85,'Emissions summary'!$C35,Emissions!BK$70:BK$85)</f>
        <v>0.77800028787224518</v>
      </c>
      <c r="BJ35" s="22">
        <f>SUMIF(Emissions!$C$70:$C$85,'Emissions summary'!$C35,Emissions!BL$70:BL$85)</f>
        <v>0.77354397529400676</v>
      </c>
      <c r="BK35" s="22">
        <f>SUMIF(Emissions!$C$70:$C$85,'Emissions summary'!$C35,Emissions!BM$70:BM$85)</f>
        <v>0.76908766271576834</v>
      </c>
      <c r="BL35" s="22">
        <f>SUMIF(Emissions!$C$70:$C$85,'Emissions summary'!$C35,Emissions!BN$70:BN$85)</f>
        <v>0.76463135013752992</v>
      </c>
      <c r="BM35" s="22">
        <f>SUMIF(Emissions!$C$70:$C$85,'Emissions summary'!$C35,Emissions!BO$70:BO$85)</f>
        <v>0.76017503755929161</v>
      </c>
      <c r="BN35" s="22">
        <f>SUMIF(Emissions!$C$70:$C$85,'Emissions summary'!$C35,Emissions!BP$70:BP$85)</f>
        <v>0.75571872498105297</v>
      </c>
    </row>
    <row r="36" spans="1:66" x14ac:dyDescent="0.25">
      <c r="A36" t="str">
        <f t="shared" si="18"/>
        <v>3C Aggregated and non-CO2 emissions on land</v>
      </c>
      <c r="B36" t="str">
        <f>B35</f>
        <v>3C1 Biomass burning (N2O)</v>
      </c>
      <c r="C36" t="str">
        <f>'IPCC Categories'!C66</f>
        <v>3C1b Biomass burning in Croplands</v>
      </c>
      <c r="D36" t="str">
        <f>D35</f>
        <v>N2O</v>
      </c>
      <c r="E36" t="str">
        <f>E35</f>
        <v>Gg N2O</v>
      </c>
      <c r="F36" s="22">
        <f>SUMIF(Emissions!$C$70:$C$85,'Emissions summary'!$C36,Emissions!H$70:H$85)</f>
        <v>0.26227938544915658</v>
      </c>
      <c r="G36" s="22">
        <f>SUMIF(Emissions!$C$70:$C$85,'Emissions summary'!$C36,Emissions!I$70:I$85)</f>
        <v>0.26227938544915658</v>
      </c>
      <c r="H36" s="22">
        <f>SUMIF(Emissions!$C$70:$C$85,'Emissions summary'!$C36,Emissions!J$70:J$85)</f>
        <v>0.26227938544915658</v>
      </c>
      <c r="I36" s="22">
        <f>SUMIF(Emissions!$C$70:$C$85,'Emissions summary'!$C36,Emissions!K$70:K$85)</f>
        <v>0.26227938544915658</v>
      </c>
      <c r="J36" s="22">
        <f>SUMIF(Emissions!$C$70:$C$85,'Emissions summary'!$C36,Emissions!L$70:L$85)</f>
        <v>0.26227938544915658</v>
      </c>
      <c r="K36" s="22">
        <f>SUMIF(Emissions!$C$70:$C$85,'Emissions summary'!$C36,Emissions!M$70:M$85)</f>
        <v>0.26227938544915658</v>
      </c>
      <c r="L36" s="22">
        <f>SUMIF(Emissions!$C$70:$C$85,'Emissions summary'!$C36,Emissions!N$70:N$85)</f>
        <v>0.26227938544915658</v>
      </c>
      <c r="M36" s="22">
        <f>SUMIF(Emissions!$C$70:$C$85,'Emissions summary'!$C36,Emissions!O$70:O$85)</f>
        <v>0.26227938544915658</v>
      </c>
      <c r="N36" s="22">
        <f>SUMIF(Emissions!$C$70:$C$85,'Emissions summary'!$C36,Emissions!P$70:P$85)</f>
        <v>0.26227938544915658</v>
      </c>
      <c r="O36" s="22">
        <f>SUMIF(Emissions!$C$70:$C$85,'Emissions summary'!$C36,Emissions!Q$70:Q$85)</f>
        <v>0.26227938544915658</v>
      </c>
      <c r="P36" s="22">
        <f>SUMIF(Emissions!$C$70:$C$85,'Emissions summary'!$C36,Emissions!R$70:R$85)</f>
        <v>0.27249351091104779</v>
      </c>
      <c r="Q36" s="22">
        <f>SUMIF(Emissions!$C$70:$C$85,'Emissions summary'!$C36,Emissions!S$70:S$85)</f>
        <v>0.28214910438509594</v>
      </c>
      <c r="R36" s="22">
        <f>SUMIF(Emissions!$C$70:$C$85,'Emissions summary'!$C36,Emissions!T$70:T$85)</f>
        <v>0.3096912890487743</v>
      </c>
      <c r="S36" s="22">
        <f>SUMIF(Emissions!$C$70:$C$85,'Emissions summary'!$C36,Emissions!U$70:U$85)</f>
        <v>0.24106195370044609</v>
      </c>
      <c r="T36" s="22">
        <f>SUMIF(Emissions!$C$70:$C$85,'Emissions summary'!$C36,Emissions!V$70:V$85)</f>
        <v>0.20600106920041864</v>
      </c>
      <c r="U36" s="22">
        <f>SUMIF(Emissions!$C$70:$C$85,'Emissions summary'!$C36,Emissions!W$70:W$85)</f>
        <v>0.35933732059976431</v>
      </c>
      <c r="V36" s="22">
        <f>SUMIF(Emissions!$C$70:$C$85,'Emissions summary'!$C36,Emissions!X$70:X$85)</f>
        <v>0.33855631263102837</v>
      </c>
      <c r="W36" s="22">
        <f>SUMIF(Emissions!$C$70:$C$85,'Emissions summary'!$C36,Emissions!Y$70:Y$85)</f>
        <v>0.27162292461420739</v>
      </c>
      <c r="X36" s="22">
        <f>SUMIF(Emissions!$C$70:$C$85,'Emissions summary'!$C36,Emissions!Z$70:Z$85)</f>
        <v>0.2444764609945474</v>
      </c>
      <c r="Y36" s="22">
        <f>SUMIF(Emissions!$C$70:$C$85,'Emissions summary'!$C36,Emissions!AA$70:AA$85)</f>
        <v>0.25418858604631245</v>
      </c>
      <c r="Z36" s="22">
        <f>SUMIF(Emissions!$C$70:$C$85,'Emissions summary'!$C36,Emissions!AB$70:AB$85)</f>
        <v>0.25351308360000002</v>
      </c>
      <c r="AA36" s="22">
        <f>SUMIF(Emissions!$C$70:$C$85,'Emissions summary'!$C36,Emissions!AC$70:AC$85)</f>
        <v>0.24445247399999998</v>
      </c>
      <c r="AB36" s="22">
        <f>SUMIF(Emissions!$C$70:$C$85,'Emissions summary'!$C36,Emissions!AD$70:AD$85)</f>
        <v>0.23150267764623561</v>
      </c>
      <c r="AC36" s="22">
        <f>SUMIF(Emissions!$C$70:$C$85,'Emissions summary'!$C36,Emissions!AE$70:AE$85)</f>
        <v>0.23149080350455245</v>
      </c>
      <c r="AD36" s="22">
        <f>SUMIF(Emissions!$C$70:$C$85,'Emissions summary'!$C36,Emissions!AF$70:AF$85)</f>
        <v>0.23147892936286932</v>
      </c>
      <c r="AE36" s="22">
        <f>SUMIF(Emissions!$C$70:$C$85,'Emissions summary'!$C36,Emissions!AG$70:AG$85)</f>
        <v>0.23146705522118621</v>
      </c>
      <c r="AF36" s="22">
        <f>SUMIF(Emissions!$C$70:$C$85,'Emissions summary'!$C36,Emissions!AH$70:AH$85)</f>
        <v>0.23145518107950305</v>
      </c>
      <c r="AG36" s="22">
        <f>SUMIF(Emissions!$C$70:$C$85,'Emissions summary'!$C36,Emissions!AI$70:AI$85)</f>
        <v>0.23144330693781995</v>
      </c>
      <c r="AH36" s="22">
        <f>SUMIF(Emissions!$C$70:$C$85,'Emissions summary'!$C36,Emissions!AJ$70:AJ$85)</f>
        <v>0.23143143279613676</v>
      </c>
      <c r="AI36" s="22">
        <f>SUMIF(Emissions!$C$70:$C$85,'Emissions summary'!$C36,Emissions!AK$70:AK$85)</f>
        <v>0.23141955865445368</v>
      </c>
      <c r="AJ36" s="22">
        <f>SUMIF(Emissions!$C$70:$C$85,'Emissions summary'!$C36,Emissions!AL$70:AL$85)</f>
        <v>0.23140768451277055</v>
      </c>
      <c r="AK36" s="22">
        <f>SUMIF(Emissions!$C$70:$C$85,'Emissions summary'!$C36,Emissions!AM$70:AM$85)</f>
        <v>0.23139581037108745</v>
      </c>
      <c r="AL36" s="22">
        <f>SUMIF(Emissions!$C$70:$C$85,'Emissions summary'!$C36,Emissions!AN$70:AN$85)</f>
        <v>0.23138393622940429</v>
      </c>
      <c r="AM36" s="22">
        <f>SUMIF(Emissions!$C$70:$C$85,'Emissions summary'!$C36,Emissions!AO$70:AO$85)</f>
        <v>0.23137206208772113</v>
      </c>
      <c r="AN36" s="22">
        <f>SUMIF(Emissions!$C$70:$C$85,'Emissions summary'!$C36,Emissions!AP$70:AP$85)</f>
        <v>0.23136018794603802</v>
      </c>
      <c r="AO36" s="22">
        <f>SUMIF(Emissions!$C$70:$C$85,'Emissions summary'!$C36,Emissions!AQ$70:AQ$85)</f>
        <v>0.23134831380435489</v>
      </c>
      <c r="AP36" s="22">
        <f>SUMIF(Emissions!$C$70:$C$85,'Emissions summary'!$C36,Emissions!AR$70:AR$85)</f>
        <v>0.23133643966267178</v>
      </c>
      <c r="AQ36" s="22">
        <f>SUMIF(Emissions!$C$70:$C$85,'Emissions summary'!$C36,Emissions!AS$70:AS$85)</f>
        <v>0.23132456552098865</v>
      </c>
      <c r="AR36" s="22">
        <f>SUMIF(Emissions!$C$70:$C$85,'Emissions summary'!$C36,Emissions!AT$70:AT$85)</f>
        <v>0.23131269137930549</v>
      </c>
      <c r="AS36" s="22">
        <f>SUMIF(Emissions!$C$70:$C$85,'Emissions summary'!$C36,Emissions!AU$70:AU$85)</f>
        <v>0.23130081723762241</v>
      </c>
      <c r="AT36" s="22">
        <f>SUMIF(Emissions!$C$70:$C$85,'Emissions summary'!$C36,Emissions!AV$70:AV$85)</f>
        <v>0.23128894309593925</v>
      </c>
      <c r="AU36" s="22">
        <f>SUMIF(Emissions!$C$70:$C$85,'Emissions summary'!$C36,Emissions!AW$70:AW$85)</f>
        <v>0.23127706895425609</v>
      </c>
      <c r="AV36" s="22">
        <f>SUMIF(Emissions!$C$70:$C$85,'Emissions summary'!$C36,Emissions!AX$70:AX$85)</f>
        <v>0.23126519481257302</v>
      </c>
      <c r="AW36" s="22">
        <f>SUMIF(Emissions!$C$70:$C$85,'Emissions summary'!$C36,Emissions!AY$70:AY$85)</f>
        <v>0.23125332067088986</v>
      </c>
      <c r="AX36" s="22">
        <f>SUMIF(Emissions!$C$70:$C$85,'Emissions summary'!$C36,Emissions!AZ$70:AZ$85)</f>
        <v>0.23124144652920675</v>
      </c>
      <c r="AY36" s="22">
        <f>SUMIF(Emissions!$C$70:$C$85,'Emissions summary'!$C36,Emissions!BA$70:BA$85)</f>
        <v>0.23122957238752362</v>
      </c>
      <c r="AZ36" s="22">
        <f>SUMIF(Emissions!$C$70:$C$85,'Emissions summary'!$C36,Emissions!BB$70:BB$85)</f>
        <v>0.23121769824584049</v>
      </c>
      <c r="BA36" s="22">
        <f>SUMIF(Emissions!$C$70:$C$85,'Emissions summary'!$C36,Emissions!BC$70:BC$85)</f>
        <v>0.2312058241041573</v>
      </c>
      <c r="BB36" s="22">
        <f>SUMIF(Emissions!$C$70:$C$85,'Emissions summary'!$C36,Emissions!BD$70:BD$85)</f>
        <v>0.23119394996247425</v>
      </c>
      <c r="BC36" s="22">
        <f>SUMIF(Emissions!$C$70:$C$85,'Emissions summary'!$C36,Emissions!BE$70:BE$85)</f>
        <v>0.23118207582079112</v>
      </c>
      <c r="BD36" s="22">
        <f>SUMIF(Emissions!$C$70:$C$85,'Emissions summary'!$C36,Emissions!BF$70:BF$85)</f>
        <v>0.23117020167910793</v>
      </c>
      <c r="BE36" s="22">
        <f>SUMIF(Emissions!$C$70:$C$85,'Emissions summary'!$C36,Emissions!BG$70:BG$85)</f>
        <v>0.23115832753742488</v>
      </c>
      <c r="BF36" s="22">
        <f>SUMIF(Emissions!$C$70:$C$85,'Emissions summary'!$C36,Emissions!BH$70:BH$85)</f>
        <v>0.23114645339574169</v>
      </c>
      <c r="BG36" s="22">
        <f>SUMIF(Emissions!$C$70:$C$85,'Emissions summary'!$C36,Emissions!BI$70:BI$85)</f>
        <v>0.23113457925405859</v>
      </c>
      <c r="BH36" s="22">
        <f>SUMIF(Emissions!$C$70:$C$85,'Emissions summary'!$C36,Emissions!BJ$70:BJ$85)</f>
        <v>0.23112270511237543</v>
      </c>
      <c r="BI36" s="22">
        <f>SUMIF(Emissions!$C$70:$C$85,'Emissions summary'!$C36,Emissions!BK$70:BK$85)</f>
        <v>0.23111083097069229</v>
      </c>
      <c r="BJ36" s="22">
        <f>SUMIF(Emissions!$C$70:$C$85,'Emissions summary'!$C36,Emissions!BL$70:BL$85)</f>
        <v>0.23109895682900922</v>
      </c>
      <c r="BK36" s="22">
        <f>SUMIF(Emissions!$C$70:$C$85,'Emissions summary'!$C36,Emissions!BM$70:BM$85)</f>
        <v>0.23108708268732603</v>
      </c>
      <c r="BL36" s="22">
        <f>SUMIF(Emissions!$C$70:$C$85,'Emissions summary'!$C36,Emissions!BN$70:BN$85)</f>
        <v>0.23107520854564292</v>
      </c>
      <c r="BM36" s="22">
        <f>SUMIF(Emissions!$C$70:$C$85,'Emissions summary'!$C36,Emissions!BO$70:BO$85)</f>
        <v>0.23106333440395979</v>
      </c>
      <c r="BN36" s="22">
        <f>SUMIF(Emissions!$C$70:$C$85,'Emissions summary'!$C36,Emissions!BP$70:BP$85)</f>
        <v>0.23105146026227666</v>
      </c>
    </row>
    <row r="37" spans="1:66" x14ac:dyDescent="0.25">
      <c r="A37" t="str">
        <f t="shared" si="18"/>
        <v>3C Aggregated and non-CO2 emissions on land</v>
      </c>
      <c r="B37" t="str">
        <f t="shared" ref="B37:B40" si="22">B36</f>
        <v>3C1 Biomass burning (N2O)</v>
      </c>
      <c r="C37" t="str">
        <f>'IPCC Categories'!C67</f>
        <v>3C1c Biomass burning in Grasslands</v>
      </c>
      <c r="D37" t="str">
        <f t="shared" ref="D37:E40" si="23">D36</f>
        <v>N2O</v>
      </c>
      <c r="E37" t="str">
        <f t="shared" si="23"/>
        <v>Gg N2O</v>
      </c>
      <c r="F37" s="22">
        <f>SUMIF(Emissions!$C$70:$C$85,'Emissions summary'!$C37,Emissions!H$70:H$85)</f>
        <v>2.1832325939202906</v>
      </c>
      <c r="G37" s="22">
        <f>SUMIF(Emissions!$C$70:$C$85,'Emissions summary'!$C37,Emissions!I$70:I$85)</f>
        <v>2.1832325939202906</v>
      </c>
      <c r="H37" s="22">
        <f>SUMIF(Emissions!$C$70:$C$85,'Emissions summary'!$C37,Emissions!J$70:J$85)</f>
        <v>2.1832325939202906</v>
      </c>
      <c r="I37" s="22">
        <f>SUMIF(Emissions!$C$70:$C$85,'Emissions summary'!$C37,Emissions!K$70:K$85)</f>
        <v>2.1832325939202906</v>
      </c>
      <c r="J37" s="22">
        <f>SUMIF(Emissions!$C$70:$C$85,'Emissions summary'!$C37,Emissions!L$70:L$85)</f>
        <v>2.1832325939202906</v>
      </c>
      <c r="K37" s="22">
        <f>SUMIF(Emissions!$C$70:$C$85,'Emissions summary'!$C37,Emissions!M$70:M$85)</f>
        <v>2.1832325939202906</v>
      </c>
      <c r="L37" s="22">
        <f>SUMIF(Emissions!$C$70:$C$85,'Emissions summary'!$C37,Emissions!N$70:N$85)</f>
        <v>2.1832325939202906</v>
      </c>
      <c r="M37" s="22">
        <f>SUMIF(Emissions!$C$70:$C$85,'Emissions summary'!$C37,Emissions!O$70:O$85)</f>
        <v>2.1832325939202906</v>
      </c>
      <c r="N37" s="22">
        <f>SUMIF(Emissions!$C$70:$C$85,'Emissions summary'!$C37,Emissions!P$70:P$85)</f>
        <v>2.1832325939202906</v>
      </c>
      <c r="O37" s="22">
        <f>SUMIF(Emissions!$C$70:$C$85,'Emissions summary'!$C37,Emissions!Q$70:Q$85)</f>
        <v>2.1832325939202906</v>
      </c>
      <c r="P37" s="22">
        <f>SUMIF(Emissions!$C$70:$C$85,'Emissions summary'!$C37,Emissions!R$70:R$85)</f>
        <v>2.1560404954267964</v>
      </c>
      <c r="Q37" s="22">
        <f>SUMIF(Emissions!$C$70:$C$85,'Emissions summary'!$C37,Emissions!S$70:S$85)</f>
        <v>2.4331484625916917</v>
      </c>
      <c r="R37" s="22">
        <f>SUMIF(Emissions!$C$70:$C$85,'Emissions summary'!$C37,Emissions!T$70:T$85)</f>
        <v>2.5851794612386958</v>
      </c>
      <c r="S37" s="22">
        <f>SUMIF(Emissions!$C$70:$C$85,'Emissions summary'!$C37,Emissions!U$70:U$85)</f>
        <v>2.026241021042972</v>
      </c>
      <c r="T37" s="22">
        <f>SUMIF(Emissions!$C$70:$C$85,'Emissions summary'!$C37,Emissions!V$70:V$85)</f>
        <v>1.7155535293012945</v>
      </c>
      <c r="U37" s="22">
        <f>SUMIF(Emissions!$C$70:$C$85,'Emissions summary'!$C37,Emissions!W$70:W$85)</f>
        <v>2.664720786608763</v>
      </c>
      <c r="V37" s="22">
        <f>SUMIF(Emissions!$C$70:$C$85,'Emissions summary'!$C37,Emissions!X$70:X$85)</f>
        <v>2.3579698696662157</v>
      </c>
      <c r="W37" s="22">
        <f>SUMIF(Emissions!$C$70:$C$85,'Emissions summary'!$C37,Emissions!Y$70:Y$85)</f>
        <v>2.1705723800404217</v>
      </c>
      <c r="X37" s="22">
        <f>SUMIF(Emissions!$C$70:$C$85,'Emissions summary'!$C37,Emissions!Z$70:Z$85)</f>
        <v>2.069932733340706</v>
      </c>
      <c r="Y37" s="22">
        <f>SUMIF(Emissions!$C$70:$C$85,'Emissions summary'!$C37,Emissions!AA$70:AA$85)</f>
        <v>2.153682585932855</v>
      </c>
      <c r="Z37" s="22">
        <f>SUMIF(Emissions!$C$70:$C$85,'Emissions summary'!$C37,Emissions!AB$70:AB$85)</f>
        <v>2.0565198387720001</v>
      </c>
      <c r="AA37" s="22">
        <f>SUMIF(Emissions!$C$70:$C$85,'Emissions summary'!$C37,Emissions!AC$70:AC$85)</f>
        <v>2.0914494266735995</v>
      </c>
      <c r="AB37" s="22">
        <f>SUMIF(Emissions!$C$70:$C$85,'Emissions summary'!$C37,Emissions!AD$70:AD$85)</f>
        <v>1.9270838146967177</v>
      </c>
      <c r="AC37" s="22">
        <f>SUMIF(Emissions!$C$70:$C$85,'Emissions summary'!$C37,Emissions!AE$70:AE$85)</f>
        <v>1.9378298037617634</v>
      </c>
      <c r="AD37" s="22">
        <f>SUMIF(Emissions!$C$70:$C$85,'Emissions summary'!$C37,Emissions!AF$70:AF$85)</f>
        <v>1.9485757928268084</v>
      </c>
      <c r="AE37" s="22">
        <f>SUMIF(Emissions!$C$70:$C$85,'Emissions summary'!$C37,Emissions!AG$70:AG$85)</f>
        <v>1.9593217818918536</v>
      </c>
      <c r="AF37" s="22">
        <f>SUMIF(Emissions!$C$70:$C$85,'Emissions summary'!$C37,Emissions!AH$70:AH$85)</f>
        <v>1.9700677709568992</v>
      </c>
      <c r="AG37" s="22">
        <f>SUMIF(Emissions!$C$70:$C$85,'Emissions summary'!$C37,Emissions!AI$70:AI$85)</f>
        <v>1.9808137600219442</v>
      </c>
      <c r="AH37" s="22">
        <f>SUMIF(Emissions!$C$70:$C$85,'Emissions summary'!$C37,Emissions!AJ$70:AJ$85)</f>
        <v>1.9915597490869896</v>
      </c>
      <c r="AI37" s="22">
        <f>SUMIF(Emissions!$C$70:$C$85,'Emissions summary'!$C37,Emissions!AK$70:AK$85)</f>
        <v>2.0099227240740993</v>
      </c>
      <c r="AJ37" s="22">
        <f>SUMIF(Emissions!$C$70:$C$85,'Emissions summary'!$C37,Emissions!AL$70:AL$85)</f>
        <v>2.0282856990612084</v>
      </c>
      <c r="AK37" s="22">
        <f>SUMIF(Emissions!$C$70:$C$85,'Emissions summary'!$C37,Emissions!AM$70:AM$85)</f>
        <v>2.0466486740483179</v>
      </c>
      <c r="AL37" s="22">
        <f>SUMIF(Emissions!$C$70:$C$85,'Emissions summary'!$C37,Emissions!AN$70:AN$85)</f>
        <v>2.065011649035426</v>
      </c>
      <c r="AM37" s="22">
        <f>SUMIF(Emissions!$C$70:$C$85,'Emissions summary'!$C37,Emissions!AO$70:AO$85)</f>
        <v>2.0833746240225359</v>
      </c>
      <c r="AN37" s="22">
        <f>SUMIF(Emissions!$C$70:$C$85,'Emissions summary'!$C37,Emissions!AP$70:AP$85)</f>
        <v>2.101737599009645</v>
      </c>
      <c r="AO37" s="22">
        <f>SUMIF(Emissions!$C$70:$C$85,'Emissions summary'!$C37,Emissions!AQ$70:AQ$85)</f>
        <v>2.120100573996754</v>
      </c>
      <c r="AP37" s="22">
        <f>SUMIF(Emissions!$C$70:$C$85,'Emissions summary'!$C37,Emissions!AR$70:AR$85)</f>
        <v>2.138463548983863</v>
      </c>
      <c r="AQ37" s="22">
        <f>SUMIF(Emissions!$C$70:$C$85,'Emissions summary'!$C37,Emissions!AS$70:AS$85)</f>
        <v>2.1568265239709721</v>
      </c>
      <c r="AR37" s="22">
        <f>SUMIF(Emissions!$C$70:$C$85,'Emissions summary'!$C37,Emissions!AT$70:AT$85)</f>
        <v>2.1751894989580816</v>
      </c>
      <c r="AS37" s="22">
        <f>SUMIF(Emissions!$C$70:$C$85,'Emissions summary'!$C37,Emissions!AU$70:AU$85)</f>
        <v>2.1935524739451906</v>
      </c>
      <c r="AT37" s="22">
        <f>SUMIF(Emissions!$C$70:$C$85,'Emissions summary'!$C37,Emissions!AV$70:AV$85)</f>
        <v>2.2119154489322996</v>
      </c>
      <c r="AU37" s="22">
        <f>SUMIF(Emissions!$C$70:$C$85,'Emissions summary'!$C37,Emissions!AW$70:AW$85)</f>
        <v>2.230599586866107</v>
      </c>
      <c r="AV37" s="22">
        <f>SUMIF(Emissions!$C$70:$C$85,'Emissions summary'!$C37,Emissions!AX$70:AX$85)</f>
        <v>2.2492837247999136</v>
      </c>
      <c r="AW37" s="22">
        <f>SUMIF(Emissions!$C$70:$C$85,'Emissions summary'!$C37,Emissions!AY$70:AY$85)</f>
        <v>2.267967862733721</v>
      </c>
      <c r="AX37" s="22">
        <f>SUMIF(Emissions!$C$70:$C$85,'Emissions summary'!$C37,Emissions!AZ$70:AZ$85)</f>
        <v>2.2866520006675284</v>
      </c>
      <c r="AY37" s="22">
        <f>SUMIF(Emissions!$C$70:$C$85,'Emissions summary'!$C37,Emissions!BA$70:BA$85)</f>
        <v>2.3053361386013353</v>
      </c>
      <c r="AZ37" s="22">
        <f>SUMIF(Emissions!$C$70:$C$85,'Emissions summary'!$C37,Emissions!BB$70:BB$85)</f>
        <v>2.3240202765351423</v>
      </c>
      <c r="BA37" s="22">
        <f>SUMIF(Emissions!$C$70:$C$85,'Emissions summary'!$C37,Emissions!BC$70:BC$85)</f>
        <v>2.3427044144689493</v>
      </c>
      <c r="BB37" s="22">
        <f>SUMIF(Emissions!$C$70:$C$85,'Emissions summary'!$C37,Emissions!BD$70:BD$85)</f>
        <v>2.3613885524027567</v>
      </c>
      <c r="BC37" s="22">
        <f>SUMIF(Emissions!$C$70:$C$85,'Emissions summary'!$C37,Emissions!BE$70:BE$85)</f>
        <v>2.3800726903365637</v>
      </c>
      <c r="BD37" s="22">
        <f>SUMIF(Emissions!$C$70:$C$85,'Emissions summary'!$C37,Emissions!BF$70:BF$85)</f>
        <v>2.3987568282703706</v>
      </c>
      <c r="BE37" s="22">
        <f>SUMIF(Emissions!$C$70:$C$85,'Emissions summary'!$C37,Emissions!BG$70:BG$85)</f>
        <v>2.4174409662041776</v>
      </c>
      <c r="BF37" s="22">
        <f>SUMIF(Emissions!$C$70:$C$85,'Emissions summary'!$C37,Emissions!BH$70:BH$85)</f>
        <v>2.436125104137985</v>
      </c>
      <c r="BG37" s="22">
        <f>SUMIF(Emissions!$C$70:$C$85,'Emissions summary'!$C37,Emissions!BI$70:BI$85)</f>
        <v>2.454809242071792</v>
      </c>
      <c r="BH37" s="22">
        <f>SUMIF(Emissions!$C$70:$C$85,'Emissions summary'!$C37,Emissions!BJ$70:BJ$85)</f>
        <v>2.4734933800055994</v>
      </c>
      <c r="BI37" s="22">
        <f>SUMIF(Emissions!$C$70:$C$85,'Emissions summary'!$C37,Emissions!BK$70:BK$85)</f>
        <v>2.4921775179394063</v>
      </c>
      <c r="BJ37" s="22">
        <f>SUMIF(Emissions!$C$70:$C$85,'Emissions summary'!$C37,Emissions!BL$70:BL$85)</f>
        <v>2.5108616558732133</v>
      </c>
      <c r="BK37" s="22">
        <f>SUMIF(Emissions!$C$70:$C$85,'Emissions summary'!$C37,Emissions!BM$70:BM$85)</f>
        <v>2.5295457938070207</v>
      </c>
      <c r="BL37" s="22">
        <f>SUMIF(Emissions!$C$70:$C$85,'Emissions summary'!$C37,Emissions!BN$70:BN$85)</f>
        <v>2.5482299317408281</v>
      </c>
      <c r="BM37" s="22">
        <f>SUMIF(Emissions!$C$70:$C$85,'Emissions summary'!$C37,Emissions!BO$70:BO$85)</f>
        <v>2.5669140696746346</v>
      </c>
      <c r="BN37" s="22">
        <f>SUMIF(Emissions!$C$70:$C$85,'Emissions summary'!$C37,Emissions!BP$70:BP$85)</f>
        <v>2.5855982076084416</v>
      </c>
    </row>
    <row r="38" spans="1:66" x14ac:dyDescent="0.25">
      <c r="A38" t="str">
        <f t="shared" si="18"/>
        <v>3C Aggregated and non-CO2 emissions on land</v>
      </c>
      <c r="B38" t="str">
        <f t="shared" si="22"/>
        <v>3C1 Biomass burning (N2O)</v>
      </c>
      <c r="C38" t="str">
        <f>'IPCC Categories'!C68</f>
        <v>3C1d Biomass burning in Wetlands</v>
      </c>
      <c r="D38" t="str">
        <f t="shared" si="23"/>
        <v>N2O</v>
      </c>
      <c r="E38" t="str">
        <f t="shared" si="23"/>
        <v>Gg N2O</v>
      </c>
      <c r="F38" s="22">
        <f>SUMIF(Emissions!$C$70:$C$85,'Emissions summary'!$C38,Emissions!H$70:H$85)</f>
        <v>7.357077670844267E-2</v>
      </c>
      <c r="G38" s="22">
        <f>SUMIF(Emissions!$C$70:$C$85,'Emissions summary'!$C38,Emissions!I$70:I$85)</f>
        <v>7.357077670844267E-2</v>
      </c>
      <c r="H38" s="22">
        <f>SUMIF(Emissions!$C$70:$C$85,'Emissions summary'!$C38,Emissions!J$70:J$85)</f>
        <v>7.357077670844267E-2</v>
      </c>
      <c r="I38" s="22">
        <f>SUMIF(Emissions!$C$70:$C$85,'Emissions summary'!$C38,Emissions!K$70:K$85)</f>
        <v>7.357077670844267E-2</v>
      </c>
      <c r="J38" s="22">
        <f>SUMIF(Emissions!$C$70:$C$85,'Emissions summary'!$C38,Emissions!L$70:L$85)</f>
        <v>7.357077670844267E-2</v>
      </c>
      <c r="K38" s="22">
        <f>SUMIF(Emissions!$C$70:$C$85,'Emissions summary'!$C38,Emissions!M$70:M$85)</f>
        <v>7.357077670844267E-2</v>
      </c>
      <c r="L38" s="22">
        <f>SUMIF(Emissions!$C$70:$C$85,'Emissions summary'!$C38,Emissions!N$70:N$85)</f>
        <v>7.357077670844267E-2</v>
      </c>
      <c r="M38" s="22">
        <f>SUMIF(Emissions!$C$70:$C$85,'Emissions summary'!$C38,Emissions!O$70:O$85)</f>
        <v>7.357077670844267E-2</v>
      </c>
      <c r="N38" s="22">
        <f>SUMIF(Emissions!$C$70:$C$85,'Emissions summary'!$C38,Emissions!P$70:P$85)</f>
        <v>7.357077670844267E-2</v>
      </c>
      <c r="O38" s="22">
        <f>SUMIF(Emissions!$C$70:$C$85,'Emissions summary'!$C38,Emissions!Q$70:Q$85)</f>
        <v>7.357077670844267E-2</v>
      </c>
      <c r="P38" s="22">
        <f>SUMIF(Emissions!$C$70:$C$85,'Emissions summary'!$C38,Emissions!R$70:R$85)</f>
        <v>6.5083674793923713E-2</v>
      </c>
      <c r="Q38" s="22">
        <f>SUMIF(Emissions!$C$70:$C$85,'Emissions summary'!$C38,Emissions!S$70:S$85)</f>
        <v>7.8612973491927987E-2</v>
      </c>
      <c r="R38" s="22">
        <f>SUMIF(Emissions!$C$70:$C$85,'Emissions summary'!$C38,Emissions!T$70:T$85)</f>
        <v>8.8983449145904836E-2</v>
      </c>
      <c r="S38" s="22">
        <f>SUMIF(Emissions!$C$70:$C$85,'Emissions summary'!$C38,Emissions!U$70:U$85)</f>
        <v>7.2791997693814531E-2</v>
      </c>
      <c r="T38" s="22">
        <f>SUMIF(Emissions!$C$70:$C$85,'Emissions summary'!$C38,Emissions!V$70:V$85)</f>
        <v>6.2381788416642367E-2</v>
      </c>
      <c r="U38" s="22">
        <f>SUMIF(Emissions!$C$70:$C$85,'Emissions summary'!$C38,Emissions!W$70:W$85)</f>
        <v>9.2301206682713535E-2</v>
      </c>
      <c r="V38" s="22">
        <f>SUMIF(Emissions!$C$70:$C$85,'Emissions summary'!$C38,Emissions!X$70:X$85)</f>
        <v>8.1930731028736672E-2</v>
      </c>
      <c r="W38" s="22">
        <f>SUMIF(Emissions!$C$70:$C$85,'Emissions summary'!$C38,Emissions!Y$70:Y$85)</f>
        <v>7.2176126534287191E-2</v>
      </c>
      <c r="X38" s="22">
        <f>SUMIF(Emissions!$C$70:$C$85,'Emissions summary'!$C38,Emissions!Z$70:Z$85)</f>
        <v>6.5818746823036997E-2</v>
      </c>
      <c r="Y38" s="22">
        <f>SUMIF(Emissions!$C$70:$C$85,'Emissions summary'!$C38,Emissions!AA$70:AA$85)</f>
        <v>7.3924405954880992E-2</v>
      </c>
      <c r="Z38" s="22">
        <f>SUMIF(Emissions!$C$70:$C$85,'Emissions summary'!$C38,Emissions!AB$70:AB$85)</f>
        <v>9.8940084389999974E-2</v>
      </c>
      <c r="AA38" s="22">
        <f>SUMIF(Emissions!$C$70:$C$85,'Emissions summary'!$C38,Emissions!AC$70:AC$85)</f>
        <v>0.10685917493999998</v>
      </c>
      <c r="AB38" s="22">
        <f>SUMIF(Emissions!$C$70:$C$85,'Emissions summary'!$C38,Emissions!AD$70:AD$85)</f>
        <v>7.8813449993659371E-2</v>
      </c>
      <c r="AC38" s="22">
        <f>SUMIF(Emissions!$C$70:$C$85,'Emissions summary'!$C38,Emissions!AE$70:AE$85)</f>
        <v>7.8813449993659371E-2</v>
      </c>
      <c r="AD38" s="22">
        <f>SUMIF(Emissions!$C$70:$C$85,'Emissions summary'!$C38,Emissions!AF$70:AF$85)</f>
        <v>7.8813449993659371E-2</v>
      </c>
      <c r="AE38" s="22">
        <f>SUMIF(Emissions!$C$70:$C$85,'Emissions summary'!$C38,Emissions!AG$70:AG$85)</f>
        <v>7.8813449993659371E-2</v>
      </c>
      <c r="AF38" s="22">
        <f>SUMIF(Emissions!$C$70:$C$85,'Emissions summary'!$C38,Emissions!AH$70:AH$85)</f>
        <v>7.8813449993659371E-2</v>
      </c>
      <c r="AG38" s="22">
        <f>SUMIF(Emissions!$C$70:$C$85,'Emissions summary'!$C38,Emissions!AI$70:AI$85)</f>
        <v>7.8813449993659371E-2</v>
      </c>
      <c r="AH38" s="22">
        <f>SUMIF(Emissions!$C$70:$C$85,'Emissions summary'!$C38,Emissions!AJ$70:AJ$85)</f>
        <v>7.8813449993659371E-2</v>
      </c>
      <c r="AI38" s="22">
        <f>SUMIF(Emissions!$C$70:$C$85,'Emissions summary'!$C38,Emissions!AK$70:AK$85)</f>
        <v>7.8813449993659371E-2</v>
      </c>
      <c r="AJ38" s="22">
        <f>SUMIF(Emissions!$C$70:$C$85,'Emissions summary'!$C38,Emissions!AL$70:AL$85)</f>
        <v>7.8813449993659371E-2</v>
      </c>
      <c r="AK38" s="22">
        <f>SUMIF(Emissions!$C$70:$C$85,'Emissions summary'!$C38,Emissions!AM$70:AM$85)</f>
        <v>7.8813449993659371E-2</v>
      </c>
      <c r="AL38" s="22">
        <f>SUMIF(Emissions!$C$70:$C$85,'Emissions summary'!$C38,Emissions!AN$70:AN$85)</f>
        <v>7.8813449993659371E-2</v>
      </c>
      <c r="AM38" s="22">
        <f>SUMIF(Emissions!$C$70:$C$85,'Emissions summary'!$C38,Emissions!AO$70:AO$85)</f>
        <v>7.8813449993659371E-2</v>
      </c>
      <c r="AN38" s="22">
        <f>SUMIF(Emissions!$C$70:$C$85,'Emissions summary'!$C38,Emissions!AP$70:AP$85)</f>
        <v>7.8813449993659371E-2</v>
      </c>
      <c r="AO38" s="22">
        <f>SUMIF(Emissions!$C$70:$C$85,'Emissions summary'!$C38,Emissions!AQ$70:AQ$85)</f>
        <v>7.8813449993659371E-2</v>
      </c>
      <c r="AP38" s="22">
        <f>SUMIF(Emissions!$C$70:$C$85,'Emissions summary'!$C38,Emissions!AR$70:AR$85)</f>
        <v>7.8813449993659371E-2</v>
      </c>
      <c r="AQ38" s="22">
        <f>SUMIF(Emissions!$C$70:$C$85,'Emissions summary'!$C38,Emissions!AS$70:AS$85)</f>
        <v>7.8813449993659371E-2</v>
      </c>
      <c r="AR38" s="22">
        <f>SUMIF(Emissions!$C$70:$C$85,'Emissions summary'!$C38,Emissions!AT$70:AT$85)</f>
        <v>7.8813449993659371E-2</v>
      </c>
      <c r="AS38" s="22">
        <f>SUMIF(Emissions!$C$70:$C$85,'Emissions summary'!$C38,Emissions!AU$70:AU$85)</f>
        <v>7.8813449993659371E-2</v>
      </c>
      <c r="AT38" s="22">
        <f>SUMIF(Emissions!$C$70:$C$85,'Emissions summary'!$C38,Emissions!AV$70:AV$85)</f>
        <v>7.8813449993659371E-2</v>
      </c>
      <c r="AU38" s="22">
        <f>SUMIF(Emissions!$C$70:$C$85,'Emissions summary'!$C38,Emissions!AW$70:AW$85)</f>
        <v>7.8813449993659371E-2</v>
      </c>
      <c r="AV38" s="22">
        <f>SUMIF(Emissions!$C$70:$C$85,'Emissions summary'!$C38,Emissions!AX$70:AX$85)</f>
        <v>7.8813449993659371E-2</v>
      </c>
      <c r="AW38" s="22">
        <f>SUMIF(Emissions!$C$70:$C$85,'Emissions summary'!$C38,Emissions!AY$70:AY$85)</f>
        <v>7.8813449993659371E-2</v>
      </c>
      <c r="AX38" s="22">
        <f>SUMIF(Emissions!$C$70:$C$85,'Emissions summary'!$C38,Emissions!AZ$70:AZ$85)</f>
        <v>7.8813449993659371E-2</v>
      </c>
      <c r="AY38" s="22">
        <f>SUMIF(Emissions!$C$70:$C$85,'Emissions summary'!$C38,Emissions!BA$70:BA$85)</f>
        <v>7.8813449993659371E-2</v>
      </c>
      <c r="AZ38" s="22">
        <f>SUMIF(Emissions!$C$70:$C$85,'Emissions summary'!$C38,Emissions!BB$70:BB$85)</f>
        <v>7.8813449993659371E-2</v>
      </c>
      <c r="BA38" s="22">
        <f>SUMIF(Emissions!$C$70:$C$85,'Emissions summary'!$C38,Emissions!BC$70:BC$85)</f>
        <v>7.8813449993659371E-2</v>
      </c>
      <c r="BB38" s="22">
        <f>SUMIF(Emissions!$C$70:$C$85,'Emissions summary'!$C38,Emissions!BD$70:BD$85)</f>
        <v>7.8813449993659371E-2</v>
      </c>
      <c r="BC38" s="22">
        <f>SUMIF(Emissions!$C$70:$C$85,'Emissions summary'!$C38,Emissions!BE$70:BE$85)</f>
        <v>7.8813449993659371E-2</v>
      </c>
      <c r="BD38" s="22">
        <f>SUMIF(Emissions!$C$70:$C$85,'Emissions summary'!$C38,Emissions!BF$70:BF$85)</f>
        <v>7.8813449993659371E-2</v>
      </c>
      <c r="BE38" s="22">
        <f>SUMIF(Emissions!$C$70:$C$85,'Emissions summary'!$C38,Emissions!BG$70:BG$85)</f>
        <v>7.8813449993659371E-2</v>
      </c>
      <c r="BF38" s="22">
        <f>SUMIF(Emissions!$C$70:$C$85,'Emissions summary'!$C38,Emissions!BH$70:BH$85)</f>
        <v>7.8813449993659371E-2</v>
      </c>
      <c r="BG38" s="22">
        <f>SUMIF(Emissions!$C$70:$C$85,'Emissions summary'!$C38,Emissions!BI$70:BI$85)</f>
        <v>7.8813449993659371E-2</v>
      </c>
      <c r="BH38" s="22">
        <f>SUMIF(Emissions!$C$70:$C$85,'Emissions summary'!$C38,Emissions!BJ$70:BJ$85)</f>
        <v>7.8813449993659371E-2</v>
      </c>
      <c r="BI38" s="22">
        <f>SUMIF(Emissions!$C$70:$C$85,'Emissions summary'!$C38,Emissions!BK$70:BK$85)</f>
        <v>7.8813449993659371E-2</v>
      </c>
      <c r="BJ38" s="22">
        <f>SUMIF(Emissions!$C$70:$C$85,'Emissions summary'!$C38,Emissions!BL$70:BL$85)</f>
        <v>7.8813449993659371E-2</v>
      </c>
      <c r="BK38" s="22">
        <f>SUMIF(Emissions!$C$70:$C$85,'Emissions summary'!$C38,Emissions!BM$70:BM$85)</f>
        <v>7.8813449993659371E-2</v>
      </c>
      <c r="BL38" s="22">
        <f>SUMIF(Emissions!$C$70:$C$85,'Emissions summary'!$C38,Emissions!BN$70:BN$85)</f>
        <v>7.8813449993659371E-2</v>
      </c>
      <c r="BM38" s="22">
        <f>SUMIF(Emissions!$C$70:$C$85,'Emissions summary'!$C38,Emissions!BO$70:BO$85)</f>
        <v>7.8813449993659371E-2</v>
      </c>
      <c r="BN38" s="22">
        <f>SUMIF(Emissions!$C$70:$C$85,'Emissions summary'!$C38,Emissions!BP$70:BP$85)</f>
        <v>7.8813449993659371E-2</v>
      </c>
    </row>
    <row r="39" spans="1:66" x14ac:dyDescent="0.25">
      <c r="A39" t="str">
        <f t="shared" si="18"/>
        <v>3C Aggregated and non-CO2 emissions on land</v>
      </c>
      <c r="B39" t="str">
        <f t="shared" si="22"/>
        <v>3C1 Biomass burning (N2O)</v>
      </c>
      <c r="C39" t="str">
        <f>'IPCC Categories'!C69</f>
        <v>3C1e Biomass burning in Settlements</v>
      </c>
      <c r="D39" t="str">
        <f t="shared" si="23"/>
        <v>N2O</v>
      </c>
      <c r="E39" t="str">
        <f t="shared" si="23"/>
        <v>Gg N2O</v>
      </c>
      <c r="F39" s="22">
        <f>SUMIF(Emissions!$C$70:$C$85,'Emissions summary'!$C39,Emissions!H$70:H$85)</f>
        <v>4.462880557297625E-2</v>
      </c>
      <c r="G39" s="22">
        <f>SUMIF(Emissions!$C$70:$C$85,'Emissions summary'!$C39,Emissions!I$70:I$85)</f>
        <v>4.462880557297625E-2</v>
      </c>
      <c r="H39" s="22">
        <f>SUMIF(Emissions!$C$70:$C$85,'Emissions summary'!$C39,Emissions!J$70:J$85)</f>
        <v>4.462880557297625E-2</v>
      </c>
      <c r="I39" s="22">
        <f>SUMIF(Emissions!$C$70:$C$85,'Emissions summary'!$C39,Emissions!K$70:K$85)</f>
        <v>4.462880557297625E-2</v>
      </c>
      <c r="J39" s="22">
        <f>SUMIF(Emissions!$C$70:$C$85,'Emissions summary'!$C39,Emissions!L$70:L$85)</f>
        <v>4.462880557297625E-2</v>
      </c>
      <c r="K39" s="22">
        <f>SUMIF(Emissions!$C$70:$C$85,'Emissions summary'!$C39,Emissions!M$70:M$85)</f>
        <v>4.462880557297625E-2</v>
      </c>
      <c r="L39" s="22">
        <f>SUMIF(Emissions!$C$70:$C$85,'Emissions summary'!$C39,Emissions!N$70:N$85)</f>
        <v>4.462880557297625E-2</v>
      </c>
      <c r="M39" s="22">
        <f>SUMIF(Emissions!$C$70:$C$85,'Emissions summary'!$C39,Emissions!O$70:O$85)</f>
        <v>4.462880557297625E-2</v>
      </c>
      <c r="N39" s="22">
        <f>SUMIF(Emissions!$C$70:$C$85,'Emissions summary'!$C39,Emissions!P$70:P$85)</f>
        <v>4.462880557297625E-2</v>
      </c>
      <c r="O39" s="22">
        <f>SUMIF(Emissions!$C$70:$C$85,'Emissions summary'!$C39,Emissions!Q$70:Q$85)</f>
        <v>4.462880557297625E-2</v>
      </c>
      <c r="P39" s="22">
        <f>SUMIF(Emissions!$C$70:$C$85,'Emissions summary'!$C39,Emissions!R$70:R$85)</f>
        <v>4.8614087979466203E-2</v>
      </c>
      <c r="Q39" s="22">
        <f>SUMIF(Emissions!$C$70:$C$85,'Emissions summary'!$C39,Emissions!S$70:S$85)</f>
        <v>5.3839059429649942E-2</v>
      </c>
      <c r="R39" s="22">
        <f>SUMIF(Emissions!$C$70:$C$85,'Emissions summary'!$C39,Emissions!T$70:T$85)</f>
        <v>4.76008805879857E-2</v>
      </c>
      <c r="S39" s="22">
        <f>SUMIF(Emissions!$C$70:$C$85,'Emissions summary'!$C39,Emissions!U$70:U$85)</f>
        <v>4.1064699572356617E-2</v>
      </c>
      <c r="T39" s="22">
        <f>SUMIF(Emissions!$C$70:$C$85,'Emissions summary'!$C39,Emissions!V$70:V$85)</f>
        <v>3.2025300295422769E-2</v>
      </c>
      <c r="U39" s="22">
        <f>SUMIF(Emissions!$C$70:$C$85,'Emissions summary'!$C39,Emissions!W$70:W$85)</f>
        <v>7.2513862331447368E-2</v>
      </c>
      <c r="V39" s="22">
        <f>SUMIF(Emissions!$C$70:$C$85,'Emissions summary'!$C39,Emissions!X$70:X$85)</f>
        <v>6.3514196677708815E-2</v>
      </c>
      <c r="W39" s="22">
        <f>SUMIF(Emissions!$C$70:$C$85,'Emissions summary'!$C39,Emissions!Y$70:Y$85)</f>
        <v>7.0249045809314473E-2</v>
      </c>
      <c r="X39" s="22">
        <f>SUMIF(Emissions!$C$70:$C$85,'Emissions summary'!$C39,Emissions!Z$70:Z$85)</f>
        <v>4.3369249717684813E-2</v>
      </c>
      <c r="Y39" s="22">
        <f>SUMIF(Emissions!$C$70:$C$85,'Emissions summary'!$C39,Emissions!AA$70:AA$85)</f>
        <v>5.2190114067044435E-2</v>
      </c>
      <c r="Z39" s="22">
        <f>SUMIF(Emissions!$C$70:$C$85,'Emissions summary'!$C39,Emissions!AB$70:AB$85)</f>
        <v>3.9028768379999995E-2</v>
      </c>
      <c r="AA39" s="22">
        <f>SUMIF(Emissions!$C$70:$C$85,'Emissions summary'!$C39,Emissions!AC$70:AC$85)</f>
        <v>2.72036394E-2</v>
      </c>
      <c r="AB39" s="22">
        <f>SUMIF(Emissions!$C$70:$C$85,'Emissions summary'!$C39,Emissions!AD$70:AD$85)</f>
        <v>3.9235523819963862E-2</v>
      </c>
      <c r="AC39" s="22">
        <f>SUMIF(Emissions!$C$70:$C$85,'Emissions summary'!$C39,Emissions!AE$70:AE$85)</f>
        <v>3.9318445103539788E-2</v>
      </c>
      <c r="AD39" s="22">
        <f>SUMIF(Emissions!$C$70:$C$85,'Emissions summary'!$C39,Emissions!AF$70:AF$85)</f>
        <v>3.9401366387115715E-2</v>
      </c>
      <c r="AE39" s="22">
        <f>SUMIF(Emissions!$C$70:$C$85,'Emissions summary'!$C39,Emissions!AG$70:AG$85)</f>
        <v>3.9484287670691648E-2</v>
      </c>
      <c r="AF39" s="22">
        <f>SUMIF(Emissions!$C$70:$C$85,'Emissions summary'!$C39,Emissions!AH$70:AH$85)</f>
        <v>3.9567208954267574E-2</v>
      </c>
      <c r="AG39" s="22">
        <f>SUMIF(Emissions!$C$70:$C$85,'Emissions summary'!$C39,Emissions!AI$70:AI$85)</f>
        <v>3.9650130237843507E-2</v>
      </c>
      <c r="AH39" s="22">
        <f>SUMIF(Emissions!$C$70:$C$85,'Emissions summary'!$C39,Emissions!AJ$70:AJ$85)</f>
        <v>3.9733051521419427E-2</v>
      </c>
      <c r="AI39" s="22">
        <f>SUMIF(Emissions!$C$70:$C$85,'Emissions summary'!$C39,Emissions!AK$70:AK$85)</f>
        <v>3.981597280499536E-2</v>
      </c>
      <c r="AJ39" s="22">
        <f>SUMIF(Emissions!$C$70:$C$85,'Emissions summary'!$C39,Emissions!AL$70:AL$85)</f>
        <v>3.9898894088571286E-2</v>
      </c>
      <c r="AK39" s="22">
        <f>SUMIF(Emissions!$C$70:$C$85,'Emissions summary'!$C39,Emissions!AM$70:AM$85)</f>
        <v>3.9981815372147227E-2</v>
      </c>
      <c r="AL39" s="22">
        <f>SUMIF(Emissions!$C$70:$C$85,'Emissions summary'!$C39,Emissions!AN$70:AN$85)</f>
        <v>4.0064736655723153E-2</v>
      </c>
      <c r="AM39" s="22">
        <f>SUMIF(Emissions!$C$70:$C$85,'Emissions summary'!$C39,Emissions!AO$70:AO$85)</f>
        <v>4.0147657939299079E-2</v>
      </c>
      <c r="AN39" s="22">
        <f>SUMIF(Emissions!$C$70:$C$85,'Emissions summary'!$C39,Emissions!AP$70:AP$85)</f>
        <v>4.0230579222875013E-2</v>
      </c>
      <c r="AO39" s="22">
        <f>SUMIF(Emissions!$C$70:$C$85,'Emissions summary'!$C39,Emissions!AQ$70:AQ$85)</f>
        <v>4.0313500506450946E-2</v>
      </c>
      <c r="AP39" s="22">
        <f>SUMIF(Emissions!$C$70:$C$85,'Emissions summary'!$C39,Emissions!AR$70:AR$85)</f>
        <v>4.0396421790026865E-2</v>
      </c>
      <c r="AQ39" s="22">
        <f>SUMIF(Emissions!$C$70:$C$85,'Emissions summary'!$C39,Emissions!AS$70:AS$85)</f>
        <v>4.0479343073602798E-2</v>
      </c>
      <c r="AR39" s="22">
        <f>SUMIF(Emissions!$C$70:$C$85,'Emissions summary'!$C39,Emissions!AT$70:AT$85)</f>
        <v>4.0562264357178725E-2</v>
      </c>
      <c r="AS39" s="22">
        <f>SUMIF(Emissions!$C$70:$C$85,'Emissions summary'!$C39,Emissions!AU$70:AU$85)</f>
        <v>4.0645185640754658E-2</v>
      </c>
      <c r="AT39" s="22">
        <f>SUMIF(Emissions!$C$70:$C$85,'Emissions summary'!$C39,Emissions!AV$70:AV$85)</f>
        <v>4.0728106924330584E-2</v>
      </c>
      <c r="AU39" s="22">
        <f>SUMIF(Emissions!$C$70:$C$85,'Emissions summary'!$C39,Emissions!AW$70:AW$85)</f>
        <v>4.0811028207906511E-2</v>
      </c>
      <c r="AV39" s="22">
        <f>SUMIF(Emissions!$C$70:$C$85,'Emissions summary'!$C39,Emissions!AX$70:AX$85)</f>
        <v>4.0893949491482444E-2</v>
      </c>
      <c r="AW39" s="22">
        <f>SUMIF(Emissions!$C$70:$C$85,'Emissions summary'!$C39,Emissions!AY$70:AY$85)</f>
        <v>4.097687077505837E-2</v>
      </c>
      <c r="AX39" s="22">
        <f>SUMIF(Emissions!$C$70:$C$85,'Emissions summary'!$C39,Emissions!AZ$70:AZ$85)</f>
        <v>4.1059792058634303E-2</v>
      </c>
      <c r="AY39" s="22">
        <f>SUMIF(Emissions!$C$70:$C$85,'Emissions summary'!$C39,Emissions!BA$70:BA$85)</f>
        <v>4.114271334221023E-2</v>
      </c>
      <c r="AZ39" s="22">
        <f>SUMIF(Emissions!$C$70:$C$85,'Emissions summary'!$C39,Emissions!BB$70:BB$85)</f>
        <v>4.1225634625786156E-2</v>
      </c>
      <c r="BA39" s="22">
        <f>SUMIF(Emissions!$C$70:$C$85,'Emissions summary'!$C39,Emissions!BC$70:BC$85)</f>
        <v>4.1308555909362089E-2</v>
      </c>
      <c r="BB39" s="22">
        <f>SUMIF(Emissions!$C$70:$C$85,'Emissions summary'!$C39,Emissions!BD$70:BD$85)</f>
        <v>4.1391477192938023E-2</v>
      </c>
      <c r="BC39" s="22">
        <f>SUMIF(Emissions!$C$70:$C$85,'Emissions summary'!$C39,Emissions!BE$70:BE$85)</f>
        <v>4.1474398476513949E-2</v>
      </c>
      <c r="BD39" s="22">
        <f>SUMIF(Emissions!$C$70:$C$85,'Emissions summary'!$C39,Emissions!BF$70:BF$85)</f>
        <v>4.1557319760089875E-2</v>
      </c>
      <c r="BE39" s="22">
        <f>SUMIF(Emissions!$C$70:$C$85,'Emissions summary'!$C39,Emissions!BG$70:BG$85)</f>
        <v>4.1640241043665809E-2</v>
      </c>
      <c r="BF39" s="22">
        <f>SUMIF(Emissions!$C$70:$C$85,'Emissions summary'!$C39,Emissions!BH$70:BH$85)</f>
        <v>4.1723162327241742E-2</v>
      </c>
      <c r="BG39" s="22">
        <f>SUMIF(Emissions!$C$70:$C$85,'Emissions summary'!$C39,Emissions!BI$70:BI$85)</f>
        <v>4.1806083610817661E-2</v>
      </c>
      <c r="BH39" s="22">
        <f>SUMIF(Emissions!$C$70:$C$85,'Emissions summary'!$C39,Emissions!BJ$70:BJ$85)</f>
        <v>4.1889004894393594E-2</v>
      </c>
      <c r="BI39" s="22">
        <f>SUMIF(Emissions!$C$70:$C$85,'Emissions summary'!$C39,Emissions!BK$70:BK$85)</f>
        <v>4.1971926177969528E-2</v>
      </c>
      <c r="BJ39" s="22">
        <f>SUMIF(Emissions!$C$70:$C$85,'Emissions summary'!$C39,Emissions!BL$70:BL$85)</f>
        <v>4.2054847461545454E-2</v>
      </c>
      <c r="BK39" s="22">
        <f>SUMIF(Emissions!$C$70:$C$85,'Emissions summary'!$C39,Emissions!BM$70:BM$85)</f>
        <v>4.2137768745121387E-2</v>
      </c>
      <c r="BL39" s="22">
        <f>SUMIF(Emissions!$C$70:$C$85,'Emissions summary'!$C39,Emissions!BN$70:BN$85)</f>
        <v>4.2220690028697307E-2</v>
      </c>
      <c r="BM39" s="22">
        <f>SUMIF(Emissions!$C$70:$C$85,'Emissions summary'!$C39,Emissions!BO$70:BO$85)</f>
        <v>4.230361131227324E-2</v>
      </c>
      <c r="BN39" s="22">
        <f>SUMIF(Emissions!$C$70:$C$85,'Emissions summary'!$C39,Emissions!BP$70:BP$85)</f>
        <v>4.2386532595849173E-2</v>
      </c>
    </row>
    <row r="40" spans="1:66" x14ac:dyDescent="0.25">
      <c r="A40" t="str">
        <f t="shared" si="18"/>
        <v>3C Aggregated and non-CO2 emissions on land</v>
      </c>
      <c r="B40" t="str">
        <f t="shared" si="22"/>
        <v>3C1 Biomass burning (N2O)</v>
      </c>
      <c r="C40" t="str">
        <f>'IPCC Categories'!C70</f>
        <v>3C1f Biomass burning in Other lands</v>
      </c>
      <c r="D40" t="str">
        <f t="shared" si="23"/>
        <v>N2O</v>
      </c>
      <c r="E40" t="str">
        <f t="shared" si="23"/>
        <v>Gg N2O</v>
      </c>
      <c r="F40" s="22">
        <f>SUMIF(Emissions!$C$70:$C$85,'Emissions summary'!$C40,Emissions!H$70:H$85)</f>
        <v>0</v>
      </c>
      <c r="G40" s="22">
        <f>SUMIF(Emissions!$C$70:$C$85,'Emissions summary'!$C40,Emissions!I$70:I$85)</f>
        <v>0</v>
      </c>
      <c r="H40" s="22">
        <f>SUMIF(Emissions!$C$70:$C$85,'Emissions summary'!$C40,Emissions!J$70:J$85)</f>
        <v>0</v>
      </c>
      <c r="I40" s="22">
        <f>SUMIF(Emissions!$C$70:$C$85,'Emissions summary'!$C40,Emissions!K$70:K$85)</f>
        <v>0</v>
      </c>
      <c r="J40" s="22">
        <f>SUMIF(Emissions!$C$70:$C$85,'Emissions summary'!$C40,Emissions!L$70:L$85)</f>
        <v>0</v>
      </c>
      <c r="K40" s="22">
        <f>SUMIF(Emissions!$C$70:$C$85,'Emissions summary'!$C40,Emissions!M$70:M$85)</f>
        <v>0</v>
      </c>
      <c r="L40" s="22">
        <f>SUMIF(Emissions!$C$70:$C$85,'Emissions summary'!$C40,Emissions!N$70:N$85)</f>
        <v>0</v>
      </c>
      <c r="M40" s="22">
        <f>SUMIF(Emissions!$C$70:$C$85,'Emissions summary'!$C40,Emissions!O$70:O$85)</f>
        <v>0</v>
      </c>
      <c r="N40" s="22">
        <f>SUMIF(Emissions!$C$70:$C$85,'Emissions summary'!$C40,Emissions!P$70:P$85)</f>
        <v>0</v>
      </c>
      <c r="O40" s="22">
        <f>SUMIF(Emissions!$C$70:$C$85,'Emissions summary'!$C40,Emissions!Q$70:Q$85)</f>
        <v>0</v>
      </c>
      <c r="P40" s="22">
        <f>SUMIF(Emissions!$C$70:$C$85,'Emissions summary'!$C40,Emissions!R$70:R$85)</f>
        <v>0</v>
      </c>
      <c r="Q40" s="22">
        <f>SUMIF(Emissions!$C$70:$C$85,'Emissions summary'!$C40,Emissions!S$70:S$85)</f>
        <v>0</v>
      </c>
      <c r="R40" s="22">
        <f>SUMIF(Emissions!$C$70:$C$85,'Emissions summary'!$C40,Emissions!T$70:T$85)</f>
        <v>0</v>
      </c>
      <c r="S40" s="22">
        <f>SUMIF(Emissions!$C$70:$C$85,'Emissions summary'!$C40,Emissions!U$70:U$85)</f>
        <v>0</v>
      </c>
      <c r="T40" s="22">
        <f>SUMIF(Emissions!$C$70:$C$85,'Emissions summary'!$C40,Emissions!V$70:V$85)</f>
        <v>0</v>
      </c>
      <c r="U40" s="22">
        <f>SUMIF(Emissions!$C$70:$C$85,'Emissions summary'!$C40,Emissions!W$70:W$85)</f>
        <v>0</v>
      </c>
      <c r="V40" s="22">
        <f>SUMIF(Emissions!$C$70:$C$85,'Emissions summary'!$C40,Emissions!X$70:X$85)</f>
        <v>0</v>
      </c>
      <c r="W40" s="22">
        <f>SUMIF(Emissions!$C$70:$C$85,'Emissions summary'!$C40,Emissions!Y$70:Y$85)</f>
        <v>0</v>
      </c>
      <c r="X40" s="22">
        <f>SUMIF(Emissions!$C$70:$C$85,'Emissions summary'!$C40,Emissions!Z$70:Z$85)</f>
        <v>0</v>
      </c>
      <c r="Y40" s="22">
        <f>SUMIF(Emissions!$C$70:$C$85,'Emissions summary'!$C40,Emissions!AA$70:AA$85)</f>
        <v>0</v>
      </c>
      <c r="Z40" s="22">
        <f>SUMIF(Emissions!$C$70:$C$85,'Emissions summary'!$C40,Emissions!AB$70:AB$85)</f>
        <v>0</v>
      </c>
      <c r="AA40" s="22">
        <f>SUMIF(Emissions!$C$70:$C$85,'Emissions summary'!$C40,Emissions!AC$70:AC$85)</f>
        <v>0</v>
      </c>
      <c r="AB40" s="22">
        <f>SUMIF(Emissions!$C$70:$C$85,'Emissions summary'!$C40,Emissions!AD$70:AD$85)</f>
        <v>0</v>
      </c>
      <c r="AC40" s="22">
        <f>SUMIF(Emissions!$C$70:$C$85,'Emissions summary'!$C40,Emissions!AE$70:AE$85)</f>
        <v>0</v>
      </c>
      <c r="AD40" s="22">
        <f>SUMIF(Emissions!$C$70:$C$85,'Emissions summary'!$C40,Emissions!AF$70:AF$85)</f>
        <v>0</v>
      </c>
      <c r="AE40" s="22">
        <f>SUMIF(Emissions!$C$70:$C$85,'Emissions summary'!$C40,Emissions!AG$70:AG$85)</f>
        <v>0</v>
      </c>
      <c r="AF40" s="22">
        <f>SUMIF(Emissions!$C$70:$C$85,'Emissions summary'!$C40,Emissions!AH$70:AH$85)</f>
        <v>0</v>
      </c>
      <c r="AG40" s="22">
        <f>SUMIF(Emissions!$C$70:$C$85,'Emissions summary'!$C40,Emissions!AI$70:AI$85)</f>
        <v>0</v>
      </c>
      <c r="AH40" s="22">
        <f>SUMIF(Emissions!$C$70:$C$85,'Emissions summary'!$C40,Emissions!AJ$70:AJ$85)</f>
        <v>0</v>
      </c>
      <c r="AI40" s="22">
        <f>SUMIF(Emissions!$C$70:$C$85,'Emissions summary'!$C40,Emissions!AK$70:AK$85)</f>
        <v>0</v>
      </c>
      <c r="AJ40" s="22">
        <f>SUMIF(Emissions!$C$70:$C$85,'Emissions summary'!$C40,Emissions!AL$70:AL$85)</f>
        <v>0</v>
      </c>
      <c r="AK40" s="22">
        <f>SUMIF(Emissions!$C$70:$C$85,'Emissions summary'!$C40,Emissions!AM$70:AM$85)</f>
        <v>0</v>
      </c>
      <c r="AL40" s="22">
        <f>SUMIF(Emissions!$C$70:$C$85,'Emissions summary'!$C40,Emissions!AN$70:AN$85)</f>
        <v>0</v>
      </c>
      <c r="AM40" s="22">
        <f>SUMIF(Emissions!$C$70:$C$85,'Emissions summary'!$C40,Emissions!AO$70:AO$85)</f>
        <v>0</v>
      </c>
      <c r="AN40" s="22">
        <f>SUMIF(Emissions!$C$70:$C$85,'Emissions summary'!$C40,Emissions!AP$70:AP$85)</f>
        <v>0</v>
      </c>
      <c r="AO40" s="22">
        <f>SUMIF(Emissions!$C$70:$C$85,'Emissions summary'!$C40,Emissions!AQ$70:AQ$85)</f>
        <v>0</v>
      </c>
      <c r="AP40" s="22">
        <f>SUMIF(Emissions!$C$70:$C$85,'Emissions summary'!$C40,Emissions!AR$70:AR$85)</f>
        <v>0</v>
      </c>
      <c r="AQ40" s="22">
        <f>SUMIF(Emissions!$C$70:$C$85,'Emissions summary'!$C40,Emissions!AS$70:AS$85)</f>
        <v>0</v>
      </c>
      <c r="AR40" s="22">
        <f>SUMIF(Emissions!$C$70:$C$85,'Emissions summary'!$C40,Emissions!AT$70:AT$85)</f>
        <v>0</v>
      </c>
      <c r="AS40" s="22">
        <f>SUMIF(Emissions!$C$70:$C$85,'Emissions summary'!$C40,Emissions!AU$70:AU$85)</f>
        <v>0</v>
      </c>
      <c r="AT40" s="22">
        <f>SUMIF(Emissions!$C$70:$C$85,'Emissions summary'!$C40,Emissions!AV$70:AV$85)</f>
        <v>0</v>
      </c>
      <c r="AU40" s="22">
        <f>SUMIF(Emissions!$C$70:$C$85,'Emissions summary'!$C40,Emissions!AW$70:AW$85)</f>
        <v>0</v>
      </c>
      <c r="AV40" s="22">
        <f>SUMIF(Emissions!$C$70:$C$85,'Emissions summary'!$C40,Emissions!AX$70:AX$85)</f>
        <v>0</v>
      </c>
      <c r="AW40" s="22">
        <f>SUMIF(Emissions!$C$70:$C$85,'Emissions summary'!$C40,Emissions!AY$70:AY$85)</f>
        <v>0</v>
      </c>
      <c r="AX40" s="22">
        <f>SUMIF(Emissions!$C$70:$C$85,'Emissions summary'!$C40,Emissions!AZ$70:AZ$85)</f>
        <v>0</v>
      </c>
      <c r="AY40" s="22">
        <f>SUMIF(Emissions!$C$70:$C$85,'Emissions summary'!$C40,Emissions!BA$70:BA$85)</f>
        <v>0</v>
      </c>
      <c r="AZ40" s="22">
        <f>SUMIF(Emissions!$C$70:$C$85,'Emissions summary'!$C40,Emissions!BB$70:BB$85)</f>
        <v>0</v>
      </c>
      <c r="BA40" s="22">
        <f>SUMIF(Emissions!$C$70:$C$85,'Emissions summary'!$C40,Emissions!BC$70:BC$85)</f>
        <v>0</v>
      </c>
      <c r="BB40" s="22">
        <f>SUMIF(Emissions!$C$70:$C$85,'Emissions summary'!$C40,Emissions!BD$70:BD$85)</f>
        <v>0</v>
      </c>
      <c r="BC40" s="22">
        <f>SUMIF(Emissions!$C$70:$C$85,'Emissions summary'!$C40,Emissions!BE$70:BE$85)</f>
        <v>0</v>
      </c>
      <c r="BD40" s="22">
        <f>SUMIF(Emissions!$C$70:$C$85,'Emissions summary'!$C40,Emissions!BF$70:BF$85)</f>
        <v>0</v>
      </c>
      <c r="BE40" s="22">
        <f>SUMIF(Emissions!$C$70:$C$85,'Emissions summary'!$C40,Emissions!BG$70:BG$85)</f>
        <v>0</v>
      </c>
      <c r="BF40" s="22">
        <f>SUMIF(Emissions!$C$70:$C$85,'Emissions summary'!$C40,Emissions!BH$70:BH$85)</f>
        <v>0</v>
      </c>
      <c r="BG40" s="22">
        <f>SUMIF(Emissions!$C$70:$C$85,'Emissions summary'!$C40,Emissions!BI$70:BI$85)</f>
        <v>0</v>
      </c>
      <c r="BH40" s="22">
        <f>SUMIF(Emissions!$C$70:$C$85,'Emissions summary'!$C40,Emissions!BJ$70:BJ$85)</f>
        <v>0</v>
      </c>
      <c r="BI40" s="22">
        <f>SUMIF(Emissions!$C$70:$C$85,'Emissions summary'!$C40,Emissions!BK$70:BK$85)</f>
        <v>0</v>
      </c>
      <c r="BJ40" s="22">
        <f>SUMIF(Emissions!$C$70:$C$85,'Emissions summary'!$C40,Emissions!BL$70:BL$85)</f>
        <v>0</v>
      </c>
      <c r="BK40" s="22">
        <f>SUMIF(Emissions!$C$70:$C$85,'Emissions summary'!$C40,Emissions!BM$70:BM$85)</f>
        <v>0</v>
      </c>
      <c r="BL40" s="22">
        <f>SUMIF(Emissions!$C$70:$C$85,'Emissions summary'!$C40,Emissions!BN$70:BN$85)</f>
        <v>0</v>
      </c>
      <c r="BM40" s="22">
        <f>SUMIF(Emissions!$C$70:$C$85,'Emissions summary'!$C40,Emissions!BO$70:BO$85)</f>
        <v>0</v>
      </c>
      <c r="BN40" s="22">
        <f>SUMIF(Emissions!$C$70:$C$85,'Emissions summary'!$C40,Emissions!BP$70:BP$85)</f>
        <v>0</v>
      </c>
    </row>
    <row r="41" spans="1:66" s="19" customFormat="1" ht="15.75" x14ac:dyDescent="0.25">
      <c r="A41" s="19" t="str">
        <f t="shared" si="18"/>
        <v>3C Aggregated and non-CO2 emissions on land</v>
      </c>
      <c r="B41" s="19" t="str">
        <f>'IPCC Categories'!B71</f>
        <v>3C2 Liming (CO2)</v>
      </c>
      <c r="C41" s="19" t="s">
        <v>148</v>
      </c>
      <c r="D41" s="19" t="s">
        <v>380</v>
      </c>
      <c r="E41" s="19" t="s">
        <v>382</v>
      </c>
      <c r="F41" s="49">
        <f>Emissions!H86</f>
        <v>357.5</v>
      </c>
      <c r="G41" s="49">
        <f>Emissions!I86</f>
        <v>378.125</v>
      </c>
      <c r="H41" s="49">
        <f>Emissions!J86</f>
        <v>261.25</v>
      </c>
      <c r="I41" s="49">
        <f>Emissions!K86</f>
        <v>412.5</v>
      </c>
      <c r="J41" s="49">
        <f>Emissions!L86</f>
        <v>595.58170833333327</v>
      </c>
      <c r="K41" s="49">
        <f>Emissions!M86</f>
        <v>473.34145833333332</v>
      </c>
      <c r="L41" s="49">
        <f>Emissions!N86</f>
        <v>579.13625000000002</v>
      </c>
      <c r="M41" s="49">
        <f>Emissions!O86</f>
        <v>547.24312499999996</v>
      </c>
      <c r="N41" s="49">
        <f>Emissions!P86</f>
        <v>570.31379166666659</v>
      </c>
      <c r="O41" s="49">
        <f>Emissions!Q86</f>
        <v>567.03808333333325</v>
      </c>
      <c r="P41" s="49">
        <f>Emissions!R86</f>
        <v>378.2405</v>
      </c>
      <c r="Q41" s="49">
        <f>Emissions!S86</f>
        <v>489.66362500000002</v>
      </c>
      <c r="R41" s="49">
        <f>Emissions!T86</f>
        <v>672.79437500000006</v>
      </c>
      <c r="S41" s="49">
        <f>Emissions!U86</f>
        <v>580.13175000000001</v>
      </c>
      <c r="T41" s="49">
        <f>Emissions!V86</f>
        <v>579.7403333333333</v>
      </c>
      <c r="U41" s="49">
        <f>Emissions!W86</f>
        <v>266.03683333333333</v>
      </c>
      <c r="V41" s="49">
        <f>Emissions!X86</f>
        <v>441.42908333333332</v>
      </c>
      <c r="W41" s="49">
        <f>Emissions!Y86</f>
        <v>521.42108333333329</v>
      </c>
      <c r="X41" s="49">
        <f>Emissions!Z86</f>
        <v>655.32637499999998</v>
      </c>
      <c r="Y41" s="49">
        <f>Emissions!AA86</f>
        <v>695.56775237855516</v>
      </c>
      <c r="Z41" s="49">
        <f>Emissions!AB86</f>
        <v>653.23730656422072</v>
      </c>
      <c r="AA41" s="49">
        <f>Emissions!AC86</f>
        <v>722.61220387104663</v>
      </c>
      <c r="AB41" s="49">
        <f>Emissions!AD86</f>
        <v>886.46691832724639</v>
      </c>
      <c r="AC41" s="49">
        <f>Emissions!AE86</f>
        <v>888.57220041675475</v>
      </c>
      <c r="AD41" s="49">
        <f>Emissions!AF86</f>
        <v>892.19156964654962</v>
      </c>
      <c r="AE41" s="49">
        <f>Emissions!AG86</f>
        <v>894.68344635299957</v>
      </c>
      <c r="AF41" s="49">
        <f>Emissions!AH86</f>
        <v>896.27078676473502</v>
      </c>
      <c r="AG41" s="49">
        <f>Emissions!AI86</f>
        <v>897.27224451810355</v>
      </c>
      <c r="AH41" s="49">
        <f>Emissions!AJ86</f>
        <v>898.67094870860296</v>
      </c>
      <c r="AI41" s="49">
        <f>Emissions!AK86</f>
        <v>900.30367420709717</v>
      </c>
      <c r="AJ41" s="49">
        <f>Emissions!AL86</f>
        <v>901.86406343716328</v>
      </c>
      <c r="AK41" s="49">
        <f>Emissions!AM86</f>
        <v>889.86106938580019</v>
      </c>
      <c r="AL41" s="49">
        <f>Emissions!AN86</f>
        <v>892.97507388479505</v>
      </c>
      <c r="AM41" s="49">
        <f>Emissions!AO86</f>
        <v>896.07553395869502</v>
      </c>
      <c r="AN41" s="49">
        <f>Emissions!AP86</f>
        <v>899.44305778392913</v>
      </c>
      <c r="AO41" s="49">
        <f>Emissions!AQ86</f>
        <v>902.96637712116114</v>
      </c>
      <c r="AP41" s="49">
        <f>Emissions!AR86</f>
        <v>906.3941358876524</v>
      </c>
      <c r="AQ41" s="49">
        <f>Emissions!AS86</f>
        <v>910.24311454774499</v>
      </c>
      <c r="AR41" s="49">
        <f>Emissions!AT86</f>
        <v>914.15546308071282</v>
      </c>
      <c r="AS41" s="49">
        <f>Emissions!AU86</f>
        <v>918.19441534035502</v>
      </c>
      <c r="AT41" s="49">
        <f>Emissions!AV86</f>
        <v>922.28021422526683</v>
      </c>
      <c r="AU41" s="49">
        <f>Emissions!AW86</f>
        <v>925.70605472938325</v>
      </c>
      <c r="AV41" s="49">
        <f>Emissions!AX86</f>
        <v>929.89417531547485</v>
      </c>
      <c r="AW41" s="49">
        <f>Emissions!AY86</f>
        <v>934.08462665778677</v>
      </c>
      <c r="AX41" s="49">
        <f>Emissions!AZ86</f>
        <v>938.30058756617461</v>
      </c>
      <c r="AY41" s="49">
        <f>Emissions!BA86</f>
        <v>942.27527137080324</v>
      </c>
      <c r="AZ41" s="49">
        <f>Emissions!BB86</f>
        <v>946.3841630491163</v>
      </c>
      <c r="BA41" s="49">
        <f>Emissions!BC86</f>
        <v>950.62363015955998</v>
      </c>
      <c r="BB41" s="49">
        <f>Emissions!BD86</f>
        <v>954.91732759988372</v>
      </c>
      <c r="BC41" s="49">
        <f>Emissions!BE86</f>
        <v>959.08241762760497</v>
      </c>
      <c r="BD41" s="49">
        <f>Emissions!BF86</f>
        <v>963.30072797715457</v>
      </c>
      <c r="BE41" s="49">
        <f>Emissions!BG86</f>
        <v>967.67231460968992</v>
      </c>
      <c r="BF41" s="49">
        <f>Emissions!BH86</f>
        <v>972.13931979124197</v>
      </c>
      <c r="BG41" s="49">
        <f>Emissions!BI86</f>
        <v>976.67976000342844</v>
      </c>
      <c r="BH41" s="49">
        <f>Emissions!BJ86</f>
        <v>981.29410526182983</v>
      </c>
      <c r="BI41" s="49">
        <f>Emissions!BK86</f>
        <v>985.97710395450372</v>
      </c>
      <c r="BJ41" s="49">
        <f>Emissions!BL86</f>
        <v>990.76029770884224</v>
      </c>
      <c r="BK41" s="49">
        <f>Emissions!BM86</f>
        <v>995.1821554033088</v>
      </c>
      <c r="BL41" s="49">
        <f>Emissions!BN86</f>
        <v>999.68860839302522</v>
      </c>
      <c r="BM41" s="49">
        <f>Emissions!BO86</f>
        <v>1004.3059319994804</v>
      </c>
      <c r="BN41" s="49">
        <f>Emissions!BP86</f>
        <v>1009.0424822129</v>
      </c>
    </row>
    <row r="42" spans="1:66" s="19" customFormat="1" ht="15.75" x14ac:dyDescent="0.25">
      <c r="A42" s="19" t="str">
        <f t="shared" si="18"/>
        <v>3C Aggregated and non-CO2 emissions on land</v>
      </c>
      <c r="B42" s="19" t="str">
        <f>'IPCC Categories'!B72</f>
        <v>3C3 Urea application (CO2)</v>
      </c>
      <c r="C42" s="19" t="s">
        <v>148</v>
      </c>
      <c r="D42" s="19" t="str">
        <f>D41</f>
        <v>CO2</v>
      </c>
      <c r="E42" s="19" t="str">
        <f>E41</f>
        <v>Gg CO2</v>
      </c>
      <c r="F42" s="49">
        <f>Emissions!H87</f>
        <v>90.994567483487728</v>
      </c>
      <c r="G42" s="49">
        <f>Emissions!I87</f>
        <v>111.62690198838213</v>
      </c>
      <c r="H42" s="49">
        <f>Emissions!J87</f>
        <v>132.25923649327655</v>
      </c>
      <c r="I42" s="49">
        <f>Emissions!K87</f>
        <v>152.89157099816552</v>
      </c>
      <c r="J42" s="49">
        <f>Emissions!L87</f>
        <v>173.52390550305992</v>
      </c>
      <c r="K42" s="49">
        <f>Emissions!M87</f>
        <v>194.15624000795432</v>
      </c>
      <c r="L42" s="49">
        <f>Emissions!N87</f>
        <v>214.78857451284878</v>
      </c>
      <c r="M42" s="49">
        <f>Emissions!O87</f>
        <v>235.42090901774316</v>
      </c>
      <c r="N42" s="49">
        <f>Emissions!P87</f>
        <v>256.05324352263762</v>
      </c>
      <c r="O42" s="49">
        <f>Emissions!Q87</f>
        <v>276.68557802753202</v>
      </c>
      <c r="P42" s="49">
        <f>Emissions!R87</f>
        <v>297.31791253242642</v>
      </c>
      <c r="Q42" s="49">
        <f>Emissions!S87</f>
        <v>317.95024703732088</v>
      </c>
      <c r="R42" s="49">
        <f>Emissions!T87</f>
        <v>338.58258154220977</v>
      </c>
      <c r="S42" s="49">
        <f>Emissions!U87</f>
        <v>359.21491604710423</v>
      </c>
      <c r="T42" s="49">
        <f>Emissions!V87</f>
        <v>435.89846666666671</v>
      </c>
      <c r="U42" s="49">
        <f>Emissions!W87</f>
        <v>355.08659999999998</v>
      </c>
      <c r="V42" s="49">
        <f>Emissions!X87</f>
        <v>393.08573333333334</v>
      </c>
      <c r="W42" s="49">
        <f>Emissions!Y87</f>
        <v>484.55366666666663</v>
      </c>
      <c r="X42" s="49">
        <f>Emissions!Z87</f>
        <v>480.19253333333336</v>
      </c>
      <c r="Y42" s="49">
        <f>Emissions!AA87</f>
        <v>380.54426666666666</v>
      </c>
      <c r="Z42" s="49">
        <f>Emissions!AB87</f>
        <v>501.48046666666664</v>
      </c>
      <c r="AA42" s="49">
        <f>Emissions!AC87</f>
        <v>571.19113333333337</v>
      </c>
      <c r="AB42" s="49">
        <f>Emissions!AD87</f>
        <v>470.0955092083982</v>
      </c>
      <c r="AC42" s="49">
        <f>Emissions!AE87</f>
        <v>470.04246487127125</v>
      </c>
      <c r="AD42" s="49">
        <f>Emissions!AF87</f>
        <v>469.95127184656036</v>
      </c>
      <c r="AE42" s="49">
        <f>Emissions!AG87</f>
        <v>469.8884869358094</v>
      </c>
      <c r="AF42" s="49">
        <f>Emissions!AH87</f>
        <v>469.84849257099012</v>
      </c>
      <c r="AG42" s="49">
        <f>Emissions!AI87</f>
        <v>469.82326000811753</v>
      </c>
      <c r="AH42" s="49">
        <f>Emissions!AJ87</f>
        <v>469.78801849013212</v>
      </c>
      <c r="AI42" s="49">
        <f>Emissions!AK87</f>
        <v>469.74688061022079</v>
      </c>
      <c r="AJ42" s="49">
        <f>Emissions!AL87</f>
        <v>469.70756530288918</v>
      </c>
      <c r="AK42" s="49">
        <f>Emissions!AM87</f>
        <v>470.00999074324488</v>
      </c>
      <c r="AL42" s="49">
        <f>Emissions!AN87</f>
        <v>469.93153080417898</v>
      </c>
      <c r="AM42" s="49">
        <f>Emissions!AO87</f>
        <v>469.8534121281935</v>
      </c>
      <c r="AN42" s="49">
        <f>Emissions!AP87</f>
        <v>469.76856455837913</v>
      </c>
      <c r="AO42" s="49">
        <f>Emissions!AQ87</f>
        <v>469.67979159077481</v>
      </c>
      <c r="AP42" s="49">
        <f>Emissions!AR87</f>
        <v>469.59342635140592</v>
      </c>
      <c r="AQ42" s="49">
        <f>Emissions!AS87</f>
        <v>469.49644812570511</v>
      </c>
      <c r="AR42" s="49">
        <f>Emissions!AT87</f>
        <v>469.39787324323459</v>
      </c>
      <c r="AS42" s="49">
        <f>Emissions!AU87</f>
        <v>469.29610847433844</v>
      </c>
      <c r="AT42" s="49">
        <f>Emissions!AV87</f>
        <v>469.19316336566925</v>
      </c>
      <c r="AU42" s="49">
        <f>Emissions!AW87</f>
        <v>469.10684645851984</v>
      </c>
      <c r="AV42" s="49">
        <f>Emissions!AX87</f>
        <v>469.00132326929798</v>
      </c>
      <c r="AW42" s="49">
        <f>Emissions!AY87</f>
        <v>468.89574135473009</v>
      </c>
      <c r="AX42" s="49">
        <f>Emissions!AZ87</f>
        <v>468.78951670538135</v>
      </c>
      <c r="AY42" s="49">
        <f>Emissions!BA87</f>
        <v>468.68937123378112</v>
      </c>
      <c r="AZ42" s="49">
        <f>Emissions!BB87</f>
        <v>468.5858442829329</v>
      </c>
      <c r="BA42" s="49">
        <f>Emissions!BC87</f>
        <v>468.47902737522929</v>
      </c>
      <c r="BB42" s="49">
        <f>Emissions!BD87</f>
        <v>468.3708440891603</v>
      </c>
      <c r="BC42" s="49">
        <f>Emissions!BE87</f>
        <v>468.26590117405385</v>
      </c>
      <c r="BD42" s="49">
        <f>Emissions!BF87</f>
        <v>468.15961732857664</v>
      </c>
      <c r="BE42" s="49">
        <f>Emissions!BG87</f>
        <v>468.0494715593843</v>
      </c>
      <c r="BF42" s="49">
        <f>Emissions!BH87</f>
        <v>467.93692164031239</v>
      </c>
      <c r="BG42" s="49">
        <f>Emissions!BI87</f>
        <v>467.82252146443096</v>
      </c>
      <c r="BH42" s="49">
        <f>Emissions!BJ87</f>
        <v>467.70625918930585</v>
      </c>
      <c r="BI42" s="49">
        <f>Emissions!BK87</f>
        <v>467.58826713367728</v>
      </c>
      <c r="BJ42" s="49">
        <f>Emissions!BL87</f>
        <v>467.46775057995154</v>
      </c>
      <c r="BK42" s="49">
        <f>Emissions!BM87</f>
        <v>467.35633818944979</v>
      </c>
      <c r="BL42" s="49">
        <f>Emissions!BN87</f>
        <v>467.24279434996896</v>
      </c>
      <c r="BM42" s="49">
        <f>Emissions!BO87</f>
        <v>467.12645703288194</v>
      </c>
      <c r="BN42" s="49">
        <f>Emissions!BP87</f>
        <v>467.00711570204976</v>
      </c>
    </row>
    <row r="43" spans="1:66" s="19" customFormat="1" ht="15.75" x14ac:dyDescent="0.25">
      <c r="A43" s="19" t="str">
        <f t="shared" si="18"/>
        <v>3C Aggregated and non-CO2 emissions on land</v>
      </c>
      <c r="B43" s="19" t="str">
        <f>'IPCC Categories'!B73</f>
        <v>3C4 Direct N2O from managed soils (N2O)</v>
      </c>
      <c r="C43" s="19" t="s">
        <v>148</v>
      </c>
      <c r="D43" s="19" t="s">
        <v>139</v>
      </c>
      <c r="E43" s="19" t="s">
        <v>287</v>
      </c>
      <c r="F43" s="49">
        <f>SUM(F44:F48)</f>
        <v>55.596597383734697</v>
      </c>
      <c r="G43" s="49">
        <f t="shared" ref="G43:BN43" si="24">SUM(G44:G48)</f>
        <v>55.28633998855625</v>
      </c>
      <c r="H43" s="49">
        <f t="shared" si="24"/>
        <v>54.71008958224381</v>
      </c>
      <c r="I43" s="49">
        <f t="shared" si="24"/>
        <v>54.205597256781054</v>
      </c>
      <c r="J43" s="49">
        <f t="shared" si="24"/>
        <v>52.900250302352887</v>
      </c>
      <c r="K43" s="49">
        <f t="shared" si="24"/>
        <v>51.915653074343908</v>
      </c>
      <c r="L43" s="49">
        <f t="shared" si="24"/>
        <v>54.152443602860892</v>
      </c>
      <c r="M43" s="49">
        <f t="shared" si="24"/>
        <v>55.0921271912325</v>
      </c>
      <c r="N43" s="49">
        <f t="shared" si="24"/>
        <v>55.452453962621647</v>
      </c>
      <c r="O43" s="49">
        <f t="shared" si="24"/>
        <v>55.340893527840024</v>
      </c>
      <c r="P43" s="49">
        <f t="shared" si="24"/>
        <v>54.909001676139468</v>
      </c>
      <c r="Q43" s="49">
        <f t="shared" si="24"/>
        <v>53.415685968258067</v>
      </c>
      <c r="R43" s="49">
        <f t="shared" si="24"/>
        <v>54.703059588171548</v>
      </c>
      <c r="S43" s="49">
        <f t="shared" si="24"/>
        <v>54.096474666145404</v>
      </c>
      <c r="T43" s="49">
        <f t="shared" si="24"/>
        <v>53.498896979933384</v>
      </c>
      <c r="U43" s="49">
        <f t="shared" si="24"/>
        <v>52.263187711915691</v>
      </c>
      <c r="V43" s="49">
        <f t="shared" si="24"/>
        <v>52.35335955308765</v>
      </c>
      <c r="W43" s="49">
        <f t="shared" si="24"/>
        <v>54.345597859655129</v>
      </c>
      <c r="X43" s="49">
        <f t="shared" si="24"/>
        <v>54.4968684161461</v>
      </c>
      <c r="Y43" s="49">
        <f t="shared" si="24"/>
        <v>54.126626370799677</v>
      </c>
      <c r="Z43" s="49">
        <f t="shared" si="24"/>
        <v>53.115630834632697</v>
      </c>
      <c r="AA43" s="49">
        <f t="shared" si="24"/>
        <v>53.123674822972326</v>
      </c>
      <c r="AB43" s="49">
        <f t="shared" si="24"/>
        <v>55.493610708837807</v>
      </c>
      <c r="AC43" s="49">
        <f t="shared" si="24"/>
        <v>55.4667903164598</v>
      </c>
      <c r="AD43" s="49">
        <f t="shared" si="24"/>
        <v>55.155860662724521</v>
      </c>
      <c r="AE43" s="49">
        <f t="shared" si="24"/>
        <v>54.625723781642243</v>
      </c>
      <c r="AF43" s="49">
        <f t="shared" si="24"/>
        <v>53.970651092840995</v>
      </c>
      <c r="AG43" s="49">
        <f t="shared" si="24"/>
        <v>53.442464052098501</v>
      </c>
      <c r="AH43" s="49">
        <f t="shared" si="24"/>
        <v>52.992582890212383</v>
      </c>
      <c r="AI43" s="49">
        <f t="shared" si="24"/>
        <v>52.542349876246398</v>
      </c>
      <c r="AJ43" s="49">
        <f t="shared" si="24"/>
        <v>49.070750969680894</v>
      </c>
      <c r="AK43" s="49">
        <f t="shared" si="24"/>
        <v>49.245405072739374</v>
      </c>
      <c r="AL43" s="49">
        <f t="shared" si="24"/>
        <v>49.455912122228128</v>
      </c>
      <c r="AM43" s="49">
        <f t="shared" si="24"/>
        <v>49.722926379724278</v>
      </c>
      <c r="AN43" s="49">
        <f t="shared" si="24"/>
        <v>50.025968613005446</v>
      </c>
      <c r="AO43" s="49">
        <f t="shared" si="24"/>
        <v>50.310435674192199</v>
      </c>
      <c r="AP43" s="49">
        <f t="shared" si="24"/>
        <v>50.686084659625763</v>
      </c>
      <c r="AQ43" s="49">
        <f t="shared" si="24"/>
        <v>51.077402627595312</v>
      </c>
      <c r="AR43" s="49">
        <f t="shared" si="24"/>
        <v>51.496957603019844</v>
      </c>
      <c r="AS43" s="49">
        <f t="shared" si="24"/>
        <v>51.928115083516097</v>
      </c>
      <c r="AT43" s="49">
        <f t="shared" si="24"/>
        <v>52.217230964368213</v>
      </c>
      <c r="AU43" s="49">
        <f t="shared" si="24"/>
        <v>52.468221142721802</v>
      </c>
      <c r="AV43" s="49">
        <f t="shared" si="24"/>
        <v>52.713578545061836</v>
      </c>
      <c r="AW43" s="49">
        <f t="shared" si="24"/>
        <v>52.955982072846787</v>
      </c>
      <c r="AX43" s="49">
        <f t="shared" si="24"/>
        <v>53.138121148229949</v>
      </c>
      <c r="AY43" s="49">
        <f t="shared" si="24"/>
        <v>53.339573061864357</v>
      </c>
      <c r="AZ43" s="49">
        <f t="shared" si="24"/>
        <v>53.559904860827572</v>
      </c>
      <c r="BA43" s="49">
        <f t="shared" si="24"/>
        <v>53.782346215970705</v>
      </c>
      <c r="BB43" s="49">
        <f t="shared" si="24"/>
        <v>53.967609676513213</v>
      </c>
      <c r="BC43" s="49">
        <f t="shared" si="24"/>
        <v>54.153584194860272</v>
      </c>
      <c r="BD43" s="49">
        <f t="shared" si="24"/>
        <v>54.361312679117674</v>
      </c>
      <c r="BE43" s="49">
        <f t="shared" si="24"/>
        <v>54.703780207096948</v>
      </c>
      <c r="BF43" s="49">
        <f t="shared" si="24"/>
        <v>55.056161546749991</v>
      </c>
      <c r="BG43" s="49">
        <f t="shared" si="24"/>
        <v>55.418382559331612</v>
      </c>
      <c r="BH43" s="49">
        <f t="shared" si="24"/>
        <v>55.789228735973992</v>
      </c>
      <c r="BI43" s="49">
        <f t="shared" si="24"/>
        <v>56.175302135247087</v>
      </c>
      <c r="BJ43" s="49">
        <f t="shared" si="24"/>
        <v>56.477988228466224</v>
      </c>
      <c r="BK43" s="49">
        <f t="shared" si="24"/>
        <v>56.790774533885156</v>
      </c>
      <c r="BL43" s="49">
        <f t="shared" si="24"/>
        <v>57.120296879417538</v>
      </c>
      <c r="BM43" s="49">
        <f t="shared" si="24"/>
        <v>57.468318006249916</v>
      </c>
      <c r="BN43" s="49">
        <f t="shared" si="24"/>
        <v>57.854069669599056</v>
      </c>
    </row>
    <row r="44" spans="1:66" x14ac:dyDescent="0.25">
      <c r="A44" t="str">
        <f>A42</f>
        <v>3C Aggregated and non-CO2 emissions on land</v>
      </c>
      <c r="B44" t="str">
        <f>'IPCC Categories'!B73</f>
        <v>3C4 Direct N2O from managed soils (N2O)</v>
      </c>
      <c r="C44" t="str">
        <f>'IPCC Categories'!C73</f>
        <v>Inorganic inputs</v>
      </c>
      <c r="D44" t="s">
        <v>139</v>
      </c>
      <c r="E44" t="s">
        <v>287</v>
      </c>
      <c r="F44" s="22">
        <f>Emissions!H88</f>
        <v>5.4008271428571426</v>
      </c>
      <c r="G44" s="22">
        <f>Emissions!I88</f>
        <v>5.7362642857142854</v>
      </c>
      <c r="H44" s="22">
        <f>Emissions!J88</f>
        <v>5.4611071428571423</v>
      </c>
      <c r="I44" s="22">
        <f>Emissions!K88</f>
        <v>6.4186414285714282</v>
      </c>
      <c r="J44" s="22">
        <f>Emissions!L88</f>
        <v>5.8938942857142855</v>
      </c>
      <c r="K44" s="22">
        <f>Emissions!M88</f>
        <v>5.8377157142857143</v>
      </c>
      <c r="L44" s="22">
        <f>Emissions!N88</f>
        <v>6.5227485714285702</v>
      </c>
      <c r="M44" s="22">
        <f>Emissions!O88</f>
        <v>6.3943628571428572</v>
      </c>
      <c r="N44" s="22">
        <f>Emissions!P88</f>
        <v>6.5296157142857139</v>
      </c>
      <c r="O44" s="22">
        <f>Emissions!Q88</f>
        <v>6.4907071428571426</v>
      </c>
      <c r="P44" s="22">
        <f>Emissions!R88</f>
        <v>6.5360899999999997</v>
      </c>
      <c r="Q44" s="22">
        <f>Emissions!S88</f>
        <v>6.219918571428571</v>
      </c>
      <c r="R44" s="22">
        <f>Emissions!T88</f>
        <v>7.4968457142857146</v>
      </c>
      <c r="S44" s="22">
        <f>Emissions!U88</f>
        <v>6.6129957142857139</v>
      </c>
      <c r="T44" s="22">
        <f>Emissions!V88</f>
        <v>6.7189728571428571</v>
      </c>
      <c r="U44" s="22">
        <f>Emissions!W88</f>
        <v>5.4569428571428569</v>
      </c>
      <c r="V44" s="22">
        <f>Emissions!X88</f>
        <v>6.7370128571428571</v>
      </c>
      <c r="W44" s="22">
        <f>Emissions!Y88</f>
        <v>6.9061142857142848</v>
      </c>
      <c r="X44" s="22">
        <f>Emissions!Z88</f>
        <v>6.66479</v>
      </c>
      <c r="Y44" s="22">
        <f>Emissions!AA88</f>
        <v>7.1307814285714279</v>
      </c>
      <c r="Z44" s="22">
        <f>Emissions!AB88</f>
        <v>6.2071428571428573</v>
      </c>
      <c r="AA44" s="22">
        <f>Emissions!AC88</f>
        <v>6.5842857142857145</v>
      </c>
      <c r="AB44" s="22">
        <f>Emissions!AD88</f>
        <v>6.6064812063358538</v>
      </c>
      <c r="AC44" s="22">
        <f>Emissions!AE88</f>
        <v>6.6056451628178294</v>
      </c>
      <c r="AD44" s="22">
        <f>Emissions!AF88</f>
        <v>6.6042078494055358</v>
      </c>
      <c r="AE44" s="22">
        <f>Emissions!AG88</f>
        <v>6.6032182825543648</v>
      </c>
      <c r="AF44" s="22">
        <f>Emissions!AH88</f>
        <v>6.6025879225333757</v>
      </c>
      <c r="AG44" s="22">
        <f>Emissions!AI88</f>
        <v>6.6021902265346046</v>
      </c>
      <c r="AH44" s="22">
        <f>Emissions!AJ88</f>
        <v>6.6016347771827446</v>
      </c>
      <c r="AI44" s="22">
        <f>Emissions!AK88</f>
        <v>6.6009863939677187</v>
      </c>
      <c r="AJ44" s="22">
        <f>Emissions!AL88</f>
        <v>6.6003667367218348</v>
      </c>
      <c r="AK44" s="22">
        <f>Emissions!AM88</f>
        <v>6.6051333309105873</v>
      </c>
      <c r="AL44" s="22">
        <f>Emissions!AN88</f>
        <v>6.6038967064746226</v>
      </c>
      <c r="AM44" s="22">
        <f>Emissions!AO88</f>
        <v>6.6026654607614734</v>
      </c>
      <c r="AN44" s="22">
        <f>Emissions!AP88</f>
        <v>6.6013281594658837</v>
      </c>
      <c r="AO44" s="22">
        <f>Emissions!AQ88</f>
        <v>6.5999289891083794</v>
      </c>
      <c r="AP44" s="22">
        <f>Emissions!AR88</f>
        <v>6.5985677674875989</v>
      </c>
      <c r="AQ44" s="22">
        <f>Emissions!AS88</f>
        <v>6.5970392722442197</v>
      </c>
      <c r="AR44" s="22">
        <f>Emissions!AT88</f>
        <v>6.595485611740699</v>
      </c>
      <c r="AS44" s="22">
        <f>Emissions!AU88</f>
        <v>6.5938816747323914</v>
      </c>
      <c r="AT44" s="22">
        <f>Emissions!AV88</f>
        <v>6.592259134128116</v>
      </c>
      <c r="AU44" s="22">
        <f>Emissions!AW88</f>
        <v>6.5908986742821281</v>
      </c>
      <c r="AV44" s="22">
        <f>Emissions!AX88</f>
        <v>6.5892354999806129</v>
      </c>
      <c r="AW44" s="22">
        <f>Emissions!AY88</f>
        <v>6.587571400095948</v>
      </c>
      <c r="AX44" s="22">
        <f>Emissions!AZ88</f>
        <v>6.5858971699263806</v>
      </c>
      <c r="AY44" s="22">
        <f>Emissions!BA88</f>
        <v>6.5843187550205498</v>
      </c>
      <c r="AZ44" s="22">
        <f>Emissions!BB88</f>
        <v>6.5826870438731282</v>
      </c>
      <c r="BA44" s="22">
        <f>Emissions!BC88</f>
        <v>6.5810034789887686</v>
      </c>
      <c r="BB44" s="22">
        <f>Emissions!BD88</f>
        <v>6.5792983783130774</v>
      </c>
      <c r="BC44" s="22">
        <f>Emissions!BE88</f>
        <v>6.5776443498401136</v>
      </c>
      <c r="BD44" s="22">
        <f>Emissions!BF88</f>
        <v>6.5759691866672867</v>
      </c>
      <c r="BE44" s="22">
        <f>Emissions!BG88</f>
        <v>6.5742331548614636</v>
      </c>
      <c r="BF44" s="22">
        <f>Emissions!BH88</f>
        <v>6.5724592307181711</v>
      </c>
      <c r="BG44" s="22">
        <f>Emissions!BI88</f>
        <v>6.5706561442684768</v>
      </c>
      <c r="BH44" s="22">
        <f>Emissions!BJ88</f>
        <v>6.5688237088611547</v>
      </c>
      <c r="BI44" s="22">
        <f>Emissions!BK88</f>
        <v>6.5669640100011106</v>
      </c>
      <c r="BJ44" s="22">
        <f>Emissions!BL88</f>
        <v>6.5650645219687469</v>
      </c>
      <c r="BK44" s="22">
        <f>Emissions!BM88</f>
        <v>6.5633085266645974</v>
      </c>
      <c r="BL44" s="22">
        <f>Emissions!BN88</f>
        <v>6.5615189371221261</v>
      </c>
      <c r="BM44" s="22">
        <f>Emissions!BO88</f>
        <v>6.5596853189618622</v>
      </c>
      <c r="BN44" s="22">
        <f>Emissions!BP88</f>
        <v>6.5578043538772004</v>
      </c>
    </row>
    <row r="45" spans="1:66" x14ac:dyDescent="0.25">
      <c r="A45" t="str">
        <f t="shared" si="18"/>
        <v>3C Aggregated and non-CO2 emissions on land</v>
      </c>
      <c r="B45" t="str">
        <f>B44</f>
        <v>3C4 Direct N2O from managed soils (N2O)</v>
      </c>
      <c r="C45" t="str">
        <f>'IPCC Categories'!C74</f>
        <v>Organic inputs</v>
      </c>
      <c r="D45" t="str">
        <f>D44</f>
        <v>N2O</v>
      </c>
      <c r="E45" t="str">
        <f>E44</f>
        <v>Gg N2O</v>
      </c>
      <c r="F45" s="22">
        <f>Emissions!H89+SUM(Emissions!H91:H106)</f>
        <v>5.013223224744225</v>
      </c>
      <c r="G45" s="22">
        <f>Emissions!I89+SUM(Emissions!I91:I106)</f>
        <v>5.2664911527114882</v>
      </c>
      <c r="H45" s="22">
        <f>Emissions!J89+SUM(Emissions!J91:J106)</f>
        <v>5.1762858222826607</v>
      </c>
      <c r="I45" s="22">
        <f>Emissions!K89+SUM(Emissions!K91:K106)</f>
        <v>5.2086111862956743</v>
      </c>
      <c r="J45" s="22">
        <f>Emissions!L89+SUM(Emissions!L91:L106)</f>
        <v>4.8007290385965042</v>
      </c>
      <c r="K45" s="22">
        <f>Emissions!M89+SUM(Emissions!M91:M106)</f>
        <v>4.8651386255813591</v>
      </c>
      <c r="L45" s="22">
        <f>Emissions!N89+SUM(Emissions!N91:N106)</f>
        <v>5.0338302809481963</v>
      </c>
      <c r="M45" s="22">
        <f>Emissions!O89+SUM(Emissions!O91:O106)</f>
        <v>5.1142932794644391</v>
      </c>
      <c r="N45" s="22">
        <f>Emissions!P89+SUM(Emissions!P91:P106)</f>
        <v>5.3033045117136446</v>
      </c>
      <c r="O45" s="22">
        <f>Emissions!Q89+SUM(Emissions!Q91:Q106)</f>
        <v>5.4092266243626721</v>
      </c>
      <c r="P45" s="22">
        <f>Emissions!R89+SUM(Emissions!R91:R106)</f>
        <v>5.6403135553523542</v>
      </c>
      <c r="Q45" s="22">
        <f>Emissions!S89+SUM(Emissions!S91:S106)</f>
        <v>5.5621015030972583</v>
      </c>
      <c r="R45" s="22">
        <f>Emissions!T89+SUM(Emissions!T91:T106)</f>
        <v>5.7412119564886979</v>
      </c>
      <c r="S45" s="22">
        <f>Emissions!U89+SUM(Emissions!U91:U106)</f>
        <v>5.6607422735121498</v>
      </c>
      <c r="T45" s="22">
        <f>Emissions!V89+SUM(Emissions!V91:V106)</f>
        <v>5.5972438596319325</v>
      </c>
      <c r="U45" s="22">
        <f>Emissions!W89+SUM(Emissions!W91:W106)</f>
        <v>5.6518594537321407</v>
      </c>
      <c r="V45" s="22">
        <f>Emissions!X89+SUM(Emissions!X91:X106)</f>
        <v>5.7679219843073382</v>
      </c>
      <c r="W45" s="22">
        <f>Emissions!Y89+SUM(Emissions!Y91:Y106)</f>
        <v>5.930952774865669</v>
      </c>
      <c r="X45" s="22">
        <f>Emissions!Z89+SUM(Emissions!Z91:Z106)</f>
        <v>6.1389173405766284</v>
      </c>
      <c r="Y45" s="22">
        <f>Emissions!AA89+SUM(Emissions!AA91:AA106)</f>
        <v>6.0934183775123598</v>
      </c>
      <c r="Z45" s="22">
        <f>Emissions!AB89+SUM(Emissions!AB91:AB106)</f>
        <v>6.0637701628895098</v>
      </c>
      <c r="AA45" s="22">
        <f>Emissions!AC89+SUM(Emissions!AC91:AC106)</f>
        <v>6.1036946299350001</v>
      </c>
      <c r="AB45" s="22">
        <f>Emissions!AD89+SUM(Emissions!AD91:AD106)</f>
        <v>6.0742014097313026</v>
      </c>
      <c r="AC45" s="22">
        <f>Emissions!AE89+SUM(Emissions!AE91:AE106)</f>
        <v>6.1066786435058154</v>
      </c>
      <c r="AD45" s="22">
        <f>Emissions!AF89+SUM(Emissions!AF91:AF106)</f>
        <v>6.089712147991702</v>
      </c>
      <c r="AE45" s="22">
        <f>Emissions!AG89+SUM(Emissions!AG91:AG106)</f>
        <v>6.0345654017834924</v>
      </c>
      <c r="AF45" s="22">
        <f>Emissions!AH89+SUM(Emissions!AH91:AH106)</f>
        <v>5.9566854239777776</v>
      </c>
      <c r="AG45" s="22">
        <f>Emissions!AI89+SUM(Emissions!AI91:AI106)</f>
        <v>5.8997227769434843</v>
      </c>
      <c r="AH45" s="22">
        <f>Emissions!AJ89+SUM(Emissions!AJ91:AJ106)</f>
        <v>5.8556132268209975</v>
      </c>
      <c r="AI45" s="22">
        <f>Emissions!AK89+SUM(Emissions!AK91:AK106)</f>
        <v>5.8106631329940477</v>
      </c>
      <c r="AJ45" s="22">
        <f>Emissions!AL89+SUM(Emissions!AL91:AL106)</f>
        <v>5.2185251183809287</v>
      </c>
      <c r="AK45" s="22">
        <f>Emissions!AM89+SUM(Emissions!AM91:AM106)</f>
        <v>5.2711355703070497</v>
      </c>
      <c r="AL45" s="22">
        <f>Emissions!AN89+SUM(Emissions!AN91:AN106)</f>
        <v>5.3244376829367406</v>
      </c>
      <c r="AM45" s="22">
        <f>Emissions!AO89+SUM(Emissions!AO91:AO106)</f>
        <v>5.38943797622077</v>
      </c>
      <c r="AN45" s="22">
        <f>Emissions!AP89+SUM(Emissions!AP91:AP106)</f>
        <v>5.4617062803604739</v>
      </c>
      <c r="AO45" s="22">
        <f>Emissions!AQ89+SUM(Emissions!AQ91:AQ106)</f>
        <v>5.5313055758867113</v>
      </c>
      <c r="AP45" s="22">
        <f>Emissions!AR89+SUM(Emissions!AR91:AR106)</f>
        <v>5.6187928029863112</v>
      </c>
      <c r="AQ45" s="22">
        <f>Emissions!AS89+SUM(Emissions!AS91:AS106)</f>
        <v>5.7100682327859698</v>
      </c>
      <c r="AR45" s="22">
        <f>Emissions!AT89+SUM(Emissions!AT91:AT106)</f>
        <v>5.8077495549769313</v>
      </c>
      <c r="AS45" s="22">
        <f>Emissions!AU89+SUM(Emissions!AU91:AU106)</f>
        <v>5.9086865280659024</v>
      </c>
      <c r="AT45" s="22">
        <f>Emissions!AV89+SUM(Emissions!AV91:AV106)</f>
        <v>5.9837731631079434</v>
      </c>
      <c r="AU45" s="22">
        <f>Emissions!AW89+SUM(Emissions!AW91:AW106)</f>
        <v>6.0706548147720429</v>
      </c>
      <c r="AV45" s="22">
        <f>Emissions!AX89+SUM(Emissions!AX91:AX106)</f>
        <v>6.1581990364156214</v>
      </c>
      <c r="AW45" s="22">
        <f>Emissions!AY89+SUM(Emissions!AY91:AY106)</f>
        <v>6.2473742941205339</v>
      </c>
      <c r="AX45" s="22">
        <f>Emissions!AZ89+SUM(Emissions!AZ91:AZ106)</f>
        <v>6.3269489261713163</v>
      </c>
      <c r="AY45" s="22">
        <f>Emissions!BA89+SUM(Emissions!BA91:BA106)</f>
        <v>6.41265437586459</v>
      </c>
      <c r="AZ45" s="22">
        <f>Emissions!BB89+SUM(Emissions!BB91:BB106)</f>
        <v>6.5044275896066592</v>
      </c>
      <c r="BA45" s="22">
        <f>Emissions!BC89+SUM(Emissions!BC91:BC106)</f>
        <v>6.5990969809266344</v>
      </c>
      <c r="BB45" s="22">
        <f>Emissions!BD89+SUM(Emissions!BD91:BD106)</f>
        <v>6.6888053921332791</v>
      </c>
      <c r="BC45" s="22">
        <f>Emissions!BE89+SUM(Emissions!BE91:BE106)</f>
        <v>6.7813497065423975</v>
      </c>
      <c r="BD45" s="22">
        <f>Emissions!BF89+SUM(Emissions!BF91:BF106)</f>
        <v>6.8811611061490146</v>
      </c>
      <c r="BE45" s="22">
        <f>Emissions!BG89+SUM(Emissions!BG91:BG106)</f>
        <v>6.9986811516090404</v>
      </c>
      <c r="BF45" s="22">
        <f>Emissions!BH89+SUM(Emissions!BH91:BH106)</f>
        <v>7.1207808579156247</v>
      </c>
      <c r="BG45" s="22">
        <f>Emissions!BI89+SUM(Emissions!BI91:BI106)</f>
        <v>7.2476077354396473</v>
      </c>
      <c r="BH45" s="22">
        <f>Emissions!BJ89+SUM(Emissions!BJ91:BJ106)</f>
        <v>7.3790564907551204</v>
      </c>
      <c r="BI45" s="22">
        <f>Emissions!BK89+SUM(Emissions!BK91:BK106)</f>
        <v>7.5167257509102416</v>
      </c>
      <c r="BJ45" s="22">
        <f>Emissions!BL89+SUM(Emissions!BL91:BL106)</f>
        <v>7.639149474581953</v>
      </c>
      <c r="BK45" s="22">
        <f>Emissions!BM89+SUM(Emissions!BM91:BM106)</f>
        <v>7.7669308716056582</v>
      </c>
      <c r="BL45" s="22">
        <f>Emissions!BN89+SUM(Emissions!BN91:BN106)</f>
        <v>7.9014829409517002</v>
      </c>
      <c r="BM45" s="22">
        <f>Emissions!BO89+SUM(Emissions!BO91:BO106)</f>
        <v>8.0434226498464678</v>
      </c>
      <c r="BN45" s="22">
        <f>Emissions!BP89+SUM(Emissions!BP91:BP106)</f>
        <v>8.197380342776869</v>
      </c>
    </row>
    <row r="46" spans="1:66" x14ac:dyDescent="0.25">
      <c r="A46" t="str">
        <f t="shared" si="18"/>
        <v>3C Aggregated and non-CO2 emissions on land</v>
      </c>
      <c r="B46" t="str">
        <f t="shared" si="18"/>
        <v>3C4 Direct N2O from managed soils (N2O)</v>
      </c>
      <c r="C46" t="str">
        <f>'IPCC Categories'!C75</f>
        <v>Crop residues</v>
      </c>
      <c r="D46" t="str">
        <f t="shared" ref="D46" si="25">D45</f>
        <v>N2O</v>
      </c>
      <c r="E46" t="str">
        <f t="shared" ref="E46" si="26">E45</f>
        <v>Gg N2O</v>
      </c>
      <c r="F46" s="22">
        <f>Emissions!H90</f>
        <v>4.7572664246993837</v>
      </c>
      <c r="G46" s="22">
        <f>Emissions!I90</f>
        <v>4.2403582737669279</v>
      </c>
      <c r="H46" s="22">
        <f>Emissions!J90</f>
        <v>4.4153625132445411</v>
      </c>
      <c r="I46" s="22">
        <f>Emissions!K90</f>
        <v>4.7418888374800598</v>
      </c>
      <c r="J46" s="22">
        <f>Emissions!L90</f>
        <v>5.0009128268356475</v>
      </c>
      <c r="K46" s="22">
        <f>Emissions!M90</f>
        <v>3.8892379277011866</v>
      </c>
      <c r="L46" s="22">
        <f>Emissions!N90</f>
        <v>4.2839264832658595</v>
      </c>
      <c r="M46" s="22">
        <f>Emissions!O90</f>
        <v>4.5049773321420563</v>
      </c>
      <c r="N46" s="22">
        <f>Emissions!P90</f>
        <v>3.9255738498283432</v>
      </c>
      <c r="O46" s="22">
        <f>Emissions!Q90</f>
        <v>3.8953932469931241</v>
      </c>
      <c r="P46" s="22">
        <f>Emissions!R90</f>
        <v>4.4710787977237265</v>
      </c>
      <c r="Q46" s="22">
        <f>Emissions!S90</f>
        <v>3.6519029734228816</v>
      </c>
      <c r="R46" s="22">
        <f>Emissions!T90</f>
        <v>3.982993252892217</v>
      </c>
      <c r="S46" s="22">
        <f>Emissions!U90</f>
        <v>3.9301610630705248</v>
      </c>
      <c r="T46" s="22">
        <f>Emissions!V90</f>
        <v>3.5144884547415667</v>
      </c>
      <c r="U46" s="22">
        <f>Emissions!W90</f>
        <v>3.5698504074879742</v>
      </c>
      <c r="V46" s="22">
        <f>Emissions!X90</f>
        <v>2.4003352875845994</v>
      </c>
      <c r="W46" s="22">
        <f>Emissions!Y90</f>
        <v>3.2539877539471691</v>
      </c>
      <c r="X46" s="22">
        <f>Emissions!Z90</f>
        <v>3.7163492663367288</v>
      </c>
      <c r="Y46" s="22">
        <f>Emissions!AA90</f>
        <v>3.3020035495326421</v>
      </c>
      <c r="Z46" s="22">
        <f>Emissions!AB90</f>
        <v>3.605306989206821</v>
      </c>
      <c r="AA46" s="22">
        <f>Emissions!AC90</f>
        <v>3.3383236984964055</v>
      </c>
      <c r="AB46" s="22">
        <f>Emissions!AD90</f>
        <v>2.94930909510781</v>
      </c>
      <c r="AC46" s="22">
        <f>Emissions!AE90</f>
        <v>2.9555506509302374</v>
      </c>
      <c r="AD46" s="22">
        <f>Emissions!AF90</f>
        <v>2.9662810396046693</v>
      </c>
      <c r="AE46" s="22">
        <f>Emissions!AG90</f>
        <v>2.9736687372644854</v>
      </c>
      <c r="AF46" s="22">
        <f>Emissions!AH90</f>
        <v>2.978374744995429</v>
      </c>
      <c r="AG46" s="22">
        <f>Emissions!AI90</f>
        <v>2.9813437791702802</v>
      </c>
      <c r="AH46" s="22">
        <f>Emissions!AJ90</f>
        <v>2.985490534765443</v>
      </c>
      <c r="AI46" s="22">
        <f>Emissions!AK90</f>
        <v>2.9903310962238527</v>
      </c>
      <c r="AJ46" s="22">
        <f>Emissions!AL90</f>
        <v>2.9949572014535071</v>
      </c>
      <c r="AK46" s="22">
        <f>Emissions!AM90</f>
        <v>2.959371776687294</v>
      </c>
      <c r="AL46" s="22">
        <f>Emissions!AN90</f>
        <v>2.9686039043003261</v>
      </c>
      <c r="AM46" s="22">
        <f>Emissions!AO90</f>
        <v>2.977795876588929</v>
      </c>
      <c r="AN46" s="22">
        <f>Emissions!AP90</f>
        <v>2.9877796160808017</v>
      </c>
      <c r="AO46" s="22">
        <f>Emissions!AQ90</f>
        <v>2.998225244452013</v>
      </c>
      <c r="AP46" s="22">
        <f>Emissions!AR90</f>
        <v>3.0083875632184589</v>
      </c>
      <c r="AQ46" s="22">
        <f>Emissions!AS90</f>
        <v>3.0197986778078167</v>
      </c>
      <c r="AR46" s="22">
        <f>Emissions!AT90</f>
        <v>3.0313976658422499</v>
      </c>
      <c r="AS46" s="22">
        <f>Emissions!AU90</f>
        <v>3.0433719975093969</v>
      </c>
      <c r="AT46" s="22">
        <f>Emissions!AV90</f>
        <v>3.0554852159452923</v>
      </c>
      <c r="AU46" s="22">
        <f>Emissions!AW90</f>
        <v>3.0656418476155727</v>
      </c>
      <c r="AV46" s="22">
        <f>Emissions!AX90</f>
        <v>3.0780584204631842</v>
      </c>
      <c r="AW46" s="22">
        <f>Emissions!AY90</f>
        <v>3.0904819033325595</v>
      </c>
      <c r="AX46" s="22">
        <f>Emissions!AZ90</f>
        <v>3.1029810147276602</v>
      </c>
      <c r="AY46" s="22">
        <f>Emissions!BA90</f>
        <v>3.1147648089121649</v>
      </c>
      <c r="AZ46" s="22">
        <f>Emissions!BB90</f>
        <v>3.1269464908379772</v>
      </c>
      <c r="BA46" s="22">
        <f>Emissions!BC90</f>
        <v>3.1395152913607434</v>
      </c>
      <c r="BB46" s="22">
        <f>Emissions!BD90</f>
        <v>3.1522448692125424</v>
      </c>
      <c r="BC46" s="22">
        <f>Emissions!BE90</f>
        <v>3.1645931630792012</v>
      </c>
      <c r="BD46" s="22">
        <f>Emissions!BF90</f>
        <v>3.1770992398915445</v>
      </c>
      <c r="BE46" s="22">
        <f>Emissions!BG90</f>
        <v>3.1900597367938475</v>
      </c>
      <c r="BF46" s="22">
        <f>Emissions!BH90</f>
        <v>3.2033031222473585</v>
      </c>
      <c r="BG46" s="22">
        <f>Emissions!BI90</f>
        <v>3.2167642214435128</v>
      </c>
      <c r="BH46" s="22">
        <f>Emissions!BJ90</f>
        <v>3.2304444278433095</v>
      </c>
      <c r="BI46" s="22">
        <f>Emissions!BK90</f>
        <v>3.2443281719279353</v>
      </c>
      <c r="BJ46" s="22">
        <f>Emissions!BL90</f>
        <v>3.2585089655498316</v>
      </c>
      <c r="BK46" s="22">
        <f>Emissions!BM90</f>
        <v>3.2716185016905635</v>
      </c>
      <c r="BL46" s="22">
        <f>Emissions!BN90</f>
        <v>3.2849788385483345</v>
      </c>
      <c r="BM46" s="22">
        <f>Emissions!BO90</f>
        <v>3.2986678748934048</v>
      </c>
      <c r="BN46" s="22">
        <f>Emissions!BP90</f>
        <v>3.3127103838332372</v>
      </c>
    </row>
    <row r="47" spans="1:66" x14ac:dyDescent="0.25">
      <c r="A47" t="str">
        <f t="shared" ref="A47:B47" si="27">A46</f>
        <v>3C Aggregated and non-CO2 emissions on land</v>
      </c>
      <c r="B47" t="str">
        <f t="shared" si="27"/>
        <v>3C4 Direct N2O from managed soils (N2O)</v>
      </c>
      <c r="C47" t="str">
        <f>'IPCC Categories'!C76</f>
        <v>Urine and dung</v>
      </c>
      <c r="D47" t="str">
        <f t="shared" ref="D47:D54" si="28">D46</f>
        <v>N2O</v>
      </c>
      <c r="E47" t="str">
        <f t="shared" ref="E47:E54" si="29">E46</f>
        <v>Gg N2O</v>
      </c>
      <c r="F47" s="22">
        <f>SUM(Emissions!H107:H122)</f>
        <v>40.425280591433946</v>
      </c>
      <c r="G47" s="22">
        <f>SUM(Emissions!I107:I122)</f>
        <v>39.655855375514953</v>
      </c>
      <c r="H47" s="22">
        <f>SUM(Emissions!J107:J122)</f>
        <v>39.269963203010875</v>
      </c>
      <c r="I47" s="22">
        <f>SUM(Emissions!K107:K122)</f>
        <v>37.449084903585295</v>
      </c>
      <c r="J47" s="22">
        <f>SUM(Emissions!L107:L122)</f>
        <v>36.817343250357858</v>
      </c>
      <c r="K47" s="22">
        <f>SUM(Emissions!M107:M122)</f>
        <v>36.936189905927051</v>
      </c>
      <c r="L47" s="22">
        <f>SUM(Emissions!N107:N122)</f>
        <v>37.924567366369672</v>
      </c>
      <c r="M47" s="22">
        <f>SUM(Emissions!O107:O122)</f>
        <v>38.691122821634551</v>
      </c>
      <c r="N47" s="22">
        <f>SUM(Emissions!P107:P122)</f>
        <v>39.306588985945346</v>
      </c>
      <c r="O47" s="22">
        <f>SUM(Emissions!Q107:Q122)</f>
        <v>39.158195612778492</v>
      </c>
      <c r="P47" s="22">
        <f>SUM(Emissions!R107:R122)</f>
        <v>37.874148422214795</v>
      </c>
      <c r="Q47" s="22">
        <f>SUM(Emissions!S107:S122)</f>
        <v>37.594392019460763</v>
      </c>
      <c r="R47" s="22">
        <f>SUM(Emissions!T107:T122)</f>
        <v>37.094637763656323</v>
      </c>
      <c r="S47" s="22">
        <f>SUM(Emissions!U107:U122)</f>
        <v>37.505204714428423</v>
      </c>
      <c r="T47" s="22">
        <f>SUM(Emissions!V107:V122)</f>
        <v>37.280820907568433</v>
      </c>
      <c r="U47" s="22">
        <f>SUM(Emissions!W107:W122)</f>
        <v>37.197164092704128</v>
      </c>
      <c r="V47" s="22">
        <f>SUM(Emissions!X107:X122)</f>
        <v>37.060718523204258</v>
      </c>
      <c r="W47" s="22">
        <f>SUM(Emissions!Y107:Y122)</f>
        <v>37.867172144279415</v>
      </c>
      <c r="X47" s="22">
        <f>SUM(Emissions!Z107:Z122)</f>
        <v>37.589440908384148</v>
      </c>
      <c r="Y47" s="22">
        <f>SUM(Emissions!AA107:AA122)</f>
        <v>37.213052114334651</v>
      </c>
      <c r="Z47" s="22">
        <f>SUM(Emissions!AB107:AB122)</f>
        <v>36.852039924544918</v>
      </c>
      <c r="AA47" s="22">
        <f>SUM(Emissions!AC107:AC122)</f>
        <v>36.70999987940661</v>
      </c>
      <c r="AB47" s="22">
        <f>SUM(Emissions!AD107:AD122)</f>
        <v>35.536660961030769</v>
      </c>
      <c r="AC47" s="22">
        <f>SUM(Emissions!AE107:AE122)</f>
        <v>35.470825966865107</v>
      </c>
      <c r="AD47" s="22">
        <f>SUM(Emissions!AF107:AF122)</f>
        <v>35.166437877673062</v>
      </c>
      <c r="AE47" s="22">
        <f>SUM(Emissions!AG107:AG122)</f>
        <v>34.683917756281609</v>
      </c>
      <c r="AF47" s="22">
        <f>SUM(Emissions!AH107:AH122)</f>
        <v>34.101517541867381</v>
      </c>
      <c r="AG47" s="22">
        <f>SUM(Emissions!AI107:AI122)</f>
        <v>33.626589954274365</v>
      </c>
      <c r="AH47" s="22">
        <f>SUM(Emissions!AJ107:AJ122)</f>
        <v>33.216095180558689</v>
      </c>
      <c r="AI47" s="22">
        <f>SUM(Emissions!AK107:AK122)</f>
        <v>32.805488226467524</v>
      </c>
      <c r="AJ47" s="22">
        <f>SUM(Emissions!AL107:AL122)</f>
        <v>29.920889030822629</v>
      </c>
      <c r="AK47" s="22">
        <f>SUM(Emissions!AM107:AM122)</f>
        <v>30.072619656823715</v>
      </c>
      <c r="AL47" s="22">
        <f>SUM(Emissions!AN107:AN122)</f>
        <v>30.220697234796972</v>
      </c>
      <c r="AM47" s="22">
        <f>SUM(Emissions!AO107:AO122)</f>
        <v>30.413618616724893</v>
      </c>
      <c r="AN47" s="22">
        <f>SUM(Emissions!AP107:AP122)</f>
        <v>30.634614251961331</v>
      </c>
      <c r="AO47" s="22">
        <f>SUM(Emissions!AQ107:AQ122)</f>
        <v>30.839303703899397</v>
      </c>
      <c r="AP47" s="22">
        <f>SUM(Emissions!AR107:AR122)</f>
        <v>31.117532509378961</v>
      </c>
      <c r="AQ47" s="22">
        <f>SUM(Emissions!AS107:AS122)</f>
        <v>31.406560572494133</v>
      </c>
      <c r="AR47" s="22">
        <f>SUM(Emissions!AT107:AT122)</f>
        <v>31.717257042488047</v>
      </c>
      <c r="AS47" s="22">
        <f>SUM(Emissions!AU107:AU122)</f>
        <v>32.035975299527749</v>
      </c>
      <c r="AT47" s="22">
        <f>SUM(Emissions!AV107:AV122)</f>
        <v>32.238382011797462</v>
      </c>
      <c r="AU47" s="22">
        <f>SUM(Emissions!AW107:AW122)</f>
        <v>32.392562510953923</v>
      </c>
      <c r="AV47" s="22">
        <f>SUM(Emissions!AX107:AX122)</f>
        <v>32.538490437395538</v>
      </c>
      <c r="AW47" s="22">
        <f>SUM(Emissions!AY107:AY122)</f>
        <v>32.679827468782122</v>
      </c>
      <c r="AX47" s="22">
        <f>SUM(Emissions!AZ107:AZ122)</f>
        <v>32.770435175180232</v>
      </c>
      <c r="AY47" s="22">
        <f>SUM(Emissions!BA107:BA122)</f>
        <v>32.874844404133952</v>
      </c>
      <c r="AZ47" s="22">
        <f>SUM(Emissions!BB107:BB122)</f>
        <v>32.991721162867968</v>
      </c>
      <c r="BA47" s="22">
        <f>SUM(Emissions!BC107:BC122)</f>
        <v>33.107476035343979</v>
      </c>
      <c r="BB47" s="22">
        <f>SUM(Emissions!BD107:BD122)</f>
        <v>33.190874751794993</v>
      </c>
      <c r="BC47" s="22">
        <f>SUM(Emissions!BE107:BE122)</f>
        <v>33.272478834630498</v>
      </c>
      <c r="BD47" s="22">
        <f>SUM(Emissions!BF107:BF122)</f>
        <v>33.368433149933033</v>
      </c>
      <c r="BE47" s="22">
        <f>SUM(Emissions!BG107:BG122)</f>
        <v>33.581024311647056</v>
      </c>
      <c r="BF47" s="22">
        <f>SUM(Emissions!BH107:BH122)</f>
        <v>33.798704627974551</v>
      </c>
      <c r="BG47" s="22">
        <f>SUM(Emissions!BI107:BI122)</f>
        <v>34.021308894576947</v>
      </c>
      <c r="BH47" s="22">
        <f>SUM(Emissions!BJ107:BJ122)</f>
        <v>34.247726689202644</v>
      </c>
      <c r="BI47" s="22">
        <f>SUM(Emissions!BK107:BK122)</f>
        <v>34.482974927387296</v>
      </c>
      <c r="BJ47" s="22">
        <f>SUM(Emissions!BL107:BL122)</f>
        <v>34.649824135636443</v>
      </c>
      <c r="BK47" s="22">
        <f>SUM(Emissions!BM107:BM122)</f>
        <v>34.822343647486349</v>
      </c>
      <c r="BL47" s="22">
        <f>SUM(Emissions!BN107:BN122)</f>
        <v>35.00461132064865</v>
      </c>
      <c r="BM47" s="22">
        <f>SUM(Emissions!BO107:BO122)</f>
        <v>35.197705464692717</v>
      </c>
      <c r="BN47" s="22">
        <f>SUM(Emissions!BP107:BP122)</f>
        <v>35.416206035547546</v>
      </c>
    </row>
    <row r="48" spans="1:66" x14ac:dyDescent="0.25">
      <c r="A48" t="str">
        <f t="shared" ref="A48:B49" si="30">A47</f>
        <v>3C Aggregated and non-CO2 emissions on land</v>
      </c>
      <c r="B48" t="str">
        <f t="shared" si="30"/>
        <v>3C4 Direct N2O from managed soils (N2O)</v>
      </c>
      <c r="C48" t="str">
        <f>'IPCC Categories'!C77</f>
        <v>FSOM</v>
      </c>
      <c r="D48" t="str">
        <f t="shared" si="28"/>
        <v>N2O</v>
      </c>
      <c r="E48" t="str">
        <f t="shared" si="29"/>
        <v>Gg N2O</v>
      </c>
      <c r="F48" s="22">
        <f>SUM(Emissions!H123:H134)</f>
        <v>0</v>
      </c>
      <c r="G48" s="22">
        <f>SUM(Emissions!I123:I134)</f>
        <v>0.38737090084859693</v>
      </c>
      <c r="H48" s="22">
        <f>SUM(Emissions!J123:J134)</f>
        <v>0.38737090084859693</v>
      </c>
      <c r="I48" s="22">
        <f>SUM(Emissions!K123:K134)</f>
        <v>0.38737090084859693</v>
      </c>
      <c r="J48" s="22">
        <f>SUM(Emissions!L123:L134)</f>
        <v>0.38737090084859693</v>
      </c>
      <c r="K48" s="22">
        <f>SUM(Emissions!M123:M134)</f>
        <v>0.38737090084859693</v>
      </c>
      <c r="L48" s="22">
        <f>SUM(Emissions!N123:N134)</f>
        <v>0.38737090084859693</v>
      </c>
      <c r="M48" s="22">
        <f>SUM(Emissions!O123:O134)</f>
        <v>0.38737090084859693</v>
      </c>
      <c r="N48" s="22">
        <f>SUM(Emissions!P123:P134)</f>
        <v>0.38737090084859693</v>
      </c>
      <c r="O48" s="22">
        <f>SUM(Emissions!Q123:Q134)</f>
        <v>0.38737090084859693</v>
      </c>
      <c r="P48" s="22">
        <f>SUM(Emissions!R123:R134)</f>
        <v>0.38737090084859693</v>
      </c>
      <c r="Q48" s="22">
        <f>SUM(Emissions!S123:S134)</f>
        <v>0.38737090084859693</v>
      </c>
      <c r="R48" s="22">
        <f>SUM(Emissions!T123:T134)</f>
        <v>0.38737090084859693</v>
      </c>
      <c r="S48" s="22">
        <f>SUM(Emissions!U123:U134)</f>
        <v>0.38737090084859693</v>
      </c>
      <c r="T48" s="22">
        <f>SUM(Emissions!V123:V134)</f>
        <v>0.38737090084859693</v>
      </c>
      <c r="U48" s="22">
        <f>SUM(Emissions!W123:W134)</f>
        <v>0.38737090084859693</v>
      </c>
      <c r="V48" s="22">
        <f>SUM(Emissions!X123:X134)</f>
        <v>0.38737090084859693</v>
      </c>
      <c r="W48" s="22">
        <f>SUM(Emissions!Y123:Y134)</f>
        <v>0.38737090084859693</v>
      </c>
      <c r="X48" s="22">
        <f>SUM(Emissions!Z123:Z134)</f>
        <v>0.38737090084859693</v>
      </c>
      <c r="Y48" s="22">
        <f>SUM(Emissions!AA123:AA134)</f>
        <v>0.38737090084859693</v>
      </c>
      <c r="Z48" s="22">
        <f>SUM(Emissions!AB123:AB134)</f>
        <v>0.38737090084859693</v>
      </c>
      <c r="AA48" s="22">
        <f>SUM(Emissions!AC123:AC134)</f>
        <v>0.38737090084859693</v>
      </c>
      <c r="AB48" s="22">
        <f>SUM(Emissions!AD123:AD134)</f>
        <v>4.3269580366320675</v>
      </c>
      <c r="AC48" s="22">
        <f>SUM(Emissions!AE123:AE134)</f>
        <v>4.3280898923408078</v>
      </c>
      <c r="AD48" s="22">
        <f>SUM(Emissions!AF123:AF134)</f>
        <v>4.329221748049549</v>
      </c>
      <c r="AE48" s="22">
        <f>SUM(Emissions!AG123:AG134)</f>
        <v>4.3303536037582893</v>
      </c>
      <c r="AF48" s="22">
        <f>SUM(Emissions!AH123:AH134)</f>
        <v>4.3314854594670296</v>
      </c>
      <c r="AG48" s="22">
        <f>SUM(Emissions!AI123:AI134)</f>
        <v>4.3326173151757708</v>
      </c>
      <c r="AH48" s="22">
        <f>SUM(Emissions!AJ123:AJ134)</f>
        <v>4.3337491708845111</v>
      </c>
      <c r="AI48" s="22">
        <f>SUM(Emissions!AK123:AK134)</f>
        <v>4.3348810265932514</v>
      </c>
      <c r="AJ48" s="22">
        <f>SUM(Emissions!AL123:AL134)</f>
        <v>4.3360128823019917</v>
      </c>
      <c r="AK48" s="22">
        <f>SUM(Emissions!AM123:AM134)</f>
        <v>4.337144738010732</v>
      </c>
      <c r="AL48" s="22">
        <f>SUM(Emissions!AN123:AN134)</f>
        <v>4.3382765937194723</v>
      </c>
      <c r="AM48" s="22">
        <f>SUM(Emissions!AO123:AO134)</f>
        <v>4.3394084494282135</v>
      </c>
      <c r="AN48" s="22">
        <f>SUM(Emissions!AP123:AP134)</f>
        <v>4.3405403051369538</v>
      </c>
      <c r="AO48" s="22">
        <f>SUM(Emissions!AQ123:AQ134)</f>
        <v>4.341672160845695</v>
      </c>
      <c r="AP48" s="22">
        <f>SUM(Emissions!AR123:AR134)</f>
        <v>4.3428040165544353</v>
      </c>
      <c r="AQ48" s="22">
        <f>SUM(Emissions!AS123:AS134)</f>
        <v>4.3439358722631756</v>
      </c>
      <c r="AR48" s="22">
        <f>SUM(Emissions!AT123:AT134)</f>
        <v>4.3450677279719159</v>
      </c>
      <c r="AS48" s="22">
        <f>SUM(Emissions!AU123:AU134)</f>
        <v>4.3461995836806562</v>
      </c>
      <c r="AT48" s="22">
        <f>SUM(Emissions!AV123:AV134)</f>
        <v>4.3473314393893974</v>
      </c>
      <c r="AU48" s="22">
        <f>SUM(Emissions!AW123:AW134)</f>
        <v>4.3484632950981377</v>
      </c>
      <c r="AV48" s="22">
        <f>SUM(Emissions!AX123:AX134)</f>
        <v>4.349595150806878</v>
      </c>
      <c r="AW48" s="22">
        <f>SUM(Emissions!AY123:AY134)</f>
        <v>4.3507270065156192</v>
      </c>
      <c r="AX48" s="22">
        <f>SUM(Emissions!AZ123:AZ134)</f>
        <v>4.3518588622243595</v>
      </c>
      <c r="AY48" s="22">
        <f>SUM(Emissions!BA123:BA134)</f>
        <v>4.3529907179330998</v>
      </c>
      <c r="AZ48" s="22">
        <f>SUM(Emissions!BB123:BB134)</f>
        <v>4.3541225736418401</v>
      </c>
      <c r="BA48" s="22">
        <f>SUM(Emissions!BC123:BC134)</f>
        <v>4.3552544293505804</v>
      </c>
      <c r="BB48" s="22">
        <f>SUM(Emissions!BD123:BD134)</f>
        <v>4.3563862850593216</v>
      </c>
      <c r="BC48" s="22">
        <f>SUM(Emissions!BE123:BE134)</f>
        <v>4.3575181407680619</v>
      </c>
      <c r="BD48" s="22">
        <f>SUM(Emissions!BF123:BF134)</f>
        <v>4.3586499964768022</v>
      </c>
      <c r="BE48" s="22">
        <f>SUM(Emissions!BG123:BG134)</f>
        <v>4.3597818521855434</v>
      </c>
      <c r="BF48" s="22">
        <f>SUM(Emissions!BH123:BH134)</f>
        <v>4.3609137078942837</v>
      </c>
      <c r="BG48" s="22">
        <f>SUM(Emissions!BI123:BI134)</f>
        <v>4.362045563603024</v>
      </c>
      <c r="BH48" s="22">
        <f>SUM(Emissions!BJ123:BJ134)</f>
        <v>4.3631774193117643</v>
      </c>
      <c r="BI48" s="22">
        <f>SUM(Emissions!BK123:BK134)</f>
        <v>4.3643092750205046</v>
      </c>
      <c r="BJ48" s="22">
        <f>SUM(Emissions!BL123:BL134)</f>
        <v>4.3654411307292458</v>
      </c>
      <c r="BK48" s="22">
        <f>SUM(Emissions!BM123:BM134)</f>
        <v>4.3665729864379861</v>
      </c>
      <c r="BL48" s="22">
        <f>SUM(Emissions!BN123:BN134)</f>
        <v>4.3677048421467273</v>
      </c>
      <c r="BM48" s="22">
        <f>SUM(Emissions!BO123:BO134)</f>
        <v>4.3688366978554676</v>
      </c>
      <c r="BN48" s="22">
        <f>SUM(Emissions!BP123:BP134)</f>
        <v>4.3699685535642079</v>
      </c>
    </row>
    <row r="49" spans="1:72" s="19" customFormat="1" ht="15.75" x14ac:dyDescent="0.25">
      <c r="A49" s="19" t="str">
        <f t="shared" si="30"/>
        <v>3C Aggregated and non-CO2 emissions on land</v>
      </c>
      <c r="B49" s="19" t="str">
        <f>'IPCC Categories'!B78</f>
        <v>3C5 Indirect N2O from managed soils (N2O)</v>
      </c>
      <c r="C49" s="19" t="s">
        <v>148</v>
      </c>
      <c r="D49" s="19" t="str">
        <f t="shared" ref="D49" si="31">D48</f>
        <v>N2O</v>
      </c>
      <c r="E49" s="19" t="str">
        <f t="shared" ref="E49" si="32">E48</f>
        <v>Gg N2O</v>
      </c>
      <c r="F49" s="49">
        <f>SUM(F50:F51)</f>
        <v>7.2080814517834266</v>
      </c>
      <c r="G49" s="49">
        <f t="shared" ref="G49:BN49" si="33">SUM(G50:G51)</f>
        <v>7.1345099865500927</v>
      </c>
      <c r="H49" s="49">
        <f t="shared" si="33"/>
        <v>6.99786412512554</v>
      </c>
      <c r="I49" s="49">
        <f t="shared" si="33"/>
        <v>6.8588909130254319</v>
      </c>
      <c r="J49" s="49">
        <f t="shared" si="33"/>
        <v>6.679602845791754</v>
      </c>
      <c r="K49" s="49">
        <f t="shared" si="33"/>
        <v>6.6534582978194159</v>
      </c>
      <c r="L49" s="49">
        <f t="shared" si="33"/>
        <v>6.8804585865565491</v>
      </c>
      <c r="M49" s="49">
        <f t="shared" si="33"/>
        <v>6.951262387234447</v>
      </c>
      <c r="N49" s="49">
        <f t="shared" si="33"/>
        <v>7.0501121079701523</v>
      </c>
      <c r="O49" s="49">
        <f t="shared" si="33"/>
        <v>7.0310583897046115</v>
      </c>
      <c r="P49" s="49">
        <f t="shared" si="33"/>
        <v>6.9539885376975494</v>
      </c>
      <c r="Q49" s="49">
        <f t="shared" si="33"/>
        <v>6.8347507783671411</v>
      </c>
      <c r="R49" s="49">
        <f t="shared" si="33"/>
        <v>6.9330762409780968</v>
      </c>
      <c r="S49" s="49">
        <f t="shared" si="33"/>
        <v>6.8626749309901376</v>
      </c>
      <c r="T49" s="49">
        <f t="shared" si="33"/>
        <v>6.8083480354019672</v>
      </c>
      <c r="U49" s="49">
        <f t="shared" si="33"/>
        <v>6.684349427481286</v>
      </c>
      <c r="V49" s="49">
        <f t="shared" si="33"/>
        <v>6.7803417478590298</v>
      </c>
      <c r="W49" s="49">
        <f t="shared" si="33"/>
        <v>6.9394221477721096</v>
      </c>
      <c r="X49" s="49">
        <f t="shared" si="33"/>
        <v>6.954986168244754</v>
      </c>
      <c r="Y49" s="49">
        <f t="shared" si="33"/>
        <v>6.9329479113600767</v>
      </c>
      <c r="Z49" s="49">
        <f t="shared" si="33"/>
        <v>6.7915965417835125</v>
      </c>
      <c r="AA49" s="49">
        <f t="shared" si="33"/>
        <v>6.808083773512462</v>
      </c>
      <c r="AB49" s="49">
        <f t="shared" si="33"/>
        <v>6.6360265965953262</v>
      </c>
      <c r="AC49" s="49">
        <f t="shared" si="33"/>
        <v>6.6382386799072028</v>
      </c>
      <c r="AD49" s="49">
        <f t="shared" si="33"/>
        <v>6.6055814803295032</v>
      </c>
      <c r="AE49" s="49">
        <f t="shared" si="33"/>
        <v>6.546565272953325</v>
      </c>
      <c r="AF49" s="49">
        <f t="shared" si="33"/>
        <v>6.4726661726979069</v>
      </c>
      <c r="AG49" s="49">
        <f t="shared" si="33"/>
        <v>6.4149840111914784</v>
      </c>
      <c r="AH49" s="49">
        <f t="shared" si="33"/>
        <v>6.3671163396272865</v>
      </c>
      <c r="AI49" s="49">
        <f t="shared" si="33"/>
        <v>6.3193527845598032</v>
      </c>
      <c r="AJ49" s="49">
        <f t="shared" si="33"/>
        <v>5.8944529981145619</v>
      </c>
      <c r="AK49" s="49">
        <f t="shared" si="33"/>
        <v>5.9239598007019501</v>
      </c>
      <c r="AL49" s="49">
        <f t="shared" si="33"/>
        <v>5.9538706514475424</v>
      </c>
      <c r="AM49" s="49">
        <f t="shared" si="33"/>
        <v>5.9906801564304226</v>
      </c>
      <c r="AN49" s="49">
        <f t="shared" si="33"/>
        <v>6.0320275673682495</v>
      </c>
      <c r="AO49" s="49">
        <f t="shared" si="33"/>
        <v>6.0710930248290822</v>
      </c>
      <c r="AP49" s="49">
        <f t="shared" si="33"/>
        <v>6.1217189856269449</v>
      </c>
      <c r="AQ49" s="49">
        <f t="shared" si="33"/>
        <v>6.1743018189175762</v>
      </c>
      <c r="AR49" s="49">
        <f t="shared" si="33"/>
        <v>6.2305180448903448</v>
      </c>
      <c r="AS49" s="49">
        <f t="shared" si="33"/>
        <v>6.2882938853068477</v>
      </c>
      <c r="AT49" s="49">
        <f t="shared" si="33"/>
        <v>6.3282631803090839</v>
      </c>
      <c r="AU49" s="49">
        <f t="shared" si="33"/>
        <v>6.3661992763606854</v>
      </c>
      <c r="AV49" s="49">
        <f t="shared" si="33"/>
        <v>6.4034708191141245</v>
      </c>
      <c r="AW49" s="49">
        <f t="shared" si="33"/>
        <v>6.4406200905119535</v>
      </c>
      <c r="AX49" s="49">
        <f t="shared" si="33"/>
        <v>6.470370012551153</v>
      </c>
      <c r="AY49" s="49">
        <f t="shared" si="33"/>
        <v>6.5028926097024842</v>
      </c>
      <c r="AZ49" s="49">
        <f t="shared" si="33"/>
        <v>6.5380582383044175</v>
      </c>
      <c r="BA49" s="49">
        <f t="shared" si="33"/>
        <v>6.5737486807459664</v>
      </c>
      <c r="BB49" s="49">
        <f t="shared" si="33"/>
        <v>6.6049616271645055</v>
      </c>
      <c r="BC49" s="49">
        <f t="shared" si="33"/>
        <v>6.6366060978530843</v>
      </c>
      <c r="BD49" s="49">
        <f t="shared" si="33"/>
        <v>6.67135901616565</v>
      </c>
      <c r="BE49" s="49">
        <f t="shared" si="33"/>
        <v>6.7218922906024705</v>
      </c>
      <c r="BF49" s="49">
        <f t="shared" si="33"/>
        <v>6.7739626579261616</v>
      </c>
      <c r="BG49" s="49">
        <f t="shared" si="33"/>
        <v>6.8275843841665926</v>
      </c>
      <c r="BH49" s="49">
        <f t="shared" si="33"/>
        <v>6.8826192051316566</v>
      </c>
      <c r="BI49" s="49">
        <f t="shared" si="33"/>
        <v>6.9399466847968574</v>
      </c>
      <c r="BJ49" s="49">
        <f t="shared" si="33"/>
        <v>6.9867308692080687</v>
      </c>
      <c r="BK49" s="49">
        <f t="shared" si="33"/>
        <v>7.0352538892492928</v>
      </c>
      <c r="BL49" s="49">
        <f t="shared" si="33"/>
        <v>7.0862862066090164</v>
      </c>
      <c r="BM49" s="49">
        <f t="shared" si="33"/>
        <v>7.1400809195486845</v>
      </c>
      <c r="BN49" s="49">
        <f t="shared" si="33"/>
        <v>7.1991985761742381</v>
      </c>
    </row>
    <row r="50" spans="1:72" x14ac:dyDescent="0.25">
      <c r="A50" t="str">
        <f t="shared" ref="A50" si="34">A48</f>
        <v>3C Aggregated and non-CO2 emissions on land</v>
      </c>
      <c r="B50" t="str">
        <f>'IPCC Categories'!B78</f>
        <v>3C5 Indirect N2O from managed soils (N2O)</v>
      </c>
      <c r="C50" t="str">
        <f>'IPCC Categories'!C78</f>
        <v>Volatilisation</v>
      </c>
      <c r="D50" t="str">
        <f>D48</f>
        <v>N2O</v>
      </c>
      <c r="E50" t="str">
        <f>E48</f>
        <v>Gg N2O</v>
      </c>
      <c r="F50" s="22">
        <f>SUM(Emissions!H135:H138)</f>
        <v>6.8720417689132818</v>
      </c>
      <c r="G50" s="22">
        <f>SUM(Emissions!I135:I138)</f>
        <v>6.8040222344896497</v>
      </c>
      <c r="H50" s="22">
        <f>SUM(Emissions!J135:J138)</f>
        <v>6.6643977129961947</v>
      </c>
      <c r="I50" s="22">
        <f>SUM(Emissions!K135:K138)</f>
        <v>6.5132288952449562</v>
      </c>
      <c r="J50" s="22">
        <f>SUM(Emissions!L135:L138)</f>
        <v>6.3389751728110557</v>
      </c>
      <c r="K50" s="22">
        <f>SUM(Emissions!M135:M138)</f>
        <v>6.3489504371997398</v>
      </c>
      <c r="L50" s="22">
        <f>SUM(Emissions!N135:N138)</f>
        <v>6.5566463010257543</v>
      </c>
      <c r="M50" s="22">
        <f>SUM(Emissions!O135:O138)</f>
        <v>6.61702309908204</v>
      </c>
      <c r="N50" s="22">
        <f>SUM(Emissions!P135:P138)</f>
        <v>6.7293674524998952</v>
      </c>
      <c r="O50" s="22">
        <f>SUM(Emissions!Q135:Q138)</f>
        <v>6.7076931438692604</v>
      </c>
      <c r="P50" s="22">
        <f>SUM(Emissions!R135:R138)</f>
        <v>6.6027983988771712</v>
      </c>
      <c r="Q50" s="22">
        <f>SUM(Emissions!S135:S138)</f>
        <v>6.5144595089601776</v>
      </c>
      <c r="R50" s="22">
        <f>SUM(Emissions!T135:T138)</f>
        <v>6.5954294578551265</v>
      </c>
      <c r="S50" s="22">
        <f>SUM(Emissions!U135:U138)</f>
        <v>6.5294565039113515</v>
      </c>
      <c r="T50" s="22">
        <f>SUM(Emissions!V135:V138)</f>
        <v>6.4916814592424021</v>
      </c>
      <c r="U50" s="22">
        <f>SUM(Emissions!W135:W138)</f>
        <v>6.363645089123743</v>
      </c>
      <c r="V50" s="22">
        <f>SUM(Emissions!X135:X138)</f>
        <v>6.4962285418853707</v>
      </c>
      <c r="W50" s="22">
        <f>SUM(Emissions!Y135:Y138)</f>
        <v>6.620266001326284</v>
      </c>
      <c r="X50" s="22">
        <f>SUM(Emissions!Z135:Z138)</f>
        <v>6.6126572032019997</v>
      </c>
      <c r="Y50" s="22">
        <f>SUM(Emissions!AA135:AA138)</f>
        <v>6.6065735112105326</v>
      </c>
      <c r="Z50" s="22">
        <f>SUM(Emissions!AB135:AB138)</f>
        <v>6.4556027997102001</v>
      </c>
      <c r="AA50" s="22">
        <f>SUM(Emissions!AC135:AC138)</f>
        <v>6.4799963389801611</v>
      </c>
      <c r="AB50" s="22">
        <f>SUM(Emissions!AD135:AD138)</f>
        <v>6.2869782241796175</v>
      </c>
      <c r="AC50" s="22">
        <f>SUM(Emissions!AE135:AE138)</f>
        <v>6.2878152988952083</v>
      </c>
      <c r="AD50" s="22">
        <f>SUM(Emissions!AF135:AF138)</f>
        <v>6.2553339186198507</v>
      </c>
      <c r="AE50" s="22">
        <f>SUM(Emissions!AG135:AG138)</f>
        <v>6.1979261584376495</v>
      </c>
      <c r="AF50" s="22">
        <f>SUM(Emissions!AH135:AH138)</f>
        <v>6.1265123894858364</v>
      </c>
      <c r="AG50" s="22">
        <f>SUM(Emissions!AI135:AI138)</f>
        <v>6.0706538818567957</v>
      </c>
      <c r="AH50" s="22">
        <f>SUM(Emissions!AJ135:AJ138)</f>
        <v>6.0241257704955053</v>
      </c>
      <c r="AI50" s="22">
        <f>SUM(Emissions!AK135:AK138)</f>
        <v>5.9777068201527852</v>
      </c>
      <c r="AJ50" s="22">
        <f>SUM(Emissions!AL135:AL138)</f>
        <v>5.5730370259826376</v>
      </c>
      <c r="AK50" s="22">
        <f>SUM(Emissions!AM135:AM138)</f>
        <v>5.6019183359317015</v>
      </c>
      <c r="AL50" s="22">
        <f>SUM(Emissions!AN135:AN138)</f>
        <v>5.6296324677327068</v>
      </c>
      <c r="AM50" s="22">
        <f>SUM(Emissions!AO135:AO138)</f>
        <v>5.6638430529350625</v>
      </c>
      <c r="AN50" s="22">
        <f>SUM(Emissions!AP135:AP138)</f>
        <v>5.7023134612835413</v>
      </c>
      <c r="AO50" s="22">
        <f>SUM(Emissions!AQ135:AQ138)</f>
        <v>5.7385780498468382</v>
      </c>
      <c r="AP50" s="22">
        <f>SUM(Emissions!AR135:AR138)</f>
        <v>5.7857957896123038</v>
      </c>
      <c r="AQ50" s="22">
        <f>SUM(Emissions!AS135:AS138)</f>
        <v>5.83479659314232</v>
      </c>
      <c r="AR50" s="22">
        <f>SUM(Emissions!AT135:AT138)</f>
        <v>5.8872032995769201</v>
      </c>
      <c r="AS50" s="22">
        <f>SUM(Emissions!AU135:AU138)</f>
        <v>5.9410443414419722</v>
      </c>
      <c r="AT50" s="22">
        <f>SUM(Emissions!AV135:AV138)</f>
        <v>5.977965879371876</v>
      </c>
      <c r="AU50" s="22">
        <f>SUM(Emissions!AW135:AW138)</f>
        <v>6.0125148430954241</v>
      </c>
      <c r="AV50" s="22">
        <f>SUM(Emissions!AX135:AX138)</f>
        <v>6.0462983684703957</v>
      </c>
      <c r="AW50" s="22">
        <f>SUM(Emissions!AY135:AY138)</f>
        <v>6.0799031131712775</v>
      </c>
      <c r="AX50" s="22">
        <f>SUM(Emissions!AZ135:AZ138)</f>
        <v>6.1064371189595956</v>
      </c>
      <c r="AY50" s="22">
        <f>SUM(Emissions!BA135:BA138)</f>
        <v>6.1355569835848378</v>
      </c>
      <c r="AZ50" s="22">
        <f>SUM(Emissions!BB135:BB138)</f>
        <v>6.1670968043892245</v>
      </c>
      <c r="BA50" s="22">
        <f>SUM(Emissions!BC135:BC138)</f>
        <v>6.1990481553088594</v>
      </c>
      <c r="BB50" s="22">
        <f>SUM(Emissions!BD135:BD138)</f>
        <v>6.2266876130457316</v>
      </c>
      <c r="BC50" s="22">
        <f>SUM(Emissions!BE135:BE138)</f>
        <v>6.2546739205451658</v>
      </c>
      <c r="BD50" s="22">
        <f>SUM(Emissions!BF135:BF138)</f>
        <v>6.2855125136392349</v>
      </c>
      <c r="BE50" s="22">
        <f>SUM(Emissions!BG135:BG138)</f>
        <v>6.3315048253365536</v>
      </c>
      <c r="BF50" s="22">
        <f>SUM(Emissions!BH135:BH138)</f>
        <v>6.3788664646543474</v>
      </c>
      <c r="BG50" s="22">
        <f>SUM(Emissions!BI135:BI138)</f>
        <v>6.4276088587302418</v>
      </c>
      <c r="BH50" s="22">
        <f>SUM(Emissions!BJ135:BJ138)</f>
        <v>6.4775973278849026</v>
      </c>
      <c r="BI50" s="22">
        <f>SUM(Emissions!BK135:BK138)</f>
        <v>6.529656821011514</v>
      </c>
      <c r="BJ50" s="22">
        <f>SUM(Emissions!BL135:BL138)</f>
        <v>6.5716887340055701</v>
      </c>
      <c r="BK50" s="22">
        <f>SUM(Emissions!BM135:BM138)</f>
        <v>6.6153116289722167</v>
      </c>
      <c r="BL50" s="22">
        <f>SUM(Emissions!BN135:BN138)</f>
        <v>6.661201573954747</v>
      </c>
      <c r="BM50" s="22">
        <f>SUM(Emissions!BO135:BO138)</f>
        <v>6.7095876923241757</v>
      </c>
      <c r="BN50" s="22">
        <f>SUM(Emissions!BP135:BP138)</f>
        <v>6.7628699299890958</v>
      </c>
    </row>
    <row r="51" spans="1:72" x14ac:dyDescent="0.25">
      <c r="A51" t="str">
        <f t="shared" ref="A51:A52" si="35">A50</f>
        <v>3C Aggregated and non-CO2 emissions on land</v>
      </c>
      <c r="B51" t="str">
        <f>B50</f>
        <v>3C5 Indirect N2O from managed soils (N2O)</v>
      </c>
      <c r="C51" t="str">
        <f>'IPCC Categories'!C79</f>
        <v>Leaching/runoff</v>
      </c>
      <c r="D51" t="str">
        <f t="shared" si="28"/>
        <v>N2O</v>
      </c>
      <c r="E51" t="str">
        <f t="shared" si="29"/>
        <v>Gg N2O</v>
      </c>
      <c r="F51" s="22">
        <f>SUM(Emissions!H139:H154)</f>
        <v>0.33603968287014491</v>
      </c>
      <c r="G51" s="22">
        <f>SUM(Emissions!I139:I154)</f>
        <v>0.33048775206044329</v>
      </c>
      <c r="H51" s="22">
        <f>SUM(Emissions!J139:J154)</f>
        <v>0.33346641212934491</v>
      </c>
      <c r="I51" s="22">
        <f>SUM(Emissions!K139:K154)</f>
        <v>0.34566201778047606</v>
      </c>
      <c r="J51" s="22">
        <f>SUM(Emissions!L139:L154)</f>
        <v>0.34062767298069813</v>
      </c>
      <c r="K51" s="22">
        <f>SUM(Emissions!M139:M154)</f>
        <v>0.30450786061967605</v>
      </c>
      <c r="L51" s="22">
        <f>SUM(Emissions!N139:N154)</f>
        <v>0.32381228553079472</v>
      </c>
      <c r="M51" s="22">
        <f>SUM(Emissions!O139:O154)</f>
        <v>0.33423928815240667</v>
      </c>
      <c r="N51" s="22">
        <f>SUM(Emissions!P139:P154)</f>
        <v>0.32074465547025682</v>
      </c>
      <c r="O51" s="22">
        <f>SUM(Emissions!Q139:Q154)</f>
        <v>0.32336524583535148</v>
      </c>
      <c r="P51" s="22">
        <f>SUM(Emissions!R139:R154)</f>
        <v>0.35119013882037781</v>
      </c>
      <c r="Q51" s="22">
        <f>SUM(Emissions!S139:S154)</f>
        <v>0.32029126940696356</v>
      </c>
      <c r="R51" s="22">
        <f>SUM(Emissions!T139:T154)</f>
        <v>0.33764678312297075</v>
      </c>
      <c r="S51" s="22">
        <f>SUM(Emissions!U139:U154)</f>
        <v>0.33321842707878641</v>
      </c>
      <c r="T51" s="22">
        <f>SUM(Emissions!V139:V154)</f>
        <v>0.31666657615956528</v>
      </c>
      <c r="U51" s="22">
        <f>SUM(Emissions!W139:W154)</f>
        <v>0.32070433835754264</v>
      </c>
      <c r="V51" s="22">
        <f>SUM(Emissions!X139:X154)</f>
        <v>0.28411320597365947</v>
      </c>
      <c r="W51" s="22">
        <f>SUM(Emissions!Y139:Y154)</f>
        <v>0.31915614644582579</v>
      </c>
      <c r="X51" s="22">
        <f>SUM(Emissions!Z139:Z154)</f>
        <v>0.34232896504275395</v>
      </c>
      <c r="Y51" s="22">
        <f>SUM(Emissions!AA139:AA154)</f>
        <v>0.32637440014954389</v>
      </c>
      <c r="Z51" s="22">
        <f>SUM(Emissions!AB139:AB154)</f>
        <v>0.33599374207331195</v>
      </c>
      <c r="AA51" s="22">
        <f>SUM(Emissions!AC139:AC154)</f>
        <v>0.32808743453230077</v>
      </c>
      <c r="AB51" s="22">
        <f>SUM(Emissions!AD139:AD154)</f>
        <v>0.34904837241570841</v>
      </c>
      <c r="AC51" s="22">
        <f>SUM(Emissions!AE139:AE154)</f>
        <v>0.35042338101199494</v>
      </c>
      <c r="AD51" s="22">
        <f>SUM(Emissions!AF139:AF154)</f>
        <v>0.35024756170965254</v>
      </c>
      <c r="AE51" s="22">
        <f>SUM(Emissions!AG139:AG154)</f>
        <v>0.3486391145156757</v>
      </c>
      <c r="AF51" s="22">
        <f>SUM(Emissions!AH139:AH154)</f>
        <v>0.34615378321207069</v>
      </c>
      <c r="AG51" s="22">
        <f>SUM(Emissions!AI139:AI154)</f>
        <v>0.34433012933468315</v>
      </c>
      <c r="AH51" s="22">
        <f>SUM(Emissions!AJ139:AJ154)</f>
        <v>0.342990569131781</v>
      </c>
      <c r="AI51" s="22">
        <f>SUM(Emissions!AK139:AK154)</f>
        <v>0.34164596440701817</v>
      </c>
      <c r="AJ51" s="22">
        <f>SUM(Emissions!AL139:AL154)</f>
        <v>0.32141597213192413</v>
      </c>
      <c r="AK51" s="22">
        <f>SUM(Emissions!AM139:AM154)</f>
        <v>0.32204146477024875</v>
      </c>
      <c r="AL51" s="22">
        <f>SUM(Emissions!AN139:AN154)</f>
        <v>0.32423818371483587</v>
      </c>
      <c r="AM51" s="22">
        <f>SUM(Emissions!AO139:AO154)</f>
        <v>0.32683710349536038</v>
      </c>
      <c r="AN51" s="22">
        <f>SUM(Emissions!AP139:AP154)</f>
        <v>0.32971410608470814</v>
      </c>
      <c r="AO51" s="22">
        <f>SUM(Emissions!AQ139:AQ154)</f>
        <v>0.33251497498224364</v>
      </c>
      <c r="AP51" s="22">
        <f>SUM(Emissions!AR139:AR154)</f>
        <v>0.33592319601464077</v>
      </c>
      <c r="AQ51" s="22">
        <f>SUM(Emissions!AS139:AS154)</f>
        <v>0.33950522577525599</v>
      </c>
      <c r="AR51" s="22">
        <f>SUM(Emissions!AT139:AT154)</f>
        <v>0.34331474531342437</v>
      </c>
      <c r="AS51" s="22">
        <f>SUM(Emissions!AU139:AU154)</f>
        <v>0.34724954386487566</v>
      </c>
      <c r="AT51" s="22">
        <f>SUM(Emissions!AV139:AV154)</f>
        <v>0.35029730093720829</v>
      </c>
      <c r="AU51" s="22">
        <f>SUM(Emissions!AW139:AW154)</f>
        <v>0.35368443326526139</v>
      </c>
      <c r="AV51" s="22">
        <f>SUM(Emissions!AX139:AX154)</f>
        <v>0.35717245064372927</v>
      </c>
      <c r="AW51" s="22">
        <f>SUM(Emissions!AY139:AY154)</f>
        <v>0.36071697734067582</v>
      </c>
      <c r="AX51" s="22">
        <f>SUM(Emissions!AZ139:AZ154)</f>
        <v>0.36393289359155701</v>
      </c>
      <c r="AY51" s="22">
        <f>SUM(Emissions!BA139:BA154)</f>
        <v>0.36733562611764675</v>
      </c>
      <c r="AZ51" s="22">
        <f>SUM(Emissions!BB139:BB154)</f>
        <v>0.37096143391519304</v>
      </c>
      <c r="BA51" s="22">
        <f>SUM(Emissions!BC139:BC154)</f>
        <v>0.37470052543710725</v>
      </c>
      <c r="BB51" s="22">
        <f>SUM(Emissions!BD139:BD154)</f>
        <v>0.37827401411877415</v>
      </c>
      <c r="BC51" s="22">
        <f>SUM(Emissions!BE139:BE154)</f>
        <v>0.38193217730791873</v>
      </c>
      <c r="BD51" s="22">
        <f>SUM(Emissions!BF139:BF154)</f>
        <v>0.38584650252641473</v>
      </c>
      <c r="BE51" s="22">
        <f>SUM(Emissions!BG139:BG154)</f>
        <v>0.39038746526591711</v>
      </c>
      <c r="BF51" s="22">
        <f>SUM(Emissions!BH139:BH154)</f>
        <v>0.39509619327181383</v>
      </c>
      <c r="BG51" s="22">
        <f>SUM(Emissions!BI139:BI154)</f>
        <v>0.39997552543635079</v>
      </c>
      <c r="BH51" s="22">
        <f>SUM(Emissions!BJ139:BJ154)</f>
        <v>0.40502187724675426</v>
      </c>
      <c r="BI51" s="22">
        <f>SUM(Emissions!BK139:BK154)</f>
        <v>0.41028986378534349</v>
      </c>
      <c r="BJ51" s="22">
        <f>SUM(Emissions!BL139:BL154)</f>
        <v>0.41504213520249889</v>
      </c>
      <c r="BK51" s="22">
        <f>SUM(Emissions!BM139:BM154)</f>
        <v>0.41994226027707626</v>
      </c>
      <c r="BL51" s="22">
        <f>SUM(Emissions!BN139:BN154)</f>
        <v>0.42508463265426921</v>
      </c>
      <c r="BM51" s="22">
        <f>SUM(Emissions!BO139:BO154)</f>
        <v>0.43049322722450895</v>
      </c>
      <c r="BN51" s="22">
        <f>SUM(Emissions!BP139:BP154)</f>
        <v>0.43632864618514222</v>
      </c>
    </row>
    <row r="52" spans="1:72" s="19" customFormat="1" ht="15.75" x14ac:dyDescent="0.25">
      <c r="A52" s="19" t="str">
        <f t="shared" si="35"/>
        <v>3C Aggregated and non-CO2 emissions on land</v>
      </c>
      <c r="B52" s="19" t="str">
        <f>'IPCC Categories'!B80</f>
        <v>3C6 Indirect N2O from manure management (N2O)</v>
      </c>
      <c r="C52" s="19" t="s">
        <v>148</v>
      </c>
      <c r="D52" s="19" t="str">
        <f t="shared" ref="D52" si="36">D51</f>
        <v>N2O</v>
      </c>
      <c r="E52" s="19" t="str">
        <f t="shared" ref="E52" si="37">E51</f>
        <v>Gg N2O</v>
      </c>
      <c r="F52" s="49">
        <f>SUM(F53:F54)</f>
        <v>1.0950538253856468</v>
      </c>
      <c r="G52" s="49">
        <f t="shared" ref="G52:BN52" si="38">SUM(G53:G54)</f>
        <v>1.1658727848185233</v>
      </c>
      <c r="H52" s="49">
        <f t="shared" si="38"/>
        <v>1.0848631974974343</v>
      </c>
      <c r="I52" s="49">
        <f t="shared" si="38"/>
        <v>1.1252390431692683</v>
      </c>
      <c r="J52" s="49">
        <f t="shared" si="38"/>
        <v>1.0734739532249553</v>
      </c>
      <c r="K52" s="49">
        <f t="shared" si="38"/>
        <v>1.132808817863219</v>
      </c>
      <c r="L52" s="49">
        <f t="shared" si="38"/>
        <v>1.1837401232176359</v>
      </c>
      <c r="M52" s="49">
        <f t="shared" si="38"/>
        <v>1.1732129506374127</v>
      </c>
      <c r="N52" s="49">
        <f t="shared" si="38"/>
        <v>1.2025072193927659</v>
      </c>
      <c r="O52" s="49">
        <f t="shared" si="38"/>
        <v>1.2151362947473952</v>
      </c>
      <c r="P52" s="49">
        <f t="shared" si="38"/>
        <v>1.3425597798100053</v>
      </c>
      <c r="Q52" s="49">
        <f t="shared" si="38"/>
        <v>1.3350835411028359</v>
      </c>
      <c r="R52" s="49">
        <f t="shared" si="38"/>
        <v>1.2971770946245216</v>
      </c>
      <c r="S52" s="49">
        <f t="shared" si="38"/>
        <v>1.2325302326597585</v>
      </c>
      <c r="T52" s="49">
        <f t="shared" si="38"/>
        <v>1.2249617526122387</v>
      </c>
      <c r="U52" s="49">
        <f t="shared" si="38"/>
        <v>1.2870593712731417</v>
      </c>
      <c r="V52" s="49">
        <f t="shared" si="38"/>
        <v>1.3036096413946223</v>
      </c>
      <c r="W52" s="49">
        <f t="shared" si="38"/>
        <v>1.3296829545150457</v>
      </c>
      <c r="X52" s="49">
        <f t="shared" si="38"/>
        <v>1.4390001307004523</v>
      </c>
      <c r="Y52" s="49">
        <f t="shared" si="38"/>
        <v>1.4305572536330728</v>
      </c>
      <c r="Z52" s="49">
        <f t="shared" si="38"/>
        <v>1.4388556601471445</v>
      </c>
      <c r="AA52" s="49">
        <f t="shared" si="38"/>
        <v>1.4563575155753867</v>
      </c>
      <c r="AB52" s="49">
        <f t="shared" si="38"/>
        <v>1.5023128232007985</v>
      </c>
      <c r="AC52" s="49">
        <f t="shared" si="38"/>
        <v>1.5238597227403841</v>
      </c>
      <c r="AD52" s="49">
        <f t="shared" si="38"/>
        <v>1.5335317904883414</v>
      </c>
      <c r="AE52" s="49">
        <f t="shared" si="38"/>
        <v>1.533723355947048</v>
      </c>
      <c r="AF52" s="49">
        <f t="shared" si="38"/>
        <v>1.5280100317369978</v>
      </c>
      <c r="AG52" s="49">
        <f t="shared" si="38"/>
        <v>1.5273539214020424</v>
      </c>
      <c r="AH52" s="49">
        <f t="shared" si="38"/>
        <v>1.5298969273489766</v>
      </c>
      <c r="AI52" s="49">
        <f t="shared" si="38"/>
        <v>1.5321662484347913</v>
      </c>
      <c r="AJ52" s="49">
        <f t="shared" si="38"/>
        <v>1.3894818729317224</v>
      </c>
      <c r="AK52" s="49">
        <f t="shared" si="38"/>
        <v>1.4092895832641181</v>
      </c>
      <c r="AL52" s="49">
        <f t="shared" si="38"/>
        <v>1.4295587502596625</v>
      </c>
      <c r="AM52" s="49">
        <f t="shared" si="38"/>
        <v>1.4532476647351109</v>
      </c>
      <c r="AN52" s="49">
        <f t="shared" si="38"/>
        <v>1.479145958913239</v>
      </c>
      <c r="AO52" s="49">
        <f t="shared" si="38"/>
        <v>1.5045810961085115</v>
      </c>
      <c r="AP52" s="49">
        <f t="shared" si="38"/>
        <v>1.5351732575481849</v>
      </c>
      <c r="AQ52" s="49">
        <f t="shared" si="38"/>
        <v>1.56712205713046</v>
      </c>
      <c r="AR52" s="49">
        <f t="shared" si="38"/>
        <v>1.6011710631512801</v>
      </c>
      <c r="AS52" s="49">
        <f t="shared" si="38"/>
        <v>1.6364662256586797</v>
      </c>
      <c r="AT52" s="49">
        <f t="shared" si="38"/>
        <v>1.6648734366205706</v>
      </c>
      <c r="AU52" s="49">
        <f t="shared" si="38"/>
        <v>1.7028855540515979</v>
      </c>
      <c r="AV52" s="49">
        <f t="shared" si="38"/>
        <v>1.7417385421312619</v>
      </c>
      <c r="AW52" s="49">
        <f t="shared" si="38"/>
        <v>1.7817271752685131</v>
      </c>
      <c r="AX52" s="49">
        <f t="shared" si="38"/>
        <v>1.8196070330696918</v>
      </c>
      <c r="AY52" s="49">
        <f t="shared" si="38"/>
        <v>1.8599290532709689</v>
      </c>
      <c r="AZ52" s="49">
        <f t="shared" si="38"/>
        <v>1.9027376950637984</v>
      </c>
      <c r="BA52" s="49">
        <f t="shared" si="38"/>
        <v>1.9471473800702745</v>
      </c>
      <c r="BB52" s="49">
        <f t="shared" si="38"/>
        <v>1.9908212955877616</v>
      </c>
      <c r="BC52" s="49">
        <f t="shared" si="38"/>
        <v>2.036106187117066</v>
      </c>
      <c r="BD52" s="49">
        <f t="shared" si="38"/>
        <v>2.0844057229990716</v>
      </c>
      <c r="BE52" s="49">
        <f t="shared" si="38"/>
        <v>2.134909718277882</v>
      </c>
      <c r="BF52" s="49">
        <f t="shared" si="38"/>
        <v>2.1875286730330328</v>
      </c>
      <c r="BG52" s="49">
        <f t="shared" si="38"/>
        <v>2.2423496052880814</v>
      </c>
      <c r="BH52" s="49">
        <f t="shared" si="38"/>
        <v>2.2993812481477942</v>
      </c>
      <c r="BI52" s="49">
        <f t="shared" si="38"/>
        <v>2.3591771621575992</v>
      </c>
      <c r="BJ52" s="49">
        <f t="shared" si="38"/>
        <v>2.414873005130163</v>
      </c>
      <c r="BK52" s="49">
        <f t="shared" si="38"/>
        <v>2.4730576970904656</v>
      </c>
      <c r="BL52" s="49">
        <f t="shared" si="38"/>
        <v>2.5342425365127572</v>
      </c>
      <c r="BM52" s="49">
        <f t="shared" si="38"/>
        <v>2.5986910975055144</v>
      </c>
      <c r="BN52" s="49">
        <f t="shared" si="38"/>
        <v>2.668006953550714</v>
      </c>
    </row>
    <row r="53" spans="1:72" x14ac:dyDescent="0.25">
      <c r="A53" t="str">
        <f t="shared" ref="A53" si="39">A51</f>
        <v>3C Aggregated and non-CO2 emissions on land</v>
      </c>
      <c r="B53" t="str">
        <f>'IPCC Categories'!B80</f>
        <v>3C6 Indirect N2O from manure management (N2O)</v>
      </c>
      <c r="C53" t="str">
        <f>'IPCC Categories'!C80</f>
        <v>Volatilisation</v>
      </c>
      <c r="D53" t="str">
        <f>D51</f>
        <v>N2O</v>
      </c>
      <c r="E53" t="str">
        <f>E51</f>
        <v>Gg N2O</v>
      </c>
      <c r="F53" s="22">
        <f>SUM(Emissions!H156:H171)</f>
        <v>0.80161921525345481</v>
      </c>
      <c r="G53" s="22">
        <f>SUM(Emissions!I156:I171)</f>
        <v>0.85849615635183785</v>
      </c>
      <c r="H53" s="22">
        <f>SUM(Emissions!J156:J171)</f>
        <v>0.79435444319952053</v>
      </c>
      <c r="I53" s="22">
        <f>SUM(Emissions!K156:K171)</f>
        <v>0.829147805848644</v>
      </c>
      <c r="J53" s="22">
        <f>SUM(Emissions!L156:L171)</f>
        <v>0.79042443952630315</v>
      </c>
      <c r="K53" s="22">
        <f>SUM(Emissions!M156:M171)</f>
        <v>0.8376969438335109</v>
      </c>
      <c r="L53" s="22">
        <f>SUM(Emissions!N156:N171)</f>
        <v>0.87683765723343599</v>
      </c>
      <c r="M53" s="22">
        <f>SUM(Emissions!O156:O171)</f>
        <v>0.86676785102585141</v>
      </c>
      <c r="N53" s="22">
        <f>SUM(Emissions!P156:P171)</f>
        <v>0.88867615567493341</v>
      </c>
      <c r="O53" s="22">
        <f>SUM(Emissions!Q156:Q171)</f>
        <v>0.89855891694378176</v>
      </c>
      <c r="P53" s="22">
        <f>SUM(Emissions!R156:R171)</f>
        <v>1.0009422058189665</v>
      </c>
      <c r="Q53" s="22">
        <f>SUM(Emissions!S156:S171)</f>
        <v>0.99558785675794326</v>
      </c>
      <c r="R53" s="22">
        <f>SUM(Emissions!T156:T171)</f>
        <v>0.96534354462768934</v>
      </c>
      <c r="S53" s="22">
        <f>SUM(Emissions!U156:U171)</f>
        <v>0.91309585992575648</v>
      </c>
      <c r="T53" s="22">
        <f>SUM(Emissions!V156:V171)</f>
        <v>0.90768844469024579</v>
      </c>
      <c r="U53" s="22">
        <f>SUM(Emissions!W156:W171)</f>
        <v>0.95758004378601003</v>
      </c>
      <c r="V53" s="22">
        <f>SUM(Emissions!X156:X171)</f>
        <v>0.97046445508369161</v>
      </c>
      <c r="W53" s="22">
        <f>SUM(Emissions!Y156:Y171)</f>
        <v>0.98964220935969038</v>
      </c>
      <c r="X53" s="22">
        <f>SUM(Emissions!Z156:Z171)</f>
        <v>1.0767445498553814</v>
      </c>
      <c r="Y53" s="22">
        <f>SUM(Emissions!AA156:AA171)</f>
        <v>1.0706000439339658</v>
      </c>
      <c r="Z53" s="22">
        <f>SUM(Emissions!AB156:AB171)</f>
        <v>1.0778952760899894</v>
      </c>
      <c r="AA53" s="22">
        <f>SUM(Emissions!AC156:AC171)</f>
        <v>1.091951943859661</v>
      </c>
      <c r="AB53" s="22">
        <f>SUM(Emissions!AD156:AD171)</f>
        <v>1.1302911830645619</v>
      </c>
      <c r="AC53" s="22">
        <f>SUM(Emissions!AE156:AE171)</f>
        <v>1.1475498686300261</v>
      </c>
      <c r="AD53" s="22">
        <f>SUM(Emissions!AF156:AF171)</f>
        <v>1.1558069102545923</v>
      </c>
      <c r="AE53" s="22">
        <f>SUM(Emissions!AG156:AG171)</f>
        <v>1.1568540834101348</v>
      </c>
      <c r="AF53" s="22">
        <f>SUM(Emissions!AH156:AH171)</f>
        <v>1.1533900067255021</v>
      </c>
      <c r="AG53" s="22">
        <f>SUM(Emissions!AI156:AI171)</f>
        <v>1.1537504634477491</v>
      </c>
      <c r="AH53" s="22">
        <f>SUM(Emissions!AJ156:AJ171)</f>
        <v>1.1565379606319111</v>
      </c>
      <c r="AI53" s="22">
        <f>SUM(Emissions!AK156:AK171)</f>
        <v>1.1591092407859376</v>
      </c>
      <c r="AJ53" s="22">
        <f>SUM(Emissions!AL156:AL171)</f>
        <v>1.0509430235489927</v>
      </c>
      <c r="AK53" s="22">
        <f>SUM(Emissions!AM156:AM171)</f>
        <v>1.0663824203069954</v>
      </c>
      <c r="AL53" s="22">
        <f>SUM(Emissions!AN156:AN171)</f>
        <v>1.0821980558454838</v>
      </c>
      <c r="AM53" s="22">
        <f>SUM(Emissions!AO156:AO171)</f>
        <v>1.100653398407119</v>
      </c>
      <c r="AN53" s="22">
        <f>SUM(Emissions!AP156:AP171)</f>
        <v>1.1208152623782932</v>
      </c>
      <c r="AO53" s="22">
        <f>SUM(Emissions!AQ156:AQ171)</f>
        <v>1.1406397333705796</v>
      </c>
      <c r="AP53" s="22">
        <f>SUM(Emissions!AR156:AR171)</f>
        <v>1.164431128399523</v>
      </c>
      <c r="AQ53" s="22">
        <f>SUM(Emissions!AS156:AS171)</f>
        <v>1.1892823430362327</v>
      </c>
      <c r="AR53" s="22">
        <f>SUM(Emissions!AT156:AT171)</f>
        <v>1.2157646491569194</v>
      </c>
      <c r="AS53" s="22">
        <f>SUM(Emissions!AU156:AU171)</f>
        <v>1.2432237470854282</v>
      </c>
      <c r="AT53" s="22">
        <f>SUM(Emissions!AV156:AV171)</f>
        <v>1.2654197606256274</v>
      </c>
      <c r="AU53" s="22">
        <f>SUM(Emissions!AW156:AW171)</f>
        <v>1.2953838574411523</v>
      </c>
      <c r="AV53" s="22">
        <f>SUM(Emissions!AX156:AX171)</f>
        <v>1.3260339846176246</v>
      </c>
      <c r="AW53" s="22">
        <f>SUM(Emissions!AY156:AY171)</f>
        <v>1.3575978495492442</v>
      </c>
      <c r="AX53" s="22">
        <f>SUM(Emissions!AZ156:AZ171)</f>
        <v>1.3875799963211646</v>
      </c>
      <c r="AY53" s="22">
        <f>SUM(Emissions!BA156:BA171)</f>
        <v>1.4194810570359919</v>
      </c>
      <c r="AZ53" s="22">
        <f>SUM(Emissions!BB156:BB171)</f>
        <v>1.4533389466522888</v>
      </c>
      <c r="BA53" s="22">
        <f>SUM(Emissions!BC156:BC171)</f>
        <v>1.4884744092533109</v>
      </c>
      <c r="BB53" s="22">
        <f>SUM(Emissions!BD156:BD171)</f>
        <v>1.5230862963539789</v>
      </c>
      <c r="BC53" s="22">
        <f>SUM(Emissions!BE156:BE171)</f>
        <v>1.5589848790902801</v>
      </c>
      <c r="BD53" s="22">
        <f>SUM(Emissions!BF156:BF171)</f>
        <v>1.5972570177944649</v>
      </c>
      <c r="BE53" s="22">
        <f>SUM(Emissions!BG156:BG171)</f>
        <v>1.6370452522724661</v>
      </c>
      <c r="BF53" s="22">
        <f>SUM(Emissions!BH156:BH171)</f>
        <v>1.6785075312154083</v>
      </c>
      <c r="BG53" s="22">
        <f>SUM(Emissions!BI156:BI171)</f>
        <v>1.7217133924520758</v>
      </c>
      <c r="BH53" s="22">
        <f>SUM(Emissions!BJ156:BJ171)</f>
        <v>1.76667184215456</v>
      </c>
      <c r="BI53" s="22">
        <f>SUM(Emissions!BK156:BK171)</f>
        <v>1.8138139973600131</v>
      </c>
      <c r="BJ53" s="22">
        <f>SUM(Emissions!BL156:BL171)</f>
        <v>1.8578217053791719</v>
      </c>
      <c r="BK53" s="22">
        <f>SUM(Emissions!BM156:BM171)</f>
        <v>1.9037998255434418</v>
      </c>
      <c r="BL53" s="22">
        <f>SUM(Emissions!BN156:BN171)</f>
        <v>1.9521475973116726</v>
      </c>
      <c r="BM53" s="22">
        <f>SUM(Emissions!BO156:BO171)</f>
        <v>2.0030727374191595</v>
      </c>
      <c r="BN53" s="22">
        <f>SUM(Emissions!BP156:BP171)</f>
        <v>2.0578240598139943</v>
      </c>
    </row>
    <row r="54" spans="1:72" x14ac:dyDescent="0.25">
      <c r="A54" t="str">
        <f t="shared" ref="A54" si="40">A53</f>
        <v>3C Aggregated and non-CO2 emissions on land</v>
      </c>
      <c r="B54" t="str">
        <f>B53</f>
        <v>3C6 Indirect N2O from manure management (N2O)</v>
      </c>
      <c r="C54" t="str">
        <f>'IPCC Categories'!C81</f>
        <v>Leaching/runoff</v>
      </c>
      <c r="D54" t="str">
        <f t="shared" si="28"/>
        <v>N2O</v>
      </c>
      <c r="E54" t="str">
        <f t="shared" si="29"/>
        <v>Gg N2O</v>
      </c>
      <c r="F54" s="22">
        <f>SUM(Emissions!H172:H187)</f>
        <v>0.29343461013219191</v>
      </c>
      <c r="G54" s="22">
        <f>SUM(Emissions!I172:I187)</f>
        <v>0.3073766284666854</v>
      </c>
      <c r="H54" s="22">
        <f>SUM(Emissions!J172:J187)</f>
        <v>0.29050875429791384</v>
      </c>
      <c r="I54" s="22">
        <f>SUM(Emissions!K172:K187)</f>
        <v>0.29609123732062431</v>
      </c>
      <c r="J54" s="22">
        <f>SUM(Emissions!L172:L187)</f>
        <v>0.28304951369865206</v>
      </c>
      <c r="K54" s="22">
        <f>SUM(Emissions!M172:M187)</f>
        <v>0.29511187402970801</v>
      </c>
      <c r="L54" s="22">
        <f>SUM(Emissions!N172:N187)</f>
        <v>0.30690246598419996</v>
      </c>
      <c r="M54" s="22">
        <f>SUM(Emissions!O172:O187)</f>
        <v>0.30644509961156119</v>
      </c>
      <c r="N54" s="22">
        <f>SUM(Emissions!P172:P187)</f>
        <v>0.31383106371783259</v>
      </c>
      <c r="O54" s="22">
        <f>SUM(Emissions!Q172:Q187)</f>
        <v>0.31657737780361339</v>
      </c>
      <c r="P54" s="22">
        <f>SUM(Emissions!R172:R187)</f>
        <v>0.3416175739910387</v>
      </c>
      <c r="Q54" s="22">
        <f>SUM(Emissions!S172:S187)</f>
        <v>0.33949568434489258</v>
      </c>
      <c r="R54" s="22">
        <f>SUM(Emissions!T172:T187)</f>
        <v>0.33183354999683212</v>
      </c>
      <c r="S54" s="22">
        <f>SUM(Emissions!U172:U187)</f>
        <v>0.31943437273400205</v>
      </c>
      <c r="T54" s="22">
        <f>SUM(Emissions!V172:V187)</f>
        <v>0.31727330792199299</v>
      </c>
      <c r="U54" s="22">
        <f>SUM(Emissions!W172:W187)</f>
        <v>0.3294793274871316</v>
      </c>
      <c r="V54" s="22">
        <f>SUM(Emissions!X172:X187)</f>
        <v>0.33314518631093065</v>
      </c>
      <c r="W54" s="22">
        <f>SUM(Emissions!Y172:Y187)</f>
        <v>0.34004074515535521</v>
      </c>
      <c r="X54" s="22">
        <f>SUM(Emissions!Z172:Z187)</f>
        <v>0.36225558084507087</v>
      </c>
      <c r="Y54" s="22">
        <f>SUM(Emissions!AA172:AA187)</f>
        <v>0.35995720969910711</v>
      </c>
      <c r="Z54" s="22">
        <f>SUM(Emissions!AB172:AB187)</f>
        <v>0.36096038405715508</v>
      </c>
      <c r="AA54" s="22">
        <f>SUM(Emissions!AC172:AC187)</f>
        <v>0.3644055717157258</v>
      </c>
      <c r="AB54" s="22">
        <f>SUM(Emissions!AD172:AD187)</f>
        <v>0.37202164013623651</v>
      </c>
      <c r="AC54" s="22">
        <f>SUM(Emissions!AE172:AE187)</f>
        <v>0.37630985411035794</v>
      </c>
      <c r="AD54" s="22">
        <f>SUM(Emissions!AF172:AF187)</f>
        <v>0.37772488023374917</v>
      </c>
      <c r="AE54" s="22">
        <f>SUM(Emissions!AG172:AG187)</f>
        <v>0.37686927253691316</v>
      </c>
      <c r="AF54" s="22">
        <f>SUM(Emissions!AH172:AH187)</f>
        <v>0.37462002501149577</v>
      </c>
      <c r="AG54" s="22">
        <f>SUM(Emissions!AI172:AI187)</f>
        <v>0.37360345795429328</v>
      </c>
      <c r="AH54" s="22">
        <f>SUM(Emissions!AJ172:AJ187)</f>
        <v>0.37335896671706564</v>
      </c>
      <c r="AI54" s="22">
        <f>SUM(Emissions!AK172:AK187)</f>
        <v>0.3730570076488538</v>
      </c>
      <c r="AJ54" s="22">
        <f>SUM(Emissions!AL172:AL187)</f>
        <v>0.33853884938272966</v>
      </c>
      <c r="AK54" s="22">
        <f>SUM(Emissions!AM172:AM187)</f>
        <v>0.34290716295712287</v>
      </c>
      <c r="AL54" s="22">
        <f>SUM(Emissions!AN172:AN187)</f>
        <v>0.34736069441417877</v>
      </c>
      <c r="AM54" s="22">
        <f>SUM(Emissions!AO172:AO187)</f>
        <v>0.35259426632799196</v>
      </c>
      <c r="AN54" s="22">
        <f>SUM(Emissions!AP172:AP187)</f>
        <v>0.35833069653494565</v>
      </c>
      <c r="AO54" s="22">
        <f>SUM(Emissions!AQ172:AQ187)</f>
        <v>0.36394136273793204</v>
      </c>
      <c r="AP54" s="22">
        <f>SUM(Emissions!AR172:AR187)</f>
        <v>0.37074212914866178</v>
      </c>
      <c r="AQ54" s="22">
        <f>SUM(Emissions!AS172:AS187)</f>
        <v>0.37783971409422734</v>
      </c>
      <c r="AR54" s="22">
        <f>SUM(Emissions!AT172:AT187)</f>
        <v>0.38540641399436071</v>
      </c>
      <c r="AS54" s="22">
        <f>SUM(Emissions!AU172:AU187)</f>
        <v>0.39324247857325151</v>
      </c>
      <c r="AT54" s="22">
        <f>SUM(Emissions!AV172:AV187)</f>
        <v>0.39945367599494325</v>
      </c>
      <c r="AU54" s="22">
        <f>SUM(Emissions!AW172:AW187)</f>
        <v>0.40750169661044572</v>
      </c>
      <c r="AV54" s="22">
        <f>SUM(Emissions!AX172:AX187)</f>
        <v>0.41570455751363722</v>
      </c>
      <c r="AW54" s="22">
        <f>SUM(Emissions!AY172:AY187)</f>
        <v>0.42412932571926876</v>
      </c>
      <c r="AX54" s="22">
        <f>SUM(Emissions!AZ172:AZ187)</f>
        <v>0.43202703674852738</v>
      </c>
      <c r="AY54" s="22">
        <f>SUM(Emissions!BA172:BA187)</f>
        <v>0.44044799623497699</v>
      </c>
      <c r="AZ54" s="22">
        <f>SUM(Emissions!BB172:BB187)</f>
        <v>0.44939874841150962</v>
      </c>
      <c r="BA54" s="22">
        <f>SUM(Emissions!BC172:BC187)</f>
        <v>0.45867297081696368</v>
      </c>
      <c r="BB54" s="22">
        <f>SUM(Emissions!BD172:BD187)</f>
        <v>0.46773499923378264</v>
      </c>
      <c r="BC54" s="22">
        <f>SUM(Emissions!BE172:BE187)</f>
        <v>0.47712130802678593</v>
      </c>
      <c r="BD54" s="22">
        <f>SUM(Emissions!BF172:BF187)</f>
        <v>0.48714870520460651</v>
      </c>
      <c r="BE54" s="22">
        <f>SUM(Emissions!BG172:BG187)</f>
        <v>0.49786446600541612</v>
      </c>
      <c r="BF54" s="22">
        <f>SUM(Emissions!BH172:BH187)</f>
        <v>0.50902114181762437</v>
      </c>
      <c r="BG54" s="22">
        <f>SUM(Emissions!BI172:BI187)</f>
        <v>0.52063621283600559</v>
      </c>
      <c r="BH54" s="22">
        <f>SUM(Emissions!BJ172:BJ187)</f>
        <v>0.53270940599323413</v>
      </c>
      <c r="BI54" s="22">
        <f>SUM(Emissions!BK172:BK187)</f>
        <v>0.54536316479758584</v>
      </c>
      <c r="BJ54" s="22">
        <f>SUM(Emissions!BL172:BL187)</f>
        <v>0.55705129975099121</v>
      </c>
      <c r="BK54" s="22">
        <f>SUM(Emissions!BM172:BM187)</f>
        <v>0.56925787154702379</v>
      </c>
      <c r="BL54" s="22">
        <f>SUM(Emissions!BN172:BN187)</f>
        <v>0.58209493920108446</v>
      </c>
      <c r="BM54" s="22">
        <f>SUM(Emissions!BO172:BO187)</f>
        <v>0.59561836008635471</v>
      </c>
      <c r="BN54" s="22">
        <f>SUM(Emissions!BP172:BP187)</f>
        <v>0.61018289373671974</v>
      </c>
    </row>
    <row r="57" spans="1:72" s="19" customFormat="1" ht="15.75" x14ac:dyDescent="0.25">
      <c r="A57" s="17" t="s">
        <v>4</v>
      </c>
      <c r="B57" s="17" t="s">
        <v>313</v>
      </c>
      <c r="C57" s="17"/>
      <c r="D57" s="17"/>
      <c r="E57" s="17"/>
      <c r="F57" s="17">
        <v>1990</v>
      </c>
      <c r="G57" s="17">
        <v>1991</v>
      </c>
      <c r="H57" s="17">
        <v>1992</v>
      </c>
      <c r="I57" s="17">
        <v>1993</v>
      </c>
      <c r="J57" s="17">
        <v>1994</v>
      </c>
      <c r="K57" s="17">
        <v>1995</v>
      </c>
      <c r="L57" s="17">
        <v>1996</v>
      </c>
      <c r="M57" s="17">
        <v>1997</v>
      </c>
      <c r="N57" s="17">
        <v>1998</v>
      </c>
      <c r="O57" s="17">
        <v>1999</v>
      </c>
      <c r="P57" s="17">
        <v>2000</v>
      </c>
      <c r="Q57" s="17">
        <v>2001</v>
      </c>
      <c r="R57" s="17">
        <v>2002</v>
      </c>
      <c r="S57" s="17">
        <v>2003</v>
      </c>
      <c r="T57" s="17">
        <v>2004</v>
      </c>
      <c r="U57" s="17">
        <v>2005</v>
      </c>
      <c r="V57" s="17">
        <v>2006</v>
      </c>
      <c r="W57" s="17">
        <v>2007</v>
      </c>
      <c r="X57" s="17">
        <v>2008</v>
      </c>
      <c r="Y57" s="17">
        <v>2009</v>
      </c>
      <c r="Z57" s="17">
        <v>2010</v>
      </c>
      <c r="AA57" s="17">
        <v>2011</v>
      </c>
      <c r="AB57" s="17">
        <v>2012</v>
      </c>
      <c r="AC57" s="17">
        <v>2013</v>
      </c>
      <c r="AD57" s="17">
        <v>2014</v>
      </c>
      <c r="AE57" s="17">
        <v>2015</v>
      </c>
      <c r="AF57" s="17">
        <v>2016</v>
      </c>
      <c r="AG57" s="17">
        <v>2017</v>
      </c>
      <c r="AH57" s="17">
        <v>2018</v>
      </c>
      <c r="AI57" s="17">
        <v>2019</v>
      </c>
      <c r="AJ57" s="17">
        <v>2020</v>
      </c>
      <c r="AK57" s="17">
        <v>2021</v>
      </c>
      <c r="AL57" s="17">
        <v>2022</v>
      </c>
      <c r="AM57" s="17">
        <v>2023</v>
      </c>
      <c r="AN57" s="17">
        <v>2024</v>
      </c>
      <c r="AO57" s="17">
        <v>2025</v>
      </c>
      <c r="AP57" s="17">
        <v>2026</v>
      </c>
      <c r="AQ57" s="17">
        <v>2027</v>
      </c>
      <c r="AR57" s="17">
        <v>2028</v>
      </c>
      <c r="AS57" s="17">
        <v>2029</v>
      </c>
      <c r="AT57" s="17">
        <v>2030</v>
      </c>
      <c r="AU57" s="17">
        <v>2031</v>
      </c>
      <c r="AV57" s="17">
        <v>2032</v>
      </c>
      <c r="AW57" s="17">
        <v>2033</v>
      </c>
      <c r="AX57" s="17">
        <v>2034</v>
      </c>
      <c r="AY57" s="17">
        <v>2035</v>
      </c>
      <c r="AZ57" s="17">
        <v>2036</v>
      </c>
      <c r="BA57" s="17">
        <v>2037</v>
      </c>
      <c r="BB57" s="17">
        <v>2038</v>
      </c>
      <c r="BC57" s="17">
        <v>2039</v>
      </c>
      <c r="BD57" s="17">
        <v>2040</v>
      </c>
      <c r="BE57" s="17">
        <v>2041</v>
      </c>
      <c r="BF57" s="17">
        <v>2042</v>
      </c>
      <c r="BG57" s="17">
        <v>2043</v>
      </c>
      <c r="BH57" s="17">
        <v>2044</v>
      </c>
      <c r="BI57" s="17">
        <v>2045</v>
      </c>
      <c r="BJ57" s="17">
        <v>2046</v>
      </c>
      <c r="BK57" s="17">
        <v>2047</v>
      </c>
      <c r="BL57" s="17">
        <v>2048</v>
      </c>
      <c r="BM57" s="17">
        <v>2049</v>
      </c>
      <c r="BN57" s="17">
        <v>2050</v>
      </c>
      <c r="BO57" s="17"/>
      <c r="BP57" s="17"/>
      <c r="BQ57" s="17"/>
      <c r="BR57" s="17"/>
      <c r="BS57" s="17"/>
      <c r="BT57" s="17"/>
    </row>
    <row r="58" spans="1:72" x14ac:dyDescent="0.25">
      <c r="A58" t="str">
        <f>A4</f>
        <v>3A Livestock</v>
      </c>
      <c r="B58" t="str">
        <f t="shared" ref="B58:D58" si="41">B4</f>
        <v>3A1 Enteric fermentation (CH4)</v>
      </c>
      <c r="C58" t="s">
        <v>631</v>
      </c>
      <c r="D58" t="str">
        <f t="shared" si="41"/>
        <v>CH4</v>
      </c>
      <c r="E58" t="s">
        <v>630</v>
      </c>
      <c r="F58" s="22">
        <f t="shared" ref="F58:AK58" si="42">F4*CH4GWP</f>
        <v>26460.925072337381</v>
      </c>
      <c r="G58" s="22">
        <f t="shared" si="42"/>
        <v>26418.475312229119</v>
      </c>
      <c r="H58" s="22">
        <f t="shared" si="42"/>
        <v>26027.263437986745</v>
      </c>
      <c r="I58" s="22">
        <f t="shared" si="42"/>
        <v>25089.273612986341</v>
      </c>
      <c r="J58" s="22">
        <f t="shared" si="42"/>
        <v>24412.498016417903</v>
      </c>
      <c r="K58" s="22">
        <f t="shared" si="42"/>
        <v>24601.863709321911</v>
      </c>
      <c r="L58" s="22">
        <f t="shared" si="42"/>
        <v>25244.020710274675</v>
      </c>
      <c r="M58" s="22">
        <f t="shared" si="42"/>
        <v>25722.067671704968</v>
      </c>
      <c r="N58" s="22">
        <f t="shared" si="42"/>
        <v>26130.788516688182</v>
      </c>
      <c r="O58" s="22">
        <f t="shared" si="42"/>
        <v>26079.086242660247</v>
      </c>
      <c r="P58" s="22">
        <f t="shared" si="42"/>
        <v>25777.048269375533</v>
      </c>
      <c r="Q58" s="22">
        <f t="shared" si="42"/>
        <v>25591.757983541553</v>
      </c>
      <c r="R58" s="22">
        <f t="shared" si="42"/>
        <v>25147.122199522513</v>
      </c>
      <c r="S58" s="22">
        <f t="shared" si="42"/>
        <v>25249.466602835961</v>
      </c>
      <c r="T58" s="22">
        <f t="shared" si="42"/>
        <v>25051.703011381145</v>
      </c>
      <c r="U58" s="22">
        <f t="shared" si="42"/>
        <v>25106.486522987332</v>
      </c>
      <c r="V58" s="22">
        <f t="shared" si="42"/>
        <v>25009.71607093593</v>
      </c>
      <c r="W58" s="22">
        <f t="shared" si="42"/>
        <v>25554.935614001963</v>
      </c>
      <c r="X58" s="22">
        <f t="shared" si="42"/>
        <v>25721.077232963253</v>
      </c>
      <c r="Y58" s="22">
        <f t="shared" si="42"/>
        <v>25553.033374236744</v>
      </c>
      <c r="Z58" s="22">
        <f t="shared" si="42"/>
        <v>25338.814721466922</v>
      </c>
      <c r="AA58" s="22">
        <f t="shared" si="42"/>
        <v>25260.558978491663</v>
      </c>
      <c r="AB58" s="22">
        <f t="shared" si="42"/>
        <v>24693.49752552525</v>
      </c>
      <c r="AC58" s="22">
        <f t="shared" si="42"/>
        <v>24689.087303220273</v>
      </c>
      <c r="AD58" s="22">
        <f t="shared" si="42"/>
        <v>24513.23546805626</v>
      </c>
      <c r="AE58" s="22">
        <f t="shared" si="42"/>
        <v>24208.298398205901</v>
      </c>
      <c r="AF58" s="22">
        <f t="shared" si="42"/>
        <v>23829.899931366926</v>
      </c>
      <c r="AG58" s="22">
        <f t="shared" si="42"/>
        <v>23527.820288479015</v>
      </c>
      <c r="AH58" s="22">
        <f t="shared" si="42"/>
        <v>23271.715928271838</v>
      </c>
      <c r="AI58" s="22">
        <f t="shared" si="42"/>
        <v>23014.888960206175</v>
      </c>
      <c r="AJ58" s="22">
        <f t="shared" si="42"/>
        <v>20947.938725067022</v>
      </c>
      <c r="AK58" s="22">
        <f t="shared" si="42"/>
        <v>21080.544554574288</v>
      </c>
      <c r="AL58" s="22">
        <f t="shared" ref="AL58:BN58" si="43">AL4*CH4GWP</f>
        <v>21211.586509216984</v>
      </c>
      <c r="AM58" s="22">
        <f t="shared" si="43"/>
        <v>21376.777421417493</v>
      </c>
      <c r="AN58" s="22">
        <f t="shared" si="43"/>
        <v>21563.439354012</v>
      </c>
      <c r="AO58" s="22">
        <f t="shared" si="43"/>
        <v>21738.976723876272</v>
      </c>
      <c r="AP58" s="22">
        <f t="shared" si="43"/>
        <v>21969.791764338526</v>
      </c>
      <c r="AQ58" s="22">
        <f t="shared" si="43"/>
        <v>22209.757939129675</v>
      </c>
      <c r="AR58" s="22">
        <f t="shared" si="43"/>
        <v>22467.031756619992</v>
      </c>
      <c r="AS58" s="22">
        <f t="shared" si="43"/>
        <v>22731.532964359769</v>
      </c>
      <c r="AT58" s="22">
        <f t="shared" si="43"/>
        <v>22910.726181383092</v>
      </c>
      <c r="AU58" s="22">
        <f t="shared" si="43"/>
        <v>23072.772512864554</v>
      </c>
      <c r="AV58" s="22">
        <f t="shared" si="43"/>
        <v>23230.980000676791</v>
      </c>
      <c r="AW58" s="22">
        <f t="shared" si="43"/>
        <v>23388.173895192114</v>
      </c>
      <c r="AX58" s="22">
        <f t="shared" si="43"/>
        <v>23509.634174536979</v>
      </c>
      <c r="AY58" s="22">
        <f t="shared" si="43"/>
        <v>23643.955612328624</v>
      </c>
      <c r="AZ58" s="22">
        <f t="shared" si="43"/>
        <v>23790.37352914031</v>
      </c>
      <c r="BA58" s="22">
        <f t="shared" si="43"/>
        <v>23938.784497845059</v>
      </c>
      <c r="BB58" s="22">
        <f t="shared" si="43"/>
        <v>24065.450055225872</v>
      </c>
      <c r="BC58" s="22">
        <f t="shared" si="43"/>
        <v>24193.70806427324</v>
      </c>
      <c r="BD58" s="22">
        <f t="shared" si="43"/>
        <v>24336.168153773553</v>
      </c>
      <c r="BE58" s="22">
        <f t="shared" si="43"/>
        <v>24557.988216602327</v>
      </c>
      <c r="BF58" s="22">
        <f t="shared" si="43"/>
        <v>24786.69548366142</v>
      </c>
      <c r="BG58" s="22">
        <f t="shared" si="43"/>
        <v>25022.341920130661</v>
      </c>
      <c r="BH58" s="22">
        <f t="shared" si="43"/>
        <v>25264.248057371104</v>
      </c>
      <c r="BI58" s="22">
        <f t="shared" si="43"/>
        <v>25516.541006631382</v>
      </c>
      <c r="BJ58" s="22">
        <f t="shared" si="43"/>
        <v>25718.649314485163</v>
      </c>
      <c r="BK58" s="22">
        <f t="shared" si="43"/>
        <v>25928.68425509677</v>
      </c>
      <c r="BL58" s="22">
        <f t="shared" si="43"/>
        <v>26150.108350498809</v>
      </c>
      <c r="BM58" s="22">
        <f t="shared" si="43"/>
        <v>26384.064737541623</v>
      </c>
      <c r="BN58" s="22">
        <f t="shared" si="43"/>
        <v>26642.530755233518</v>
      </c>
    </row>
    <row r="59" spans="1:72" x14ac:dyDescent="0.25">
      <c r="A59" t="str">
        <f>A11</f>
        <v>3A Livestock</v>
      </c>
      <c r="B59" t="str">
        <f t="shared" ref="B59:D59" si="44">B11</f>
        <v>3A2 Manure management (CH4)</v>
      </c>
      <c r="C59" t="s">
        <v>632</v>
      </c>
      <c r="D59" t="str">
        <f t="shared" si="44"/>
        <v>CH4</v>
      </c>
      <c r="E59" t="s">
        <v>630</v>
      </c>
      <c r="F59" s="22">
        <f t="shared" ref="F59:AK59" si="45">F11*CH4GWP</f>
        <v>665.7572008832442</v>
      </c>
      <c r="G59" s="22">
        <f t="shared" si="45"/>
        <v>731.77517896865697</v>
      </c>
      <c r="H59" s="22">
        <f t="shared" si="45"/>
        <v>700.26473285821476</v>
      </c>
      <c r="I59" s="22">
        <f t="shared" si="45"/>
        <v>712.13818460917685</v>
      </c>
      <c r="J59" s="22">
        <f t="shared" si="45"/>
        <v>673.549198853235</v>
      </c>
      <c r="K59" s="22">
        <f t="shared" si="45"/>
        <v>693.43832527791926</v>
      </c>
      <c r="L59" s="22">
        <f t="shared" si="45"/>
        <v>734.73733503998528</v>
      </c>
      <c r="M59" s="22">
        <f t="shared" si="45"/>
        <v>726.5082160772597</v>
      </c>
      <c r="N59" s="22">
        <f t="shared" si="45"/>
        <v>738.7543700862376</v>
      </c>
      <c r="O59" s="22">
        <f t="shared" si="45"/>
        <v>751.24351393633765</v>
      </c>
      <c r="P59" s="22">
        <f t="shared" si="45"/>
        <v>762.23830549258651</v>
      </c>
      <c r="Q59" s="22">
        <f t="shared" si="45"/>
        <v>769.66043942752947</v>
      </c>
      <c r="R59" s="22">
        <f t="shared" si="45"/>
        <v>755.24670561009475</v>
      </c>
      <c r="S59" s="22">
        <f t="shared" si="45"/>
        <v>721.45490015224073</v>
      </c>
      <c r="T59" s="22">
        <f t="shared" si="45"/>
        <v>716.39216959899204</v>
      </c>
      <c r="U59" s="22">
        <f t="shared" si="45"/>
        <v>729.01852866445677</v>
      </c>
      <c r="V59" s="22">
        <f t="shared" si="45"/>
        <v>720.39066924724523</v>
      </c>
      <c r="W59" s="22">
        <f t="shared" si="45"/>
        <v>731.06474952281167</v>
      </c>
      <c r="X59" s="22">
        <f t="shared" si="45"/>
        <v>761.20306942751586</v>
      </c>
      <c r="Y59" s="22">
        <f t="shared" si="45"/>
        <v>763.02344219117026</v>
      </c>
      <c r="Z59" s="22">
        <f t="shared" si="45"/>
        <v>758.88138838781094</v>
      </c>
      <c r="AA59" s="22">
        <f t="shared" si="45"/>
        <v>751.05641756570367</v>
      </c>
      <c r="AB59" s="22">
        <f t="shared" si="45"/>
        <v>776.6477346637638</v>
      </c>
      <c r="AC59" s="22">
        <f t="shared" si="45"/>
        <v>779.81437714952654</v>
      </c>
      <c r="AD59" s="22">
        <f t="shared" si="45"/>
        <v>776.9301246706134</v>
      </c>
      <c r="AE59" s="22">
        <f t="shared" si="45"/>
        <v>769.3923559422044</v>
      </c>
      <c r="AF59" s="22">
        <f t="shared" si="45"/>
        <v>759.12851181838062</v>
      </c>
      <c r="AG59" s="22">
        <f t="shared" si="45"/>
        <v>751.64482438842413</v>
      </c>
      <c r="AH59" s="22">
        <f t="shared" si="45"/>
        <v>745.9372473420824</v>
      </c>
      <c r="AI59" s="22">
        <f t="shared" si="45"/>
        <v>740.25612412309738</v>
      </c>
      <c r="AJ59" s="22">
        <f t="shared" si="45"/>
        <v>665.0762625626104</v>
      </c>
      <c r="AK59" s="22">
        <f t="shared" si="45"/>
        <v>668.77455572988447</v>
      </c>
      <c r="AL59" s="22">
        <f t="shared" ref="AL59:BN59" si="46">AL11*CH4GWP</f>
        <v>672.65673337500732</v>
      </c>
      <c r="AM59" s="22">
        <f t="shared" si="46"/>
        <v>678.09246919820669</v>
      </c>
      <c r="AN59" s="22">
        <f t="shared" si="46"/>
        <v>684.46780661334913</v>
      </c>
      <c r="AO59" s="22">
        <f t="shared" si="46"/>
        <v>690.52917755336614</v>
      </c>
      <c r="AP59" s="22">
        <f t="shared" si="46"/>
        <v>698.82996847148604</v>
      </c>
      <c r="AQ59" s="22">
        <f t="shared" si="46"/>
        <v>707.59732379797413</v>
      </c>
      <c r="AR59" s="22">
        <f t="shared" si="46"/>
        <v>717.14590588903184</v>
      </c>
      <c r="AS59" s="22">
        <f t="shared" si="46"/>
        <v>727.07390117794432</v>
      </c>
      <c r="AT59" s="22">
        <f t="shared" si="46"/>
        <v>733.81323121346134</v>
      </c>
      <c r="AU59" s="22">
        <f t="shared" si="46"/>
        <v>744.53910251766388</v>
      </c>
      <c r="AV59" s="22">
        <f t="shared" si="46"/>
        <v>755.42125824758295</v>
      </c>
      <c r="AW59" s="22">
        <f t="shared" si="46"/>
        <v>766.57717597718965</v>
      </c>
      <c r="AX59" s="22">
        <f t="shared" si="46"/>
        <v>776.62836095158627</v>
      </c>
      <c r="AY59" s="22">
        <f t="shared" si="46"/>
        <v>787.50149759162707</v>
      </c>
      <c r="AZ59" s="22">
        <f t="shared" si="46"/>
        <v>799.18946227214178</v>
      </c>
      <c r="BA59" s="22">
        <f t="shared" si="46"/>
        <v>811.30345689813919</v>
      </c>
      <c r="BB59" s="22">
        <f t="shared" si="46"/>
        <v>822.87783633320544</v>
      </c>
      <c r="BC59" s="22">
        <f t="shared" si="46"/>
        <v>834.86879035391792</v>
      </c>
      <c r="BD59" s="22">
        <f t="shared" si="46"/>
        <v>847.82223230307022</v>
      </c>
      <c r="BE59" s="22">
        <f t="shared" si="46"/>
        <v>861.4326070717733</v>
      </c>
      <c r="BF59" s="22">
        <f t="shared" si="46"/>
        <v>875.60402106821061</v>
      </c>
      <c r="BG59" s="22">
        <f t="shared" si="46"/>
        <v>890.35138831877134</v>
      </c>
      <c r="BH59" s="22">
        <f t="shared" si="46"/>
        <v>905.65858286350897</v>
      </c>
      <c r="BI59" s="22">
        <f t="shared" si="46"/>
        <v>921.71814828752872</v>
      </c>
      <c r="BJ59" s="22">
        <f t="shared" si="46"/>
        <v>935.90207603841566</v>
      </c>
      <c r="BK59" s="22">
        <f t="shared" si="46"/>
        <v>950.73125144242988</v>
      </c>
      <c r="BL59" s="22">
        <f t="shared" si="46"/>
        <v>966.37472832797232</v>
      </c>
      <c r="BM59" s="22">
        <f t="shared" si="46"/>
        <v>982.90378567719256</v>
      </c>
      <c r="BN59" s="22">
        <f t="shared" si="46"/>
        <v>1000.8777884471914</v>
      </c>
    </row>
    <row r="60" spans="1:72" x14ac:dyDescent="0.25">
      <c r="A60" t="str">
        <f>A19</f>
        <v>3A Livestock</v>
      </c>
      <c r="B60" t="str">
        <f t="shared" ref="B60:D60" si="47">B19</f>
        <v>3A2 Manure management (N2O)</v>
      </c>
      <c r="C60" t="s">
        <v>633</v>
      </c>
      <c r="D60" t="str">
        <f t="shared" si="47"/>
        <v>N2O</v>
      </c>
      <c r="E60" t="s">
        <v>630</v>
      </c>
      <c r="F60" s="22">
        <f t="shared" ref="F60:AK60" si="48">F19*N2OGWP</f>
        <v>1203.2136219693348</v>
      </c>
      <c r="G60" s="22">
        <f t="shared" si="48"/>
        <v>1198.5061063384233</v>
      </c>
      <c r="H60" s="22">
        <f t="shared" si="48"/>
        <v>1173.7369968071926</v>
      </c>
      <c r="I60" s="22">
        <f t="shared" si="48"/>
        <v>1182.0093804828057</v>
      </c>
      <c r="J60" s="22">
        <f t="shared" si="48"/>
        <v>1146.8886267544892</v>
      </c>
      <c r="K60" s="22">
        <f t="shared" si="48"/>
        <v>1188.3958696738064</v>
      </c>
      <c r="L60" s="22">
        <f t="shared" si="48"/>
        <v>1252.6970048832511</v>
      </c>
      <c r="M60" s="22">
        <f t="shared" si="48"/>
        <v>1269.6218122686487</v>
      </c>
      <c r="N60" s="22">
        <f t="shared" si="48"/>
        <v>1322.3148658073626</v>
      </c>
      <c r="O60" s="22">
        <f t="shared" si="48"/>
        <v>1346.6035779723059</v>
      </c>
      <c r="P60" s="22">
        <f t="shared" si="48"/>
        <v>1372.4487383044614</v>
      </c>
      <c r="Q60" s="22">
        <f t="shared" si="48"/>
        <v>1356.5221314435626</v>
      </c>
      <c r="R60" s="22">
        <f t="shared" si="48"/>
        <v>1396.8463052232266</v>
      </c>
      <c r="S60" s="22">
        <f t="shared" si="48"/>
        <v>1373.0665004626433</v>
      </c>
      <c r="T60" s="22">
        <f t="shared" si="48"/>
        <v>1378.5802594390798</v>
      </c>
      <c r="U60" s="22">
        <f t="shared" si="48"/>
        <v>1425.1971500061302</v>
      </c>
      <c r="V60" s="22">
        <f t="shared" si="48"/>
        <v>1466.623959325211</v>
      </c>
      <c r="W60" s="22">
        <f t="shared" si="48"/>
        <v>1512.7966811111032</v>
      </c>
      <c r="X60" s="22">
        <f t="shared" si="48"/>
        <v>1539.5804780764847</v>
      </c>
      <c r="Y60" s="22">
        <f t="shared" si="48"/>
        <v>1507.0434874225361</v>
      </c>
      <c r="Z60" s="22">
        <f t="shared" si="48"/>
        <v>1516.5605848321243</v>
      </c>
      <c r="AA60" s="22">
        <f t="shared" si="48"/>
        <v>1570.0225026545761</v>
      </c>
      <c r="AB60" s="22">
        <f t="shared" si="48"/>
        <v>1619.8140604338403</v>
      </c>
      <c r="AC60" s="22">
        <f t="shared" si="48"/>
        <v>1645.1249737133139</v>
      </c>
      <c r="AD60" s="22">
        <f t="shared" si="48"/>
        <v>1654.4871675886652</v>
      </c>
      <c r="AE60" s="22">
        <f t="shared" si="48"/>
        <v>1651.1513725240186</v>
      </c>
      <c r="AF60" s="22">
        <f t="shared" si="48"/>
        <v>1639.8818790512419</v>
      </c>
      <c r="AG60" s="22">
        <f t="shared" si="48"/>
        <v>1635.0345137568779</v>
      </c>
      <c r="AH60" s="22">
        <f t="shared" si="48"/>
        <v>1634.2284631626871</v>
      </c>
      <c r="AI60" s="22">
        <f t="shared" si="48"/>
        <v>1632.9303392624972</v>
      </c>
      <c r="AJ60" s="22">
        <f t="shared" si="48"/>
        <v>1443.6046605757774</v>
      </c>
      <c r="AK60" s="22">
        <f t="shared" si="48"/>
        <v>1468.1428011855119</v>
      </c>
      <c r="AL60" s="22">
        <f t="shared" ref="AL60:BN60" si="49">AL19*N2OGWP</f>
        <v>1493.3238179478201</v>
      </c>
      <c r="AM60" s="22">
        <f t="shared" si="49"/>
        <v>1522.9888041474055</v>
      </c>
      <c r="AN60" s="22">
        <f t="shared" si="49"/>
        <v>1555.4620503436133</v>
      </c>
      <c r="AO60" s="22">
        <f t="shared" si="49"/>
        <v>1587.2895178723763</v>
      </c>
      <c r="AP60" s="22">
        <f t="shared" si="49"/>
        <v>1625.7455420365363</v>
      </c>
      <c r="AQ60" s="22">
        <f t="shared" si="49"/>
        <v>1665.9153634383381</v>
      </c>
      <c r="AR60" s="22">
        <f t="shared" si="49"/>
        <v>1708.7628097008037</v>
      </c>
      <c r="AS60" s="22">
        <f t="shared" si="49"/>
        <v>1753.1722971787035</v>
      </c>
      <c r="AT60" s="22">
        <f t="shared" si="49"/>
        <v>1788.6459841289497</v>
      </c>
      <c r="AU60" s="22">
        <f t="shared" si="49"/>
        <v>1834.512108181234</v>
      </c>
      <c r="AV60" s="22">
        <f t="shared" si="49"/>
        <v>1881.3399425170965</v>
      </c>
      <c r="AW60" s="22">
        <f t="shared" si="49"/>
        <v>1929.5088026226754</v>
      </c>
      <c r="AX60" s="22">
        <f t="shared" si="49"/>
        <v>1974.8490494748271</v>
      </c>
      <c r="AY60" s="22">
        <f t="shared" si="49"/>
        <v>2023.2096999746132</v>
      </c>
      <c r="AZ60" s="22">
        <f t="shared" si="49"/>
        <v>2074.6389028809167</v>
      </c>
      <c r="BA60" s="22">
        <f t="shared" si="49"/>
        <v>2127.9958530911254</v>
      </c>
      <c r="BB60" s="22">
        <f t="shared" si="49"/>
        <v>2180.2938258920185</v>
      </c>
      <c r="BC60" s="22">
        <f t="shared" si="49"/>
        <v>2234.5276524083547</v>
      </c>
      <c r="BD60" s="22">
        <f t="shared" si="49"/>
        <v>2292.4795760965462</v>
      </c>
      <c r="BE60" s="22">
        <f t="shared" si="49"/>
        <v>2354.3166711018184</v>
      </c>
      <c r="BF60" s="22">
        <f t="shared" si="49"/>
        <v>2418.7633532259051</v>
      </c>
      <c r="BG60" s="22">
        <f t="shared" si="49"/>
        <v>2485.9263390421725</v>
      </c>
      <c r="BH60" s="22">
        <f t="shared" si="49"/>
        <v>2555.8125049953956</v>
      </c>
      <c r="BI60" s="22">
        <f t="shared" si="49"/>
        <v>2629.1194116257589</v>
      </c>
      <c r="BJ60" s="22">
        <f t="shared" si="49"/>
        <v>2697.1487671239861</v>
      </c>
      <c r="BK60" s="22">
        <f t="shared" si="49"/>
        <v>2768.2534228402151</v>
      </c>
      <c r="BL60" s="22">
        <f t="shared" si="49"/>
        <v>2843.0748606420816</v>
      </c>
      <c r="BM60" s="22">
        <f t="shared" si="49"/>
        <v>2921.9401844845543</v>
      </c>
      <c r="BN60" s="22">
        <f t="shared" si="49"/>
        <v>3006.8662035190314</v>
      </c>
    </row>
    <row r="61" spans="1:72" x14ac:dyDescent="0.25">
      <c r="A61" t="str">
        <f>A27</f>
        <v>3C Aggregated and non-CO2 emissions on land</v>
      </c>
      <c r="B61" t="str">
        <f t="shared" ref="B61:D61" si="50">B27</f>
        <v>3C1 Biomass burning (CH4)</v>
      </c>
      <c r="C61" t="s">
        <v>634</v>
      </c>
      <c r="D61" t="str">
        <f t="shared" si="50"/>
        <v>CH4</v>
      </c>
      <c r="E61" t="s">
        <v>630</v>
      </c>
      <c r="F61" s="22">
        <f t="shared" ref="F61:AK61" si="51">F27*CH4GWP</f>
        <v>1113.9523335609101</v>
      </c>
      <c r="G61" s="22">
        <f t="shared" si="51"/>
        <v>1113.9523335609101</v>
      </c>
      <c r="H61" s="22">
        <f t="shared" si="51"/>
        <v>1113.9523335609101</v>
      </c>
      <c r="I61" s="22">
        <f t="shared" si="51"/>
        <v>1113.9523335609101</v>
      </c>
      <c r="J61" s="22">
        <f t="shared" si="51"/>
        <v>1113.9523335609101</v>
      </c>
      <c r="K61" s="22">
        <f t="shared" si="51"/>
        <v>1113.9523335609101</v>
      </c>
      <c r="L61" s="22">
        <f t="shared" si="51"/>
        <v>1113.9523335609101</v>
      </c>
      <c r="M61" s="22">
        <f t="shared" si="51"/>
        <v>1113.9523335609101</v>
      </c>
      <c r="N61" s="22">
        <f t="shared" si="51"/>
        <v>1113.9523335609101</v>
      </c>
      <c r="O61" s="22">
        <f t="shared" si="51"/>
        <v>1113.9523335609101</v>
      </c>
      <c r="P61" s="22">
        <f t="shared" si="51"/>
        <v>1103.4776992955053</v>
      </c>
      <c r="Q61" s="22">
        <f t="shared" si="51"/>
        <v>1282.5517441798665</v>
      </c>
      <c r="R61" s="22">
        <f t="shared" si="51"/>
        <v>1288.9176046937982</v>
      </c>
      <c r="S61" s="22">
        <f t="shared" si="51"/>
        <v>1011.4345809085878</v>
      </c>
      <c r="T61" s="22">
        <f t="shared" si="51"/>
        <v>883.38003872679235</v>
      </c>
      <c r="U61" s="22">
        <f t="shared" si="51"/>
        <v>1412.334298727088</v>
      </c>
      <c r="V61" s="22">
        <f t="shared" si="51"/>
        <v>1236.8838978672777</v>
      </c>
      <c r="W61" s="22">
        <f t="shared" si="51"/>
        <v>1218.5771221263838</v>
      </c>
      <c r="X61" s="22">
        <f t="shared" si="51"/>
        <v>1139.8644942847</v>
      </c>
      <c r="Y61" s="22">
        <f t="shared" si="51"/>
        <v>1078.8713756473658</v>
      </c>
      <c r="Z61" s="22">
        <f t="shared" si="51"/>
        <v>1107.055106514</v>
      </c>
      <c r="AA61" s="22">
        <f t="shared" si="51"/>
        <v>1093.3943713178221</v>
      </c>
      <c r="AB61" s="22">
        <f t="shared" si="51"/>
        <v>916.39904428073066</v>
      </c>
      <c r="AC61" s="22">
        <f t="shared" si="51"/>
        <v>957.70927900519757</v>
      </c>
      <c r="AD61" s="22">
        <f t="shared" si="51"/>
        <v>944.27038684966465</v>
      </c>
      <c r="AE61" s="22">
        <f t="shared" si="51"/>
        <v>931.78327853413111</v>
      </c>
      <c r="AF61" s="22">
        <f t="shared" si="51"/>
        <v>941.79408509859809</v>
      </c>
      <c r="AG61" s="22">
        <f t="shared" si="51"/>
        <v>950.68729182306481</v>
      </c>
      <c r="AH61" s="22">
        <f t="shared" si="51"/>
        <v>953.20321518753167</v>
      </c>
      <c r="AI61" s="22">
        <f t="shared" si="51"/>
        <v>956.763261286947</v>
      </c>
      <c r="AJ61" s="22">
        <f t="shared" si="51"/>
        <v>960.32330738636199</v>
      </c>
      <c r="AK61" s="22">
        <f t="shared" si="51"/>
        <v>963.88335348577709</v>
      </c>
      <c r="AL61" s="22">
        <f t="shared" ref="AL61:BN61" si="52">AL27*CH4GWP</f>
        <v>967.44339958519208</v>
      </c>
      <c r="AM61" s="22">
        <f t="shared" si="52"/>
        <v>971.0034456846073</v>
      </c>
      <c r="AN61" s="22">
        <f t="shared" si="52"/>
        <v>974.56349178402229</v>
      </c>
      <c r="AO61" s="22">
        <f t="shared" si="52"/>
        <v>978.12353788343751</v>
      </c>
      <c r="AP61" s="22">
        <f t="shared" si="52"/>
        <v>981.68358398285261</v>
      </c>
      <c r="AQ61" s="22">
        <f t="shared" si="52"/>
        <v>985.2436300822676</v>
      </c>
      <c r="AR61" s="22">
        <f t="shared" si="52"/>
        <v>988.8036761816827</v>
      </c>
      <c r="AS61" s="22">
        <f t="shared" si="52"/>
        <v>992.36372228109781</v>
      </c>
      <c r="AT61" s="22">
        <f t="shared" si="52"/>
        <v>995.92376838051302</v>
      </c>
      <c r="AU61" s="22">
        <f t="shared" si="52"/>
        <v>999.27215253115673</v>
      </c>
      <c r="AV61" s="22">
        <f t="shared" si="52"/>
        <v>1002.6205366818004</v>
      </c>
      <c r="AW61" s="22">
        <f t="shared" si="52"/>
        <v>1005.9689208324443</v>
      </c>
      <c r="AX61" s="22">
        <f t="shared" si="52"/>
        <v>1009.317304983088</v>
      </c>
      <c r="AY61" s="22">
        <f t="shared" si="52"/>
        <v>1012.6656891337318</v>
      </c>
      <c r="AZ61" s="22">
        <f t="shared" si="52"/>
        <v>1016.0140732843756</v>
      </c>
      <c r="BA61" s="22">
        <f t="shared" si="52"/>
        <v>1019.3624574350195</v>
      </c>
      <c r="BB61" s="22">
        <f t="shared" si="52"/>
        <v>1022.710841585663</v>
      </c>
      <c r="BC61" s="22">
        <f t="shared" si="52"/>
        <v>1025.7736963097952</v>
      </c>
      <c r="BD61" s="22">
        <f t="shared" si="52"/>
        <v>1028.836551033927</v>
      </c>
      <c r="BE61" s="22">
        <f t="shared" si="52"/>
        <v>1031.8994057580592</v>
      </c>
      <c r="BF61" s="22">
        <f t="shared" si="52"/>
        <v>1034.9622604821907</v>
      </c>
      <c r="BG61" s="22">
        <f t="shared" si="52"/>
        <v>1038.0251152063229</v>
      </c>
      <c r="BH61" s="22">
        <f t="shared" si="52"/>
        <v>1041.0879699304548</v>
      </c>
      <c r="BI61" s="22">
        <f t="shared" si="52"/>
        <v>1044.1508246545868</v>
      </c>
      <c r="BJ61" s="22">
        <f t="shared" si="52"/>
        <v>1047.2136793787188</v>
      </c>
      <c r="BK61" s="22">
        <f t="shared" si="52"/>
        <v>1050.2765341028507</v>
      </c>
      <c r="BL61" s="22">
        <f t="shared" si="52"/>
        <v>1053.3393888269827</v>
      </c>
      <c r="BM61" s="22">
        <f t="shared" si="52"/>
        <v>1056.4022435511147</v>
      </c>
      <c r="BN61" s="22">
        <f t="shared" si="52"/>
        <v>1059.4650982752464</v>
      </c>
    </row>
    <row r="62" spans="1:72" x14ac:dyDescent="0.25">
      <c r="A62" t="str">
        <f>A34</f>
        <v>3C Aggregated and non-CO2 emissions on land</v>
      </c>
      <c r="B62" t="str">
        <f t="shared" ref="B62:D62" si="53">B34</f>
        <v>3C1 Biomass burning (N2O)</v>
      </c>
      <c r="C62" t="s">
        <v>635</v>
      </c>
      <c r="D62" t="str">
        <f t="shared" si="53"/>
        <v>N2O</v>
      </c>
      <c r="E62" t="s">
        <v>630</v>
      </c>
      <c r="F62" s="22">
        <f t="shared" ref="F62:AK62" si="54">F34*N2OGWP</f>
        <v>1149.3522600947301</v>
      </c>
      <c r="G62" s="22">
        <f t="shared" si="54"/>
        <v>1149.3522600947301</v>
      </c>
      <c r="H62" s="22">
        <f t="shared" si="54"/>
        <v>1149.3522600947301</v>
      </c>
      <c r="I62" s="22">
        <f t="shared" si="54"/>
        <v>1149.3522600947301</v>
      </c>
      <c r="J62" s="22">
        <f t="shared" si="54"/>
        <v>1149.3522600947301</v>
      </c>
      <c r="K62" s="22">
        <f t="shared" si="54"/>
        <v>1149.3522600947301</v>
      </c>
      <c r="L62" s="22">
        <f t="shared" si="54"/>
        <v>1149.3522600947301</v>
      </c>
      <c r="M62" s="22">
        <f t="shared" si="54"/>
        <v>1149.3522600947301</v>
      </c>
      <c r="N62" s="22">
        <f t="shared" si="54"/>
        <v>1149.3522600947301</v>
      </c>
      <c r="O62" s="22">
        <f t="shared" si="54"/>
        <v>1149.3522600947301</v>
      </c>
      <c r="P62" s="22">
        <f t="shared" si="54"/>
        <v>1138.2881924240246</v>
      </c>
      <c r="Q62" s="22">
        <f t="shared" si="54"/>
        <v>1347.8625366593228</v>
      </c>
      <c r="R62" s="22">
        <f t="shared" si="54"/>
        <v>1328.3690110437451</v>
      </c>
      <c r="S62" s="22">
        <f t="shared" si="54"/>
        <v>1017.5651134275211</v>
      </c>
      <c r="T62" s="22">
        <f t="shared" si="54"/>
        <v>914.67644691903695</v>
      </c>
      <c r="U62" s="22">
        <f t="shared" si="54"/>
        <v>1447.9112474339306</v>
      </c>
      <c r="V62" s="22">
        <f t="shared" si="54"/>
        <v>1263.4019893034997</v>
      </c>
      <c r="W62" s="22">
        <f t="shared" si="54"/>
        <v>1217.4357899565925</v>
      </c>
      <c r="X62" s="22">
        <f t="shared" si="54"/>
        <v>1180.1818937292605</v>
      </c>
      <c r="Y62" s="22">
        <f t="shared" si="54"/>
        <v>1108.1395844539597</v>
      </c>
      <c r="Z62" s="22">
        <f t="shared" si="54"/>
        <v>1121.7567904983002</v>
      </c>
      <c r="AA62" s="22">
        <f t="shared" si="54"/>
        <v>1111.0832034573957</v>
      </c>
      <c r="AB62" s="22">
        <f t="shared" si="54"/>
        <v>957.90428313424388</v>
      </c>
      <c r="AC62" s="22">
        <f t="shared" si="54"/>
        <v>993.12814482495412</v>
      </c>
      <c r="AD62" s="22">
        <f t="shared" si="54"/>
        <v>983.64299307566409</v>
      </c>
      <c r="AE62" s="22">
        <f t="shared" si="54"/>
        <v>974.93508324637412</v>
      </c>
      <c r="AF62" s="22">
        <f t="shared" si="54"/>
        <v>984.5993308570844</v>
      </c>
      <c r="AG62" s="22">
        <f t="shared" si="54"/>
        <v>993.3509285477943</v>
      </c>
      <c r="AH62" s="22">
        <f t="shared" si="54"/>
        <v>996.89473455850464</v>
      </c>
      <c r="AI62" s="22">
        <f t="shared" si="54"/>
        <v>1001.6941603201909</v>
      </c>
      <c r="AJ62" s="22">
        <f t="shared" si="54"/>
        <v>1006.4935860818769</v>
      </c>
      <c r="AK62" s="22">
        <f t="shared" si="54"/>
        <v>1011.2930118435631</v>
      </c>
      <c r="AL62" s="22">
        <f t="shared" ref="AL62:BN62" si="55">AL34*N2OGWP</f>
        <v>1016.092437605249</v>
      </c>
      <c r="AM62" s="22">
        <f t="shared" si="55"/>
        <v>1020.8918633669354</v>
      </c>
      <c r="AN62" s="22">
        <f t="shared" si="55"/>
        <v>1025.6912891286215</v>
      </c>
      <c r="AO62" s="22">
        <f t="shared" si="55"/>
        <v>1030.4907148903073</v>
      </c>
      <c r="AP62" s="22">
        <f t="shared" si="55"/>
        <v>1035.2901406519936</v>
      </c>
      <c r="AQ62" s="22">
        <f t="shared" si="55"/>
        <v>1040.0895664136797</v>
      </c>
      <c r="AR62" s="22">
        <f t="shared" si="55"/>
        <v>1044.888992175366</v>
      </c>
      <c r="AS62" s="22">
        <f t="shared" si="55"/>
        <v>1049.688417937052</v>
      </c>
      <c r="AT62" s="22">
        <f t="shared" si="55"/>
        <v>1054.4878436987378</v>
      </c>
      <c r="AU62" s="22">
        <f t="shared" si="55"/>
        <v>1059.1536620734259</v>
      </c>
      <c r="AV62" s="22">
        <f t="shared" si="55"/>
        <v>1063.8194804481134</v>
      </c>
      <c r="AW62" s="22">
        <f t="shared" si="55"/>
        <v>1068.4852988228013</v>
      </c>
      <c r="AX62" s="22">
        <f t="shared" si="55"/>
        <v>1073.1511171974894</v>
      </c>
      <c r="AY62" s="22">
        <f t="shared" si="55"/>
        <v>1077.816935572177</v>
      </c>
      <c r="AZ62" s="22">
        <f t="shared" si="55"/>
        <v>1082.4827539468647</v>
      </c>
      <c r="BA62" s="22">
        <f t="shared" si="55"/>
        <v>1087.1485723215524</v>
      </c>
      <c r="BB62" s="22">
        <f t="shared" si="55"/>
        <v>1091.8143906962403</v>
      </c>
      <c r="BC62" s="22">
        <f t="shared" si="55"/>
        <v>1096.2470411704533</v>
      </c>
      <c r="BD62" s="22">
        <f t="shared" si="55"/>
        <v>1100.6796916446663</v>
      </c>
      <c r="BE62" s="22">
        <f t="shared" si="55"/>
        <v>1105.1123421188793</v>
      </c>
      <c r="BF62" s="22">
        <f t="shared" si="55"/>
        <v>1109.5449925930925</v>
      </c>
      <c r="BG62" s="22">
        <f t="shared" si="55"/>
        <v>1113.9776430673055</v>
      </c>
      <c r="BH62" s="22">
        <f t="shared" si="55"/>
        <v>1118.4102935415185</v>
      </c>
      <c r="BI62" s="22">
        <f t="shared" si="55"/>
        <v>1122.8429440157317</v>
      </c>
      <c r="BJ62" s="22">
        <f t="shared" si="55"/>
        <v>1127.2755944899448</v>
      </c>
      <c r="BK62" s="22">
        <f t="shared" si="55"/>
        <v>1131.7082449641578</v>
      </c>
      <c r="BL62" s="22">
        <f t="shared" si="55"/>
        <v>1136.1408954383708</v>
      </c>
      <c r="BM62" s="22">
        <f t="shared" si="55"/>
        <v>1140.5735459125838</v>
      </c>
      <c r="BN62" s="22">
        <f t="shared" si="55"/>
        <v>1145.0061963867968</v>
      </c>
    </row>
    <row r="63" spans="1:72" x14ac:dyDescent="0.25">
      <c r="A63" t="str">
        <f>A41</f>
        <v>3C Aggregated and non-CO2 emissions on land</v>
      </c>
      <c r="B63" t="str">
        <f t="shared" ref="B63:F63" si="56">B41</f>
        <v>3C2 Liming (CO2)</v>
      </c>
      <c r="C63" t="s">
        <v>113</v>
      </c>
      <c r="D63" t="str">
        <f t="shared" si="56"/>
        <v>CO2</v>
      </c>
      <c r="E63" t="s">
        <v>630</v>
      </c>
      <c r="F63" s="22">
        <f t="shared" si="56"/>
        <v>357.5</v>
      </c>
      <c r="G63" s="22">
        <f t="shared" ref="G63:BN63" si="57">G41</f>
        <v>378.125</v>
      </c>
      <c r="H63" s="22">
        <f t="shared" si="57"/>
        <v>261.25</v>
      </c>
      <c r="I63" s="22">
        <f t="shared" si="57"/>
        <v>412.5</v>
      </c>
      <c r="J63" s="22">
        <f t="shared" si="57"/>
        <v>595.58170833333327</v>
      </c>
      <c r="K63" s="22">
        <f t="shared" si="57"/>
        <v>473.34145833333332</v>
      </c>
      <c r="L63" s="22">
        <f t="shared" si="57"/>
        <v>579.13625000000002</v>
      </c>
      <c r="M63" s="22">
        <f t="shared" si="57"/>
        <v>547.24312499999996</v>
      </c>
      <c r="N63" s="22">
        <f t="shared" si="57"/>
        <v>570.31379166666659</v>
      </c>
      <c r="O63" s="22">
        <f t="shared" si="57"/>
        <v>567.03808333333325</v>
      </c>
      <c r="P63" s="22">
        <f t="shared" si="57"/>
        <v>378.2405</v>
      </c>
      <c r="Q63" s="22">
        <f t="shared" si="57"/>
        <v>489.66362500000002</v>
      </c>
      <c r="R63" s="22">
        <f t="shared" si="57"/>
        <v>672.79437500000006</v>
      </c>
      <c r="S63" s="22">
        <f t="shared" si="57"/>
        <v>580.13175000000001</v>
      </c>
      <c r="T63" s="22">
        <f t="shared" si="57"/>
        <v>579.7403333333333</v>
      </c>
      <c r="U63" s="22">
        <f t="shared" si="57"/>
        <v>266.03683333333333</v>
      </c>
      <c r="V63" s="22">
        <f t="shared" si="57"/>
        <v>441.42908333333332</v>
      </c>
      <c r="W63" s="22">
        <f t="shared" si="57"/>
        <v>521.42108333333329</v>
      </c>
      <c r="X63" s="22">
        <f t="shared" si="57"/>
        <v>655.32637499999998</v>
      </c>
      <c r="Y63" s="22">
        <f t="shared" si="57"/>
        <v>695.56775237855516</v>
      </c>
      <c r="Z63" s="22">
        <f t="shared" si="57"/>
        <v>653.23730656422072</v>
      </c>
      <c r="AA63" s="22">
        <f t="shared" si="57"/>
        <v>722.61220387104663</v>
      </c>
      <c r="AB63" s="22">
        <f t="shared" si="57"/>
        <v>886.46691832724639</v>
      </c>
      <c r="AC63" s="22">
        <f t="shared" si="57"/>
        <v>888.57220041675475</v>
      </c>
      <c r="AD63" s="22">
        <f t="shared" si="57"/>
        <v>892.19156964654962</v>
      </c>
      <c r="AE63" s="22">
        <f t="shared" si="57"/>
        <v>894.68344635299957</v>
      </c>
      <c r="AF63" s="22">
        <f t="shared" si="57"/>
        <v>896.27078676473502</v>
      </c>
      <c r="AG63" s="22">
        <f t="shared" si="57"/>
        <v>897.27224451810355</v>
      </c>
      <c r="AH63" s="22">
        <f t="shared" si="57"/>
        <v>898.67094870860296</v>
      </c>
      <c r="AI63" s="22">
        <f t="shared" si="57"/>
        <v>900.30367420709717</v>
      </c>
      <c r="AJ63" s="22">
        <f t="shared" si="57"/>
        <v>901.86406343716328</v>
      </c>
      <c r="AK63" s="22">
        <f t="shared" si="57"/>
        <v>889.86106938580019</v>
      </c>
      <c r="AL63" s="22">
        <f t="shared" si="57"/>
        <v>892.97507388479505</v>
      </c>
      <c r="AM63" s="22">
        <f t="shared" si="57"/>
        <v>896.07553395869502</v>
      </c>
      <c r="AN63" s="22">
        <f t="shared" si="57"/>
        <v>899.44305778392913</v>
      </c>
      <c r="AO63" s="22">
        <f t="shared" si="57"/>
        <v>902.96637712116114</v>
      </c>
      <c r="AP63" s="22">
        <f t="shared" si="57"/>
        <v>906.3941358876524</v>
      </c>
      <c r="AQ63" s="22">
        <f t="shared" si="57"/>
        <v>910.24311454774499</v>
      </c>
      <c r="AR63" s="22">
        <f t="shared" si="57"/>
        <v>914.15546308071282</v>
      </c>
      <c r="AS63" s="22">
        <f t="shared" si="57"/>
        <v>918.19441534035502</v>
      </c>
      <c r="AT63" s="22">
        <f t="shared" si="57"/>
        <v>922.28021422526683</v>
      </c>
      <c r="AU63" s="22">
        <f t="shared" si="57"/>
        <v>925.70605472938325</v>
      </c>
      <c r="AV63" s="22">
        <f t="shared" si="57"/>
        <v>929.89417531547485</v>
      </c>
      <c r="AW63" s="22">
        <f t="shared" si="57"/>
        <v>934.08462665778677</v>
      </c>
      <c r="AX63" s="22">
        <f t="shared" si="57"/>
        <v>938.30058756617461</v>
      </c>
      <c r="AY63" s="22">
        <f t="shared" si="57"/>
        <v>942.27527137080324</v>
      </c>
      <c r="AZ63" s="22">
        <f t="shared" si="57"/>
        <v>946.3841630491163</v>
      </c>
      <c r="BA63" s="22">
        <f t="shared" si="57"/>
        <v>950.62363015955998</v>
      </c>
      <c r="BB63" s="22">
        <f t="shared" si="57"/>
        <v>954.91732759988372</v>
      </c>
      <c r="BC63" s="22">
        <f t="shared" si="57"/>
        <v>959.08241762760497</v>
      </c>
      <c r="BD63" s="22">
        <f t="shared" si="57"/>
        <v>963.30072797715457</v>
      </c>
      <c r="BE63" s="22">
        <f t="shared" si="57"/>
        <v>967.67231460968992</v>
      </c>
      <c r="BF63" s="22">
        <f t="shared" si="57"/>
        <v>972.13931979124197</v>
      </c>
      <c r="BG63" s="22">
        <f t="shared" si="57"/>
        <v>976.67976000342844</v>
      </c>
      <c r="BH63" s="22">
        <f t="shared" si="57"/>
        <v>981.29410526182983</v>
      </c>
      <c r="BI63" s="22">
        <f t="shared" si="57"/>
        <v>985.97710395450372</v>
      </c>
      <c r="BJ63" s="22">
        <f t="shared" si="57"/>
        <v>990.76029770884224</v>
      </c>
      <c r="BK63" s="22">
        <f t="shared" si="57"/>
        <v>995.1821554033088</v>
      </c>
      <c r="BL63" s="22">
        <f t="shared" si="57"/>
        <v>999.68860839302522</v>
      </c>
      <c r="BM63" s="22">
        <f t="shared" si="57"/>
        <v>1004.3059319994804</v>
      </c>
      <c r="BN63" s="22">
        <f t="shared" si="57"/>
        <v>1009.0424822129</v>
      </c>
    </row>
    <row r="64" spans="1:72" x14ac:dyDescent="0.25">
      <c r="A64" t="str">
        <f>A42</f>
        <v>3C Aggregated and non-CO2 emissions on land</v>
      </c>
      <c r="B64" t="str">
        <f>B42</f>
        <v>3C3 Urea application (CO2)</v>
      </c>
      <c r="C64" t="s">
        <v>636</v>
      </c>
      <c r="D64" t="str">
        <f>D42</f>
        <v>CO2</v>
      </c>
      <c r="E64" t="s">
        <v>630</v>
      </c>
      <c r="F64" s="22">
        <f>F42</f>
        <v>90.994567483487728</v>
      </c>
      <c r="G64" s="22">
        <f t="shared" ref="G64:BN64" si="58">G42</f>
        <v>111.62690198838213</v>
      </c>
      <c r="H64" s="22">
        <f t="shared" si="58"/>
        <v>132.25923649327655</v>
      </c>
      <c r="I64" s="22">
        <f t="shared" si="58"/>
        <v>152.89157099816552</v>
      </c>
      <c r="J64" s="22">
        <f t="shared" si="58"/>
        <v>173.52390550305992</v>
      </c>
      <c r="K64" s="22">
        <f t="shared" si="58"/>
        <v>194.15624000795432</v>
      </c>
      <c r="L64" s="22">
        <f t="shared" si="58"/>
        <v>214.78857451284878</v>
      </c>
      <c r="M64" s="22">
        <f t="shared" si="58"/>
        <v>235.42090901774316</v>
      </c>
      <c r="N64" s="22">
        <f t="shared" si="58"/>
        <v>256.05324352263762</v>
      </c>
      <c r="O64" s="22">
        <f t="shared" si="58"/>
        <v>276.68557802753202</v>
      </c>
      <c r="P64" s="22">
        <f t="shared" si="58"/>
        <v>297.31791253242642</v>
      </c>
      <c r="Q64" s="22">
        <f t="shared" si="58"/>
        <v>317.95024703732088</v>
      </c>
      <c r="R64" s="22">
        <f t="shared" si="58"/>
        <v>338.58258154220977</v>
      </c>
      <c r="S64" s="22">
        <f t="shared" si="58"/>
        <v>359.21491604710423</v>
      </c>
      <c r="T64" s="22">
        <f t="shared" si="58"/>
        <v>435.89846666666671</v>
      </c>
      <c r="U64" s="22">
        <f t="shared" si="58"/>
        <v>355.08659999999998</v>
      </c>
      <c r="V64" s="22">
        <f t="shared" si="58"/>
        <v>393.08573333333334</v>
      </c>
      <c r="W64" s="22">
        <f t="shared" si="58"/>
        <v>484.55366666666663</v>
      </c>
      <c r="X64" s="22">
        <f t="shared" si="58"/>
        <v>480.19253333333336</v>
      </c>
      <c r="Y64" s="22">
        <f t="shared" si="58"/>
        <v>380.54426666666666</v>
      </c>
      <c r="Z64" s="22">
        <f t="shared" si="58"/>
        <v>501.48046666666664</v>
      </c>
      <c r="AA64" s="22">
        <f t="shared" si="58"/>
        <v>571.19113333333337</v>
      </c>
      <c r="AB64" s="22">
        <f t="shared" si="58"/>
        <v>470.0955092083982</v>
      </c>
      <c r="AC64" s="22">
        <f t="shared" si="58"/>
        <v>470.04246487127125</v>
      </c>
      <c r="AD64" s="22">
        <f t="shared" si="58"/>
        <v>469.95127184656036</v>
      </c>
      <c r="AE64" s="22">
        <f t="shared" si="58"/>
        <v>469.8884869358094</v>
      </c>
      <c r="AF64" s="22">
        <f t="shared" si="58"/>
        <v>469.84849257099012</v>
      </c>
      <c r="AG64" s="22">
        <f t="shared" si="58"/>
        <v>469.82326000811753</v>
      </c>
      <c r="AH64" s="22">
        <f t="shared" si="58"/>
        <v>469.78801849013212</v>
      </c>
      <c r="AI64" s="22">
        <f t="shared" si="58"/>
        <v>469.74688061022079</v>
      </c>
      <c r="AJ64" s="22">
        <f t="shared" si="58"/>
        <v>469.70756530288918</v>
      </c>
      <c r="AK64" s="22">
        <f t="shared" si="58"/>
        <v>470.00999074324488</v>
      </c>
      <c r="AL64" s="22">
        <f t="shared" si="58"/>
        <v>469.93153080417898</v>
      </c>
      <c r="AM64" s="22">
        <f t="shared" si="58"/>
        <v>469.8534121281935</v>
      </c>
      <c r="AN64" s="22">
        <f t="shared" si="58"/>
        <v>469.76856455837913</v>
      </c>
      <c r="AO64" s="22">
        <f t="shared" si="58"/>
        <v>469.67979159077481</v>
      </c>
      <c r="AP64" s="22">
        <f t="shared" si="58"/>
        <v>469.59342635140592</v>
      </c>
      <c r="AQ64" s="22">
        <f t="shared" si="58"/>
        <v>469.49644812570511</v>
      </c>
      <c r="AR64" s="22">
        <f t="shared" si="58"/>
        <v>469.39787324323459</v>
      </c>
      <c r="AS64" s="22">
        <f t="shared" si="58"/>
        <v>469.29610847433844</v>
      </c>
      <c r="AT64" s="22">
        <f t="shared" si="58"/>
        <v>469.19316336566925</v>
      </c>
      <c r="AU64" s="22">
        <f t="shared" si="58"/>
        <v>469.10684645851984</v>
      </c>
      <c r="AV64" s="22">
        <f t="shared" si="58"/>
        <v>469.00132326929798</v>
      </c>
      <c r="AW64" s="22">
        <f t="shared" si="58"/>
        <v>468.89574135473009</v>
      </c>
      <c r="AX64" s="22">
        <f t="shared" si="58"/>
        <v>468.78951670538135</v>
      </c>
      <c r="AY64" s="22">
        <f t="shared" si="58"/>
        <v>468.68937123378112</v>
      </c>
      <c r="AZ64" s="22">
        <f t="shared" si="58"/>
        <v>468.5858442829329</v>
      </c>
      <c r="BA64" s="22">
        <f t="shared" si="58"/>
        <v>468.47902737522929</v>
      </c>
      <c r="BB64" s="22">
        <f t="shared" si="58"/>
        <v>468.3708440891603</v>
      </c>
      <c r="BC64" s="22">
        <f t="shared" si="58"/>
        <v>468.26590117405385</v>
      </c>
      <c r="BD64" s="22">
        <f t="shared" si="58"/>
        <v>468.15961732857664</v>
      </c>
      <c r="BE64" s="22">
        <f t="shared" si="58"/>
        <v>468.0494715593843</v>
      </c>
      <c r="BF64" s="22">
        <f t="shared" si="58"/>
        <v>467.93692164031239</v>
      </c>
      <c r="BG64" s="22">
        <f t="shared" si="58"/>
        <v>467.82252146443096</v>
      </c>
      <c r="BH64" s="22">
        <f t="shared" si="58"/>
        <v>467.70625918930585</v>
      </c>
      <c r="BI64" s="22">
        <f t="shared" si="58"/>
        <v>467.58826713367728</v>
      </c>
      <c r="BJ64" s="22">
        <f t="shared" si="58"/>
        <v>467.46775057995154</v>
      </c>
      <c r="BK64" s="22">
        <f t="shared" si="58"/>
        <v>467.35633818944979</v>
      </c>
      <c r="BL64" s="22">
        <f t="shared" si="58"/>
        <v>467.24279434996896</v>
      </c>
      <c r="BM64" s="22">
        <f t="shared" si="58"/>
        <v>467.12645703288194</v>
      </c>
      <c r="BN64" s="22">
        <f t="shared" si="58"/>
        <v>467.00711570204976</v>
      </c>
    </row>
    <row r="65" spans="1:72" x14ac:dyDescent="0.25">
      <c r="A65" t="str">
        <f>A43</f>
        <v>3C Aggregated and non-CO2 emissions on land</v>
      </c>
      <c r="B65" t="str">
        <f>B43</f>
        <v>3C4 Direct N2O from managed soils (N2O)</v>
      </c>
      <c r="C65" t="s">
        <v>637</v>
      </c>
      <c r="D65" t="str">
        <f>D43</f>
        <v>N2O</v>
      </c>
      <c r="E65" t="s">
        <v>630</v>
      </c>
      <c r="F65" s="22">
        <f t="shared" ref="F65:AK65" si="59">F43*N2OGWP</f>
        <v>17234.945188957758</v>
      </c>
      <c r="G65" s="22">
        <f t="shared" si="59"/>
        <v>17138.765396452436</v>
      </c>
      <c r="H65" s="22">
        <f t="shared" si="59"/>
        <v>16960.127770495583</v>
      </c>
      <c r="I65" s="22">
        <f t="shared" si="59"/>
        <v>16803.735149602126</v>
      </c>
      <c r="J65" s="22">
        <f t="shared" si="59"/>
        <v>16399.077593729395</v>
      </c>
      <c r="K65" s="22">
        <f t="shared" si="59"/>
        <v>16093.852453046611</v>
      </c>
      <c r="L65" s="22">
        <f t="shared" si="59"/>
        <v>16787.257516886875</v>
      </c>
      <c r="M65" s="22">
        <f t="shared" si="59"/>
        <v>17078.559429282075</v>
      </c>
      <c r="N65" s="22">
        <f t="shared" si="59"/>
        <v>17190.260728412712</v>
      </c>
      <c r="O65" s="22">
        <f t="shared" si="59"/>
        <v>17155.676993630408</v>
      </c>
      <c r="P65" s="22">
        <f t="shared" si="59"/>
        <v>17021.790519603233</v>
      </c>
      <c r="Q65" s="22">
        <f t="shared" si="59"/>
        <v>16558.862650160001</v>
      </c>
      <c r="R65" s="22">
        <f t="shared" si="59"/>
        <v>16957.948472333181</v>
      </c>
      <c r="S65" s="22">
        <f t="shared" si="59"/>
        <v>16769.907146505077</v>
      </c>
      <c r="T65" s="22">
        <f t="shared" si="59"/>
        <v>16584.658063779349</v>
      </c>
      <c r="U65" s="22">
        <f t="shared" si="59"/>
        <v>16201.588190693865</v>
      </c>
      <c r="V65" s="22">
        <f t="shared" si="59"/>
        <v>16229.541461457171</v>
      </c>
      <c r="W65" s="22">
        <f t="shared" si="59"/>
        <v>16847.135336493091</v>
      </c>
      <c r="X65" s="22">
        <f t="shared" si="59"/>
        <v>16894.02920900529</v>
      </c>
      <c r="Y65" s="22">
        <f t="shared" si="59"/>
        <v>16779.254174947899</v>
      </c>
      <c r="Z65" s="22">
        <f t="shared" si="59"/>
        <v>16465.845558736135</v>
      </c>
      <c r="AA65" s="22">
        <f t="shared" si="59"/>
        <v>16468.339195121422</v>
      </c>
      <c r="AB65" s="22">
        <f t="shared" si="59"/>
        <v>17203.01931973972</v>
      </c>
      <c r="AC65" s="22">
        <f t="shared" si="59"/>
        <v>17194.704998102538</v>
      </c>
      <c r="AD65" s="22">
        <f t="shared" si="59"/>
        <v>17098.316805444603</v>
      </c>
      <c r="AE65" s="22">
        <f t="shared" si="59"/>
        <v>16933.974372309094</v>
      </c>
      <c r="AF65" s="22">
        <f t="shared" si="59"/>
        <v>16730.901838780708</v>
      </c>
      <c r="AG65" s="22">
        <f t="shared" si="59"/>
        <v>16567.163856150535</v>
      </c>
      <c r="AH65" s="22">
        <f t="shared" si="59"/>
        <v>16427.700695965839</v>
      </c>
      <c r="AI65" s="22">
        <f t="shared" si="59"/>
        <v>16288.128461636383</v>
      </c>
      <c r="AJ65" s="22">
        <f t="shared" si="59"/>
        <v>15211.932800601076</v>
      </c>
      <c r="AK65" s="22">
        <f t="shared" si="59"/>
        <v>15266.075572549205</v>
      </c>
      <c r="AL65" s="22">
        <f t="shared" ref="AL65:BN65" si="60">AL43*N2OGWP</f>
        <v>15331.332757890719</v>
      </c>
      <c r="AM65" s="22">
        <f t="shared" si="60"/>
        <v>15414.107177714526</v>
      </c>
      <c r="AN65" s="22">
        <f t="shared" si="60"/>
        <v>15508.050270031688</v>
      </c>
      <c r="AO65" s="22">
        <f t="shared" si="60"/>
        <v>15596.235058999582</v>
      </c>
      <c r="AP65" s="22">
        <f t="shared" si="60"/>
        <v>15712.686244483986</v>
      </c>
      <c r="AQ65" s="22">
        <f t="shared" si="60"/>
        <v>15833.994814554546</v>
      </c>
      <c r="AR65" s="22">
        <f t="shared" si="60"/>
        <v>15964.056856936151</v>
      </c>
      <c r="AS65" s="22">
        <f t="shared" si="60"/>
        <v>16097.715675889991</v>
      </c>
      <c r="AT65" s="22">
        <f t="shared" si="60"/>
        <v>16187.341598954146</v>
      </c>
      <c r="AU65" s="22">
        <f t="shared" si="60"/>
        <v>16265.148554243759</v>
      </c>
      <c r="AV65" s="22">
        <f t="shared" si="60"/>
        <v>16341.209348969169</v>
      </c>
      <c r="AW65" s="22">
        <f t="shared" si="60"/>
        <v>16416.354442582506</v>
      </c>
      <c r="AX65" s="22">
        <f t="shared" si="60"/>
        <v>16472.817555951286</v>
      </c>
      <c r="AY65" s="22">
        <f t="shared" si="60"/>
        <v>16535.267649177949</v>
      </c>
      <c r="AZ65" s="22">
        <f t="shared" si="60"/>
        <v>16603.570506856548</v>
      </c>
      <c r="BA65" s="22">
        <f t="shared" si="60"/>
        <v>16672.52732695092</v>
      </c>
      <c r="BB65" s="22">
        <f t="shared" si="60"/>
        <v>16729.958999719096</v>
      </c>
      <c r="BC65" s="22">
        <f t="shared" si="60"/>
        <v>16787.611100406684</v>
      </c>
      <c r="BD65" s="22">
        <f t="shared" si="60"/>
        <v>16852.006930526481</v>
      </c>
      <c r="BE65" s="22">
        <f t="shared" si="60"/>
        <v>16958.171864200052</v>
      </c>
      <c r="BF65" s="22">
        <f t="shared" si="60"/>
        <v>17067.410079492496</v>
      </c>
      <c r="BG65" s="22">
        <f t="shared" si="60"/>
        <v>17179.698593392801</v>
      </c>
      <c r="BH65" s="22">
        <f t="shared" si="60"/>
        <v>17294.660908151938</v>
      </c>
      <c r="BI65" s="22">
        <f t="shared" si="60"/>
        <v>17414.343661926596</v>
      </c>
      <c r="BJ65" s="22">
        <f t="shared" si="60"/>
        <v>17508.176350824528</v>
      </c>
      <c r="BK65" s="22">
        <f t="shared" si="60"/>
        <v>17605.140105504397</v>
      </c>
      <c r="BL65" s="22">
        <f t="shared" si="60"/>
        <v>17707.292032619436</v>
      </c>
      <c r="BM65" s="22">
        <f t="shared" si="60"/>
        <v>17815.178581937475</v>
      </c>
      <c r="BN65" s="22">
        <f t="shared" si="60"/>
        <v>17934.761597575707</v>
      </c>
    </row>
    <row r="66" spans="1:72" x14ac:dyDescent="0.25">
      <c r="A66" t="str">
        <f>A49</f>
        <v>3C Aggregated and non-CO2 emissions on land</v>
      </c>
      <c r="B66" t="str">
        <f t="shared" ref="B66:D66" si="61">B49</f>
        <v>3C5 Indirect N2O from managed soils (N2O)</v>
      </c>
      <c r="C66" t="s">
        <v>639</v>
      </c>
      <c r="D66" t="str">
        <f t="shared" si="61"/>
        <v>N2O</v>
      </c>
      <c r="E66" t="s">
        <v>630</v>
      </c>
      <c r="F66" s="22">
        <f t="shared" ref="F66:AK66" si="62">F49*N2OGWP</f>
        <v>2234.5052500528623</v>
      </c>
      <c r="G66" s="22">
        <f t="shared" si="62"/>
        <v>2211.6980958305289</v>
      </c>
      <c r="H66" s="22">
        <f t="shared" si="62"/>
        <v>2169.3378787889174</v>
      </c>
      <c r="I66" s="22">
        <f t="shared" si="62"/>
        <v>2126.2561830378841</v>
      </c>
      <c r="J66" s="22">
        <f t="shared" si="62"/>
        <v>2070.6768821954438</v>
      </c>
      <c r="K66" s="22">
        <f t="shared" si="62"/>
        <v>2062.5720723240188</v>
      </c>
      <c r="L66" s="22">
        <f t="shared" si="62"/>
        <v>2132.94216183253</v>
      </c>
      <c r="M66" s="22">
        <f t="shared" si="62"/>
        <v>2154.8913400426786</v>
      </c>
      <c r="N66" s="22">
        <f t="shared" si="62"/>
        <v>2185.5347534707471</v>
      </c>
      <c r="O66" s="22">
        <f t="shared" si="62"/>
        <v>2179.6281008084297</v>
      </c>
      <c r="P66" s="22">
        <f t="shared" si="62"/>
        <v>2155.7364466862405</v>
      </c>
      <c r="Q66" s="22">
        <f t="shared" si="62"/>
        <v>2118.7727412938139</v>
      </c>
      <c r="R66" s="22">
        <f t="shared" si="62"/>
        <v>2149.2536347032101</v>
      </c>
      <c r="S66" s="22">
        <f t="shared" si="62"/>
        <v>2127.4292286069426</v>
      </c>
      <c r="T66" s="22">
        <f t="shared" si="62"/>
        <v>2110.5878909746098</v>
      </c>
      <c r="U66" s="22">
        <f t="shared" si="62"/>
        <v>2072.1483225191987</v>
      </c>
      <c r="V66" s="22">
        <f t="shared" si="62"/>
        <v>2101.905941836299</v>
      </c>
      <c r="W66" s="22">
        <f t="shared" si="62"/>
        <v>2151.2208658093541</v>
      </c>
      <c r="X66" s="22">
        <f t="shared" si="62"/>
        <v>2156.0457121558738</v>
      </c>
      <c r="Y66" s="22">
        <f t="shared" si="62"/>
        <v>2149.2138525216237</v>
      </c>
      <c r="Z66" s="22">
        <f t="shared" si="62"/>
        <v>2105.3949279528888</v>
      </c>
      <c r="AA66" s="22">
        <f t="shared" si="62"/>
        <v>2110.5059697888632</v>
      </c>
      <c r="AB66" s="22">
        <f t="shared" si="62"/>
        <v>2057.1682449445511</v>
      </c>
      <c r="AC66" s="22">
        <f t="shared" si="62"/>
        <v>2057.8539907712329</v>
      </c>
      <c r="AD66" s="22">
        <f t="shared" si="62"/>
        <v>2047.730258902146</v>
      </c>
      <c r="AE66" s="22">
        <f t="shared" si="62"/>
        <v>2029.4352346155308</v>
      </c>
      <c r="AF66" s="22">
        <f t="shared" si="62"/>
        <v>2006.5265135363511</v>
      </c>
      <c r="AG66" s="22">
        <f t="shared" si="62"/>
        <v>1988.6450434693584</v>
      </c>
      <c r="AH66" s="22">
        <f t="shared" si="62"/>
        <v>1973.8060652844588</v>
      </c>
      <c r="AI66" s="22">
        <f t="shared" si="62"/>
        <v>1958.999363213539</v>
      </c>
      <c r="AJ66" s="22">
        <f t="shared" si="62"/>
        <v>1827.2804294155142</v>
      </c>
      <c r="AK66" s="22">
        <f t="shared" si="62"/>
        <v>1836.4275382176045</v>
      </c>
      <c r="AL66" s="22">
        <f t="shared" ref="AL66:BN66" si="63">AL49*N2OGWP</f>
        <v>1845.6999019487382</v>
      </c>
      <c r="AM66" s="22">
        <f t="shared" si="63"/>
        <v>1857.1108484934309</v>
      </c>
      <c r="AN66" s="22">
        <f t="shared" si="63"/>
        <v>1869.9285458841573</v>
      </c>
      <c r="AO66" s="22">
        <f t="shared" si="63"/>
        <v>1882.0388376970154</v>
      </c>
      <c r="AP66" s="22">
        <f t="shared" si="63"/>
        <v>1897.7328855443529</v>
      </c>
      <c r="AQ66" s="22">
        <f t="shared" si="63"/>
        <v>1914.0335638644485</v>
      </c>
      <c r="AR66" s="22">
        <f t="shared" si="63"/>
        <v>1931.4605939160069</v>
      </c>
      <c r="AS66" s="22">
        <f t="shared" si="63"/>
        <v>1949.3711044451229</v>
      </c>
      <c r="AT66" s="22">
        <f t="shared" si="63"/>
        <v>1961.7615858958161</v>
      </c>
      <c r="AU66" s="22">
        <f t="shared" si="63"/>
        <v>1973.5217756718125</v>
      </c>
      <c r="AV66" s="22">
        <f t="shared" si="63"/>
        <v>1985.0759539253786</v>
      </c>
      <c r="AW66" s="22">
        <f t="shared" si="63"/>
        <v>1996.5922280587056</v>
      </c>
      <c r="AX66" s="22">
        <f t="shared" si="63"/>
        <v>2005.8147038908573</v>
      </c>
      <c r="AY66" s="22">
        <f t="shared" si="63"/>
        <v>2015.8967090077701</v>
      </c>
      <c r="AZ66" s="22">
        <f t="shared" si="63"/>
        <v>2026.7980538743693</v>
      </c>
      <c r="BA66" s="22">
        <f t="shared" si="63"/>
        <v>2037.8620910312495</v>
      </c>
      <c r="BB66" s="22">
        <f t="shared" si="63"/>
        <v>2047.5381044209967</v>
      </c>
      <c r="BC66" s="22">
        <f t="shared" si="63"/>
        <v>2057.3478903344562</v>
      </c>
      <c r="BD66" s="22">
        <f t="shared" si="63"/>
        <v>2068.1212950113513</v>
      </c>
      <c r="BE66" s="22">
        <f t="shared" si="63"/>
        <v>2083.7866100867659</v>
      </c>
      <c r="BF66" s="22">
        <f t="shared" si="63"/>
        <v>2099.9284239571102</v>
      </c>
      <c r="BG66" s="22">
        <f t="shared" si="63"/>
        <v>2116.5511590916435</v>
      </c>
      <c r="BH66" s="22">
        <f t="shared" si="63"/>
        <v>2133.6119535908138</v>
      </c>
      <c r="BI66" s="22">
        <f t="shared" si="63"/>
        <v>2151.3834722870256</v>
      </c>
      <c r="BJ66" s="22">
        <f t="shared" si="63"/>
        <v>2165.8865694545011</v>
      </c>
      <c r="BK66" s="22">
        <f t="shared" si="63"/>
        <v>2180.9287056672806</v>
      </c>
      <c r="BL66" s="22">
        <f t="shared" si="63"/>
        <v>2196.7487240487949</v>
      </c>
      <c r="BM66" s="22">
        <f t="shared" si="63"/>
        <v>2213.425085060092</v>
      </c>
      <c r="BN66" s="22">
        <f t="shared" si="63"/>
        <v>2231.7515586140139</v>
      </c>
    </row>
    <row r="67" spans="1:72" x14ac:dyDescent="0.25">
      <c r="A67" t="str">
        <f>A52</f>
        <v>3C Aggregated and non-CO2 emissions on land</v>
      </c>
      <c r="B67" t="str">
        <f t="shared" ref="B67:D67" si="64">B52</f>
        <v>3C6 Indirect N2O from manure management (N2O)</v>
      </c>
      <c r="C67" t="s">
        <v>638</v>
      </c>
      <c r="D67" t="str">
        <f t="shared" si="64"/>
        <v>N2O</v>
      </c>
      <c r="E67" t="s">
        <v>630</v>
      </c>
      <c r="F67" s="22">
        <f t="shared" ref="F67:AK67" si="65">F52*N2OGWP</f>
        <v>339.46668586955047</v>
      </c>
      <c r="G67" s="22">
        <f t="shared" si="65"/>
        <v>361.42056329374225</v>
      </c>
      <c r="H67" s="22">
        <f t="shared" si="65"/>
        <v>336.30759122420466</v>
      </c>
      <c r="I67" s="22">
        <f t="shared" si="65"/>
        <v>348.82410338247314</v>
      </c>
      <c r="J67" s="22">
        <f t="shared" si="65"/>
        <v>332.77692549973614</v>
      </c>
      <c r="K67" s="22">
        <f t="shared" si="65"/>
        <v>351.17073353759787</v>
      </c>
      <c r="L67" s="22">
        <f t="shared" si="65"/>
        <v>366.95943819746714</v>
      </c>
      <c r="M67" s="22">
        <f t="shared" si="65"/>
        <v>363.69601469759795</v>
      </c>
      <c r="N67" s="22">
        <f t="shared" si="65"/>
        <v>372.77723801175745</v>
      </c>
      <c r="O67" s="22">
        <f t="shared" si="65"/>
        <v>376.69225137169252</v>
      </c>
      <c r="P67" s="22">
        <f t="shared" si="65"/>
        <v>416.19353174110165</v>
      </c>
      <c r="Q67" s="22">
        <f t="shared" si="65"/>
        <v>413.8758977418791</v>
      </c>
      <c r="R67" s="22">
        <f t="shared" si="65"/>
        <v>402.12489933360166</v>
      </c>
      <c r="S67" s="22">
        <f t="shared" si="65"/>
        <v>382.08437212452515</v>
      </c>
      <c r="T67" s="22">
        <f t="shared" si="65"/>
        <v>379.738143309794</v>
      </c>
      <c r="U67" s="22">
        <f t="shared" si="65"/>
        <v>398.98840509467396</v>
      </c>
      <c r="V67" s="22">
        <f t="shared" si="65"/>
        <v>404.11898883233295</v>
      </c>
      <c r="W67" s="22">
        <f t="shared" si="65"/>
        <v>412.20171589966418</v>
      </c>
      <c r="X67" s="22">
        <f t="shared" si="65"/>
        <v>446.09004051714021</v>
      </c>
      <c r="Y67" s="22">
        <f t="shared" si="65"/>
        <v>443.47274862625261</v>
      </c>
      <c r="Z67" s="22">
        <f t="shared" si="65"/>
        <v>446.04525464561482</v>
      </c>
      <c r="AA67" s="22">
        <f t="shared" si="65"/>
        <v>451.47082982836986</v>
      </c>
      <c r="AB67" s="22">
        <f t="shared" si="65"/>
        <v>465.71697519224756</v>
      </c>
      <c r="AC67" s="22">
        <f t="shared" si="65"/>
        <v>472.39651404951906</v>
      </c>
      <c r="AD67" s="22">
        <f t="shared" si="65"/>
        <v>475.39485505138583</v>
      </c>
      <c r="AE67" s="22">
        <f t="shared" si="65"/>
        <v>475.4542403435849</v>
      </c>
      <c r="AF67" s="22">
        <f t="shared" si="65"/>
        <v>473.68310983846931</v>
      </c>
      <c r="AG67" s="22">
        <f t="shared" si="65"/>
        <v>473.47971563463312</v>
      </c>
      <c r="AH67" s="22">
        <f t="shared" si="65"/>
        <v>474.26804747818278</v>
      </c>
      <c r="AI67" s="22">
        <f t="shared" si="65"/>
        <v>474.97153701478533</v>
      </c>
      <c r="AJ67" s="22">
        <f t="shared" si="65"/>
        <v>430.73938060883393</v>
      </c>
      <c r="AK67" s="22">
        <f t="shared" si="65"/>
        <v>436.8797708118766</v>
      </c>
      <c r="AL67" s="22">
        <f t="shared" ref="AL67:BN67" si="66">AL52*N2OGWP</f>
        <v>443.16321258049538</v>
      </c>
      <c r="AM67" s="22">
        <f t="shared" si="66"/>
        <v>450.5067760678844</v>
      </c>
      <c r="AN67" s="22">
        <f t="shared" si="66"/>
        <v>458.53524726310405</v>
      </c>
      <c r="AO67" s="22">
        <f t="shared" si="66"/>
        <v>466.42013979363855</v>
      </c>
      <c r="AP67" s="22">
        <f t="shared" si="66"/>
        <v>475.90370983993733</v>
      </c>
      <c r="AQ67" s="22">
        <f t="shared" si="66"/>
        <v>485.80783771044264</v>
      </c>
      <c r="AR67" s="22">
        <f t="shared" si="66"/>
        <v>496.36302957689685</v>
      </c>
      <c r="AS67" s="22">
        <f t="shared" si="66"/>
        <v>507.30452995419068</v>
      </c>
      <c r="AT67" s="22">
        <f t="shared" si="66"/>
        <v>516.11076535237692</v>
      </c>
      <c r="AU67" s="22">
        <f t="shared" si="66"/>
        <v>527.89452175599536</v>
      </c>
      <c r="AV67" s="22">
        <f t="shared" si="66"/>
        <v>539.93894806069113</v>
      </c>
      <c r="AW67" s="22">
        <f t="shared" si="66"/>
        <v>552.33542433323908</v>
      </c>
      <c r="AX67" s="22">
        <f t="shared" si="66"/>
        <v>564.07818025160452</v>
      </c>
      <c r="AY67" s="22">
        <f t="shared" si="66"/>
        <v>576.57800651400032</v>
      </c>
      <c r="AZ67" s="22">
        <f t="shared" si="66"/>
        <v>589.84868546977748</v>
      </c>
      <c r="BA67" s="22">
        <f t="shared" si="66"/>
        <v>603.61568782178506</v>
      </c>
      <c r="BB67" s="22">
        <f t="shared" si="66"/>
        <v>617.1546016322061</v>
      </c>
      <c r="BC67" s="22">
        <f t="shared" si="66"/>
        <v>631.19291800629048</v>
      </c>
      <c r="BD67" s="22">
        <f t="shared" si="66"/>
        <v>646.16577412971219</v>
      </c>
      <c r="BE67" s="22">
        <f t="shared" si="66"/>
        <v>661.82201266614345</v>
      </c>
      <c r="BF67" s="22">
        <f t="shared" si="66"/>
        <v>678.13388864024012</v>
      </c>
      <c r="BG67" s="22">
        <f t="shared" si="66"/>
        <v>695.1283776393052</v>
      </c>
      <c r="BH67" s="22">
        <f t="shared" si="66"/>
        <v>712.80818692581624</v>
      </c>
      <c r="BI67" s="22">
        <f t="shared" si="66"/>
        <v>731.34492026885573</v>
      </c>
      <c r="BJ67" s="22">
        <f t="shared" si="66"/>
        <v>748.61063159035052</v>
      </c>
      <c r="BK67" s="22">
        <f t="shared" si="66"/>
        <v>766.6478860980443</v>
      </c>
      <c r="BL67" s="22">
        <f t="shared" si="66"/>
        <v>785.61518631895478</v>
      </c>
      <c r="BM67" s="22">
        <f t="shared" si="66"/>
        <v>805.59424022670942</v>
      </c>
      <c r="BN67" s="22">
        <f t="shared" si="66"/>
        <v>827.08215560072131</v>
      </c>
    </row>
    <row r="70" spans="1:72" s="19" customFormat="1" ht="15.75" x14ac:dyDescent="0.25">
      <c r="A70" s="17" t="s">
        <v>716</v>
      </c>
      <c r="B70" s="17"/>
      <c r="C70" s="17"/>
      <c r="D70" s="17"/>
      <c r="E70" s="17"/>
      <c r="F70" s="17">
        <v>1990</v>
      </c>
      <c r="G70" s="17">
        <v>1991</v>
      </c>
      <c r="H70" s="17">
        <v>1992</v>
      </c>
      <c r="I70" s="17">
        <v>1993</v>
      </c>
      <c r="J70" s="17">
        <v>1994</v>
      </c>
      <c r="K70" s="17">
        <v>1995</v>
      </c>
      <c r="L70" s="17">
        <v>1996</v>
      </c>
      <c r="M70" s="17">
        <v>1997</v>
      </c>
      <c r="N70" s="17">
        <v>1998</v>
      </c>
      <c r="O70" s="17">
        <v>1999</v>
      </c>
      <c r="P70" s="17">
        <v>2000</v>
      </c>
      <c r="Q70" s="17">
        <v>2001</v>
      </c>
      <c r="R70" s="17">
        <v>2002</v>
      </c>
      <c r="S70" s="17">
        <v>2003</v>
      </c>
      <c r="T70" s="17">
        <v>2004</v>
      </c>
      <c r="U70" s="17">
        <v>2005</v>
      </c>
      <c r="V70" s="17">
        <v>2006</v>
      </c>
      <c r="W70" s="17">
        <v>2007</v>
      </c>
      <c r="X70" s="17">
        <v>2008</v>
      </c>
      <c r="Y70" s="17">
        <v>2009</v>
      </c>
      <c r="Z70" s="17">
        <v>2010</v>
      </c>
      <c r="AA70" s="17">
        <v>2011</v>
      </c>
      <c r="AB70" s="17">
        <v>2012</v>
      </c>
      <c r="AC70" s="17">
        <v>2013</v>
      </c>
      <c r="AD70" s="17">
        <v>2014</v>
      </c>
      <c r="AE70" s="17">
        <v>2015</v>
      </c>
      <c r="AF70" s="17">
        <v>2016</v>
      </c>
      <c r="AG70" s="17">
        <v>2017</v>
      </c>
      <c r="AH70" s="17">
        <v>2018</v>
      </c>
      <c r="AI70" s="17">
        <v>2019</v>
      </c>
      <c r="AJ70" s="17">
        <v>2020</v>
      </c>
      <c r="AK70" s="17">
        <v>2021</v>
      </c>
      <c r="AL70" s="17">
        <v>2022</v>
      </c>
      <c r="AM70" s="17">
        <v>2023</v>
      </c>
      <c r="AN70" s="17">
        <v>2024</v>
      </c>
      <c r="AO70" s="17">
        <v>2025</v>
      </c>
      <c r="AP70" s="17">
        <v>2026</v>
      </c>
      <c r="AQ70" s="17">
        <v>2027</v>
      </c>
      <c r="AR70" s="17">
        <v>2028</v>
      </c>
      <c r="AS70" s="17">
        <v>2029</v>
      </c>
      <c r="AT70" s="17">
        <v>2030</v>
      </c>
      <c r="AU70" s="17">
        <v>2031</v>
      </c>
      <c r="AV70" s="17">
        <v>2032</v>
      </c>
      <c r="AW70" s="17">
        <v>2033</v>
      </c>
      <c r="AX70" s="17">
        <v>2034</v>
      </c>
      <c r="AY70" s="17">
        <v>2035</v>
      </c>
      <c r="AZ70" s="17">
        <v>2036</v>
      </c>
      <c r="BA70" s="17">
        <v>2037</v>
      </c>
      <c r="BB70" s="17">
        <v>2038</v>
      </c>
      <c r="BC70" s="17">
        <v>2039</v>
      </c>
      <c r="BD70" s="17">
        <v>2040</v>
      </c>
      <c r="BE70" s="17">
        <v>2041</v>
      </c>
      <c r="BF70" s="17">
        <v>2042</v>
      </c>
      <c r="BG70" s="17">
        <v>2043</v>
      </c>
      <c r="BH70" s="17">
        <v>2044</v>
      </c>
      <c r="BI70" s="17">
        <v>2045</v>
      </c>
      <c r="BJ70" s="17">
        <v>2046</v>
      </c>
      <c r="BK70" s="17">
        <v>2047</v>
      </c>
      <c r="BL70" s="17">
        <v>2048</v>
      </c>
      <c r="BM70" s="17">
        <v>2049</v>
      </c>
      <c r="BN70" s="17">
        <v>2050</v>
      </c>
      <c r="BO70" s="17"/>
      <c r="BP70" s="17"/>
      <c r="BQ70" s="17"/>
      <c r="BR70" s="17"/>
      <c r="BS70" s="17"/>
      <c r="BT70" s="17"/>
    </row>
    <row r="71" spans="1:72" x14ac:dyDescent="0.25">
      <c r="E71" t="s">
        <v>736</v>
      </c>
      <c r="F71" s="22">
        <f>SUM(F58:F60)</f>
        <v>28329.895895189959</v>
      </c>
      <c r="G71" s="22">
        <f t="shared" ref="G71:AG71" si="67">SUM(G58:G60)</f>
        <v>28348.756597536198</v>
      </c>
      <c r="H71" s="22">
        <f t="shared" si="67"/>
        <v>27901.265167652149</v>
      </c>
      <c r="I71" s="22">
        <f t="shared" si="67"/>
        <v>26983.421178078323</v>
      </c>
      <c r="J71" s="22">
        <f t="shared" si="67"/>
        <v>26232.935842025625</v>
      </c>
      <c r="K71" s="22">
        <f t="shared" si="67"/>
        <v>26483.697904273635</v>
      </c>
      <c r="L71" s="22">
        <f t="shared" si="67"/>
        <v>27231.455050197914</v>
      </c>
      <c r="M71" s="22">
        <f t="shared" si="67"/>
        <v>27718.197700050874</v>
      </c>
      <c r="N71" s="22">
        <f t="shared" si="67"/>
        <v>28191.857752581782</v>
      </c>
      <c r="O71" s="22">
        <f t="shared" si="67"/>
        <v>28176.93333456889</v>
      </c>
      <c r="P71" s="22">
        <f t="shared" si="67"/>
        <v>27911.735313172579</v>
      </c>
      <c r="Q71" s="22">
        <f t="shared" si="67"/>
        <v>27717.940554412646</v>
      </c>
      <c r="R71" s="22">
        <f t="shared" si="67"/>
        <v>27299.215210355833</v>
      </c>
      <c r="S71" s="22">
        <f t="shared" si="67"/>
        <v>27343.988003450842</v>
      </c>
      <c r="T71" s="22">
        <f t="shared" si="67"/>
        <v>27146.675440419218</v>
      </c>
      <c r="U71" s="22">
        <f t="shared" si="67"/>
        <v>27260.702201657918</v>
      </c>
      <c r="V71" s="22">
        <f t="shared" si="67"/>
        <v>27196.730699508385</v>
      </c>
      <c r="W71" s="22">
        <f t="shared" si="67"/>
        <v>27798.797044635878</v>
      </c>
      <c r="X71" s="22">
        <f t="shared" si="67"/>
        <v>28021.860780467254</v>
      </c>
      <c r="Y71" s="22">
        <f t="shared" si="67"/>
        <v>27823.10030385045</v>
      </c>
      <c r="Z71" s="22">
        <f t="shared" si="67"/>
        <v>27614.256694686857</v>
      </c>
      <c r="AA71" s="22">
        <f t="shared" si="67"/>
        <v>27581.637898711942</v>
      </c>
      <c r="AB71" s="22">
        <f t="shared" si="67"/>
        <v>27089.959320622853</v>
      </c>
      <c r="AC71" s="22">
        <f t="shared" si="67"/>
        <v>27114.026654083114</v>
      </c>
      <c r="AD71" s="22">
        <f t="shared" si="67"/>
        <v>26944.652760315537</v>
      </c>
      <c r="AE71" s="22">
        <f t="shared" si="67"/>
        <v>26628.842126672123</v>
      </c>
      <c r="AF71" s="22">
        <f t="shared" si="67"/>
        <v>26228.910322236548</v>
      </c>
      <c r="AG71" s="22">
        <f t="shared" si="67"/>
        <v>25914.499626624314</v>
      </c>
      <c r="AH71" s="22">
        <f t="shared" ref="AH71:BN71" si="68">SUM(AH58:AH60)</f>
        <v>25651.881638776606</v>
      </c>
      <c r="AI71" s="22">
        <f t="shared" si="68"/>
        <v>25388.07542359177</v>
      </c>
      <c r="AJ71" s="22">
        <f t="shared" si="68"/>
        <v>23056.619648205411</v>
      </c>
      <c r="AK71" s="22">
        <f t="shared" si="68"/>
        <v>23217.461911489685</v>
      </c>
      <c r="AL71" s="22">
        <f t="shared" si="68"/>
        <v>23377.567060539812</v>
      </c>
      <c r="AM71" s="22">
        <f t="shared" si="68"/>
        <v>23577.858694763105</v>
      </c>
      <c r="AN71" s="22">
        <f t="shared" si="68"/>
        <v>23803.369210968962</v>
      </c>
      <c r="AO71" s="22">
        <f t="shared" si="68"/>
        <v>24016.795419302016</v>
      </c>
      <c r="AP71" s="22">
        <f t="shared" si="68"/>
        <v>24294.367274846551</v>
      </c>
      <c r="AQ71" s="22">
        <f t="shared" si="68"/>
        <v>24583.270626365986</v>
      </c>
      <c r="AR71" s="22">
        <f t="shared" si="68"/>
        <v>24892.940472209826</v>
      </c>
      <c r="AS71" s="22">
        <f t="shared" si="68"/>
        <v>25211.779162716415</v>
      </c>
      <c r="AT71" s="22">
        <f t="shared" si="68"/>
        <v>25433.185396725505</v>
      </c>
      <c r="AU71" s="22">
        <f t="shared" si="68"/>
        <v>25651.823723563451</v>
      </c>
      <c r="AV71" s="22">
        <f t="shared" si="68"/>
        <v>25867.741201441469</v>
      </c>
      <c r="AW71" s="22">
        <f t="shared" si="68"/>
        <v>26084.25987379198</v>
      </c>
      <c r="AX71" s="22">
        <f t="shared" si="68"/>
        <v>26261.11158496339</v>
      </c>
      <c r="AY71" s="22">
        <f t="shared" si="68"/>
        <v>26454.666809894865</v>
      </c>
      <c r="AZ71" s="22">
        <f t="shared" si="68"/>
        <v>26664.201894293368</v>
      </c>
      <c r="BA71" s="22">
        <f t="shared" si="68"/>
        <v>26878.083807834322</v>
      </c>
      <c r="BB71" s="22">
        <f t="shared" si="68"/>
        <v>27068.621717451097</v>
      </c>
      <c r="BC71" s="22">
        <f t="shared" si="68"/>
        <v>27263.10450703551</v>
      </c>
      <c r="BD71" s="22">
        <f t="shared" si="68"/>
        <v>27476.469962173171</v>
      </c>
      <c r="BE71" s="22">
        <f t="shared" si="68"/>
        <v>27773.737494775916</v>
      </c>
      <c r="BF71" s="22">
        <f t="shared" si="68"/>
        <v>28081.062857955538</v>
      </c>
      <c r="BG71" s="22">
        <f t="shared" si="68"/>
        <v>28398.619647491603</v>
      </c>
      <c r="BH71" s="22">
        <f t="shared" si="68"/>
        <v>28725.71914523001</v>
      </c>
      <c r="BI71" s="22">
        <f t="shared" si="68"/>
        <v>29067.378566544667</v>
      </c>
      <c r="BJ71" s="22">
        <f t="shared" si="68"/>
        <v>29351.700157647563</v>
      </c>
      <c r="BK71" s="22">
        <f t="shared" si="68"/>
        <v>29647.668929379415</v>
      </c>
      <c r="BL71" s="22">
        <f t="shared" si="68"/>
        <v>29959.557939468865</v>
      </c>
      <c r="BM71" s="22">
        <f t="shared" si="68"/>
        <v>30288.908707703369</v>
      </c>
      <c r="BN71" s="22">
        <f t="shared" si="68"/>
        <v>30650.274747199743</v>
      </c>
    </row>
    <row r="72" spans="1:72" x14ac:dyDescent="0.25">
      <c r="E72" t="s">
        <v>738</v>
      </c>
      <c r="F72" s="22">
        <f>SUM(F61:F67)</f>
        <v>22520.716286019295</v>
      </c>
      <c r="G72" s="22">
        <f t="shared" ref="G72:AG72" si="69">SUM(G61:G67)</f>
        <v>22464.940551220727</v>
      </c>
      <c r="H72" s="22">
        <f t="shared" si="69"/>
        <v>22122.587070657621</v>
      </c>
      <c r="I72" s="22">
        <f t="shared" si="69"/>
        <v>22107.511600676291</v>
      </c>
      <c r="J72" s="22">
        <f t="shared" si="69"/>
        <v>21834.941608916608</v>
      </c>
      <c r="K72" s="22">
        <f t="shared" si="69"/>
        <v>21438.397550905156</v>
      </c>
      <c r="L72" s="22">
        <f t="shared" si="69"/>
        <v>22344.38853508536</v>
      </c>
      <c r="M72" s="22">
        <f t="shared" si="69"/>
        <v>22643.115411695737</v>
      </c>
      <c r="N72" s="22">
        <f t="shared" si="69"/>
        <v>22838.244348740158</v>
      </c>
      <c r="O72" s="22">
        <f t="shared" si="69"/>
        <v>22819.025600827037</v>
      </c>
      <c r="P72" s="22">
        <f t="shared" si="69"/>
        <v>22511.044802282533</v>
      </c>
      <c r="Q72" s="22">
        <f t="shared" si="69"/>
        <v>22529.539442072208</v>
      </c>
      <c r="R72" s="22">
        <f t="shared" si="69"/>
        <v>23137.990578649747</v>
      </c>
      <c r="S72" s="22">
        <f t="shared" si="69"/>
        <v>22247.767107619758</v>
      </c>
      <c r="T72" s="22">
        <f t="shared" si="69"/>
        <v>21888.679383709583</v>
      </c>
      <c r="U72" s="22">
        <f t="shared" si="69"/>
        <v>22154.093897802089</v>
      </c>
      <c r="V72" s="22">
        <f t="shared" si="69"/>
        <v>22070.367095963247</v>
      </c>
      <c r="W72" s="22">
        <f t="shared" si="69"/>
        <v>22852.545580285085</v>
      </c>
      <c r="X72" s="22">
        <f t="shared" si="69"/>
        <v>22951.7302580256</v>
      </c>
      <c r="Y72" s="22">
        <f t="shared" si="69"/>
        <v>22635.063755242325</v>
      </c>
      <c r="Z72" s="22">
        <f t="shared" si="69"/>
        <v>22400.815411577827</v>
      </c>
      <c r="AA72" s="22">
        <f t="shared" si="69"/>
        <v>22528.596906718252</v>
      </c>
      <c r="AB72" s="22">
        <f t="shared" si="69"/>
        <v>22956.77029482714</v>
      </c>
      <c r="AC72" s="22">
        <f t="shared" si="69"/>
        <v>23034.407592041469</v>
      </c>
      <c r="AD72" s="22">
        <f t="shared" si="69"/>
        <v>22911.498140816573</v>
      </c>
      <c r="AE72" s="22">
        <f t="shared" si="69"/>
        <v>22710.154142337524</v>
      </c>
      <c r="AF72" s="22">
        <f t="shared" si="69"/>
        <v>22503.624157446935</v>
      </c>
      <c r="AG72" s="22">
        <f t="shared" si="69"/>
        <v>22340.422340151606</v>
      </c>
      <c r="AH72" s="22">
        <f t="shared" ref="AH72:BN72" si="70">SUM(AH61:AH67)</f>
        <v>22194.331725673248</v>
      </c>
      <c r="AI72" s="22">
        <f t="shared" si="70"/>
        <v>22050.607338289163</v>
      </c>
      <c r="AJ72" s="22">
        <f t="shared" si="70"/>
        <v>20808.341132833713</v>
      </c>
      <c r="AK72" s="22">
        <f t="shared" si="70"/>
        <v>20874.430307037073</v>
      </c>
      <c r="AL72" s="22">
        <f t="shared" si="70"/>
        <v>20966.638314299365</v>
      </c>
      <c r="AM72" s="22">
        <f t="shared" si="70"/>
        <v>21079.549057414271</v>
      </c>
      <c r="AN72" s="22">
        <f t="shared" si="70"/>
        <v>21205.980466433906</v>
      </c>
      <c r="AO72" s="22">
        <f t="shared" si="70"/>
        <v>21325.954457975917</v>
      </c>
      <c r="AP72" s="22">
        <f t="shared" si="70"/>
        <v>21479.284126742183</v>
      </c>
      <c r="AQ72" s="22">
        <f t="shared" si="70"/>
        <v>21638.908975298837</v>
      </c>
      <c r="AR72" s="22">
        <f t="shared" si="70"/>
        <v>21809.12648511005</v>
      </c>
      <c r="AS72" s="22">
        <f t="shared" si="70"/>
        <v>21983.93397432215</v>
      </c>
      <c r="AT72" s="22">
        <f t="shared" si="70"/>
        <v>22107.098939872525</v>
      </c>
      <c r="AU72" s="22">
        <f t="shared" si="70"/>
        <v>22219.803567464052</v>
      </c>
      <c r="AV72" s="22">
        <f t="shared" si="70"/>
        <v>22331.559766669925</v>
      </c>
      <c r="AW72" s="22">
        <f t="shared" si="70"/>
        <v>22442.716682642214</v>
      </c>
      <c r="AX72" s="22">
        <f t="shared" si="70"/>
        <v>22532.268966545878</v>
      </c>
      <c r="AY72" s="22">
        <f t="shared" si="70"/>
        <v>22629.189632010213</v>
      </c>
      <c r="AZ72" s="22">
        <f t="shared" si="70"/>
        <v>22733.684080763982</v>
      </c>
      <c r="BA72" s="22">
        <f t="shared" si="70"/>
        <v>22839.618793095313</v>
      </c>
      <c r="BB72" s="22">
        <f t="shared" si="70"/>
        <v>22932.465109743247</v>
      </c>
      <c r="BC72" s="22">
        <f t="shared" si="70"/>
        <v>23025.520965029336</v>
      </c>
      <c r="BD72" s="22">
        <f t="shared" si="70"/>
        <v>23127.27058765187</v>
      </c>
      <c r="BE72" s="22">
        <f t="shared" si="70"/>
        <v>23276.514020998973</v>
      </c>
      <c r="BF72" s="22">
        <f t="shared" si="70"/>
        <v>23430.055886596685</v>
      </c>
      <c r="BG72" s="22">
        <f t="shared" si="70"/>
        <v>23587.883169865239</v>
      </c>
      <c r="BH72" s="22">
        <f t="shared" si="70"/>
        <v>23749.579676591678</v>
      </c>
      <c r="BI72" s="22">
        <f t="shared" si="70"/>
        <v>23917.631194240981</v>
      </c>
      <c r="BJ72" s="22">
        <f t="shared" si="70"/>
        <v>24055.390874026834</v>
      </c>
      <c r="BK72" s="22">
        <f t="shared" si="70"/>
        <v>24197.239969929491</v>
      </c>
      <c r="BL72" s="22">
        <f t="shared" si="70"/>
        <v>24346.067629995534</v>
      </c>
      <c r="BM72" s="22">
        <f t="shared" si="70"/>
        <v>24502.606085720337</v>
      </c>
      <c r="BN72" s="22">
        <f t="shared" si="70"/>
        <v>24674.116204367434</v>
      </c>
    </row>
    <row r="73" spans="1:72" x14ac:dyDescent="0.25">
      <c r="E73" t="s">
        <v>726</v>
      </c>
      <c r="F73" s="22">
        <f>SUM(F71:F72)</f>
        <v>50850.612181209253</v>
      </c>
      <c r="G73" s="22">
        <f t="shared" ref="G73:AG73" si="71">SUM(G71:G72)</f>
        <v>50813.697148756924</v>
      </c>
      <c r="H73" s="22">
        <f t="shared" si="71"/>
        <v>50023.852238309773</v>
      </c>
      <c r="I73" s="22">
        <f t="shared" si="71"/>
        <v>49090.932778754614</v>
      </c>
      <c r="J73" s="22">
        <f t="shared" si="71"/>
        <v>48067.877450942236</v>
      </c>
      <c r="K73" s="22">
        <f t="shared" si="71"/>
        <v>47922.095455178787</v>
      </c>
      <c r="L73" s="22">
        <f t="shared" si="71"/>
        <v>49575.843585283277</v>
      </c>
      <c r="M73" s="22">
        <f t="shared" si="71"/>
        <v>50361.313111746611</v>
      </c>
      <c r="N73" s="22">
        <f t="shared" si="71"/>
        <v>51030.102101321943</v>
      </c>
      <c r="O73" s="22">
        <f t="shared" si="71"/>
        <v>50995.958935395931</v>
      </c>
      <c r="P73" s="22">
        <f t="shared" si="71"/>
        <v>50422.780115455113</v>
      </c>
      <c r="Q73" s="22">
        <f t="shared" si="71"/>
        <v>50247.47999648485</v>
      </c>
      <c r="R73" s="22">
        <f t="shared" si="71"/>
        <v>50437.20578900558</v>
      </c>
      <c r="S73" s="22">
        <f t="shared" si="71"/>
        <v>49591.755111070597</v>
      </c>
      <c r="T73" s="22">
        <f t="shared" si="71"/>
        <v>49035.354824128801</v>
      </c>
      <c r="U73" s="22">
        <f t="shared" si="71"/>
        <v>49414.796099460007</v>
      </c>
      <c r="V73" s="22">
        <f t="shared" si="71"/>
        <v>49267.097795471636</v>
      </c>
      <c r="W73" s="22">
        <f t="shared" si="71"/>
        <v>50651.342624920959</v>
      </c>
      <c r="X73" s="22">
        <f t="shared" si="71"/>
        <v>50973.591038492857</v>
      </c>
      <c r="Y73" s="22">
        <f t="shared" si="71"/>
        <v>50458.164059092771</v>
      </c>
      <c r="Z73" s="22">
        <f t="shared" si="71"/>
        <v>50015.072106264684</v>
      </c>
      <c r="AA73" s="22">
        <f t="shared" si="71"/>
        <v>50110.234805430198</v>
      </c>
      <c r="AB73" s="22">
        <f t="shared" si="71"/>
        <v>50046.729615449993</v>
      </c>
      <c r="AC73" s="22">
        <f t="shared" si="71"/>
        <v>50148.434246124583</v>
      </c>
      <c r="AD73" s="22">
        <f t="shared" si="71"/>
        <v>49856.15090113211</v>
      </c>
      <c r="AE73" s="22">
        <f t="shared" si="71"/>
        <v>49338.996269009644</v>
      </c>
      <c r="AF73" s="22">
        <f t="shared" si="71"/>
        <v>48732.534479683483</v>
      </c>
      <c r="AG73" s="22">
        <f t="shared" si="71"/>
        <v>48254.921966775917</v>
      </c>
      <c r="AH73" s="22">
        <f t="shared" ref="AH73:BN73" si="72">SUM(AH71:AH72)</f>
        <v>47846.213364449854</v>
      </c>
      <c r="AI73" s="22">
        <f t="shared" si="72"/>
        <v>47438.682761880933</v>
      </c>
      <c r="AJ73" s="22">
        <f t="shared" si="72"/>
        <v>43864.960781039124</v>
      </c>
      <c r="AK73" s="22">
        <f t="shared" si="72"/>
        <v>44091.892218526758</v>
      </c>
      <c r="AL73" s="22">
        <f t="shared" si="72"/>
        <v>44344.205374839177</v>
      </c>
      <c r="AM73" s="22">
        <f t="shared" si="72"/>
        <v>44657.407752177372</v>
      </c>
      <c r="AN73" s="22">
        <f t="shared" si="72"/>
        <v>45009.349677402868</v>
      </c>
      <c r="AO73" s="22">
        <f t="shared" si="72"/>
        <v>45342.749877277936</v>
      </c>
      <c r="AP73" s="22">
        <f t="shared" si="72"/>
        <v>45773.651401588737</v>
      </c>
      <c r="AQ73" s="22">
        <f t="shared" si="72"/>
        <v>46222.179601664822</v>
      </c>
      <c r="AR73" s="22">
        <f t="shared" si="72"/>
        <v>46702.066957319876</v>
      </c>
      <c r="AS73" s="22">
        <f t="shared" si="72"/>
        <v>47195.713137038561</v>
      </c>
      <c r="AT73" s="22">
        <f t="shared" si="72"/>
        <v>47540.28433659803</v>
      </c>
      <c r="AU73" s="22">
        <f t="shared" si="72"/>
        <v>47871.6272910275</v>
      </c>
      <c r="AV73" s="22">
        <f t="shared" si="72"/>
        <v>48199.300968111391</v>
      </c>
      <c r="AW73" s="22">
        <f t="shared" si="72"/>
        <v>48526.976556434194</v>
      </c>
      <c r="AX73" s="22">
        <f t="shared" si="72"/>
        <v>48793.380551509268</v>
      </c>
      <c r="AY73" s="22">
        <f t="shared" si="72"/>
        <v>49083.856441905082</v>
      </c>
      <c r="AZ73" s="22">
        <f t="shared" si="72"/>
        <v>49397.885975057347</v>
      </c>
      <c r="BA73" s="22">
        <f t="shared" si="72"/>
        <v>49717.702600929639</v>
      </c>
      <c r="BB73" s="22">
        <f t="shared" si="72"/>
        <v>50001.086827194347</v>
      </c>
      <c r="BC73" s="22">
        <f t="shared" si="72"/>
        <v>50288.625472064843</v>
      </c>
      <c r="BD73" s="22">
        <f t="shared" si="72"/>
        <v>50603.740549825045</v>
      </c>
      <c r="BE73" s="22">
        <f t="shared" si="72"/>
        <v>51050.251515774886</v>
      </c>
      <c r="BF73" s="22">
        <f t="shared" si="72"/>
        <v>51511.118744552223</v>
      </c>
      <c r="BG73" s="22">
        <f t="shared" si="72"/>
        <v>51986.502817356843</v>
      </c>
      <c r="BH73" s="22">
        <f t="shared" si="72"/>
        <v>52475.298821821692</v>
      </c>
      <c r="BI73" s="22">
        <f t="shared" si="72"/>
        <v>52985.009760785644</v>
      </c>
      <c r="BJ73" s="22">
        <f t="shared" si="72"/>
        <v>53407.091031674398</v>
      </c>
      <c r="BK73" s="22">
        <f t="shared" si="72"/>
        <v>53844.90889930891</v>
      </c>
      <c r="BL73" s="22">
        <f t="shared" si="72"/>
        <v>54305.625569464399</v>
      </c>
      <c r="BM73" s="22">
        <f t="shared" si="72"/>
        <v>54791.514793423703</v>
      </c>
      <c r="BN73" s="22">
        <f t="shared" si="72"/>
        <v>55324.390951567177</v>
      </c>
    </row>
    <row r="74" spans="1:72" x14ac:dyDescent="0.25">
      <c r="C74" t="s">
        <v>930</v>
      </c>
      <c r="E74" t="s">
        <v>737</v>
      </c>
      <c r="F74" s="21">
        <v>30363.701489664549</v>
      </c>
      <c r="G74" s="21">
        <v>30620.087433327655</v>
      </c>
      <c r="H74" s="21">
        <v>30019.645292780151</v>
      </c>
      <c r="I74" s="21">
        <v>29126.832767672211</v>
      </c>
      <c r="J74" s="21">
        <v>28220.504029960546</v>
      </c>
      <c r="K74" s="21">
        <v>28658.334296648256</v>
      </c>
      <c r="L74" s="21">
        <v>29216.836454505894</v>
      </c>
      <c r="M74" s="21">
        <v>29686.534877773469</v>
      </c>
      <c r="N74" s="21">
        <v>30358.840057469566</v>
      </c>
      <c r="O74" s="21">
        <v>30552.5406715998</v>
      </c>
      <c r="P74" s="21">
        <v>30515.456515029604</v>
      </c>
      <c r="Q74" s="21">
        <v>30340.133527107813</v>
      </c>
      <c r="R74" s="21">
        <v>29862.347205058868</v>
      </c>
      <c r="S74" s="21">
        <v>28988.455674699828</v>
      </c>
      <c r="T74" s="21">
        <v>28771.73121104404</v>
      </c>
      <c r="U74" s="21">
        <v>28806.676410294196</v>
      </c>
      <c r="V74" s="21">
        <v>28710.685662648946</v>
      </c>
      <c r="W74" s="21">
        <v>27953.813125583809</v>
      </c>
      <c r="X74" s="21">
        <v>29128.465653077492</v>
      </c>
      <c r="Y74" s="21">
        <v>28566.814632287216</v>
      </c>
      <c r="Z74" s="21">
        <v>29466.291233402069</v>
      </c>
      <c r="AA74" s="21">
        <v>29540.386989025857</v>
      </c>
      <c r="AB74" s="21">
        <v>28765.723679034749</v>
      </c>
      <c r="AC74" s="21">
        <v>29976.162007053368</v>
      </c>
      <c r="AD74" s="21">
        <v>29854.259774176113</v>
      </c>
      <c r="AE74" s="21">
        <v>29764.794009191111</v>
      </c>
      <c r="AF74" s="21">
        <v>28493.468307353363</v>
      </c>
      <c r="AG74" s="21">
        <v>28161.291437902692</v>
      </c>
    </row>
    <row r="75" spans="1:72" x14ac:dyDescent="0.25">
      <c r="C75" t="s">
        <v>930</v>
      </c>
      <c r="E75" t="s">
        <v>739</v>
      </c>
      <c r="F75" s="21">
        <v>23966.513245185564</v>
      </c>
      <c r="G75" s="21">
        <v>25488.169557235855</v>
      </c>
      <c r="H75" s="21">
        <v>24918.03927597345</v>
      </c>
      <c r="I75" s="21">
        <v>24848.327264592699</v>
      </c>
      <c r="J75" s="21">
        <v>24505.816851306721</v>
      </c>
      <c r="K75" s="21">
        <v>24432.14794095813</v>
      </c>
      <c r="L75" s="21">
        <v>25202.904527562976</v>
      </c>
      <c r="M75" s="21">
        <v>25504.378529824888</v>
      </c>
      <c r="N75" s="21">
        <v>25890.467620410676</v>
      </c>
      <c r="O75" s="21">
        <v>25983.786939397698</v>
      </c>
      <c r="P75" s="21">
        <v>25868.394067579684</v>
      </c>
      <c r="Q75" s="21">
        <v>26002.535902574971</v>
      </c>
      <c r="R75" s="21">
        <v>26531.007410409438</v>
      </c>
      <c r="S75" s="21">
        <v>24775.301428664814</v>
      </c>
      <c r="T75" s="21">
        <v>24381.007267856174</v>
      </c>
      <c r="U75" s="21">
        <v>24606.540158008142</v>
      </c>
      <c r="V75" s="21">
        <v>24681.528992201023</v>
      </c>
      <c r="W75" s="21">
        <v>24370.637912824339</v>
      </c>
      <c r="X75" s="21">
        <v>25360.261324110521</v>
      </c>
      <c r="Y75" s="21">
        <v>24580.116845224002</v>
      </c>
      <c r="Z75" s="21">
        <v>25130.517014652847</v>
      </c>
      <c r="AA75" s="21">
        <v>25304.85592670933</v>
      </c>
      <c r="AB75" s="21">
        <v>24407.03698205229</v>
      </c>
      <c r="AC75" s="21">
        <v>25679.803908205235</v>
      </c>
      <c r="AD75" s="21">
        <v>25935.14594405461</v>
      </c>
      <c r="AE75" s="21">
        <v>24944.276967369409</v>
      </c>
      <c r="AF75" s="21">
        <v>23249.801068831042</v>
      </c>
      <c r="AG75" s="21">
        <v>23515.861940250066</v>
      </c>
    </row>
    <row r="76" spans="1:72" x14ac:dyDescent="0.25">
      <c r="C76" t="s">
        <v>930</v>
      </c>
      <c r="E76" t="s">
        <v>936</v>
      </c>
      <c r="F76" s="21">
        <f>SUM(F74:F75)</f>
        <v>54330.214734850117</v>
      </c>
      <c r="G76" s="21">
        <f t="shared" ref="G76:AG76" si="73">SUM(G74:G75)</f>
        <v>56108.25699056351</v>
      </c>
      <c r="H76" s="21">
        <f t="shared" si="73"/>
        <v>54937.684568753597</v>
      </c>
      <c r="I76" s="21">
        <f t="shared" si="73"/>
        <v>53975.16003226491</v>
      </c>
      <c r="J76" s="21">
        <f t="shared" si="73"/>
        <v>52726.320881267267</v>
      </c>
      <c r="K76" s="21">
        <f t="shared" si="73"/>
        <v>53090.482237606382</v>
      </c>
      <c r="L76" s="21">
        <f t="shared" si="73"/>
        <v>54419.74098206887</v>
      </c>
      <c r="M76" s="21">
        <f t="shared" si="73"/>
        <v>55190.91340759836</v>
      </c>
      <c r="N76" s="21">
        <f t="shared" si="73"/>
        <v>56249.307677880242</v>
      </c>
      <c r="O76" s="21">
        <f t="shared" si="73"/>
        <v>56536.327610997498</v>
      </c>
      <c r="P76" s="21">
        <f t="shared" si="73"/>
        <v>56383.850582609288</v>
      </c>
      <c r="Q76" s="21">
        <f t="shared" si="73"/>
        <v>56342.669429682785</v>
      </c>
      <c r="R76" s="21">
        <f t="shared" si="73"/>
        <v>56393.354615468306</v>
      </c>
      <c r="S76" s="21">
        <f t="shared" si="73"/>
        <v>53763.757103364638</v>
      </c>
      <c r="T76" s="21">
        <f t="shared" si="73"/>
        <v>53152.73847890021</v>
      </c>
      <c r="U76" s="21">
        <f t="shared" si="73"/>
        <v>53413.216568302334</v>
      </c>
      <c r="V76" s="21">
        <f t="shared" si="73"/>
        <v>53392.214654849973</v>
      </c>
      <c r="W76" s="21">
        <f t="shared" si="73"/>
        <v>52324.451038408151</v>
      </c>
      <c r="X76" s="21">
        <f t="shared" si="73"/>
        <v>54488.726977188009</v>
      </c>
      <c r="Y76" s="21">
        <f t="shared" si="73"/>
        <v>53146.931477511214</v>
      </c>
      <c r="Z76" s="21">
        <f t="shared" si="73"/>
        <v>54596.80824805492</v>
      </c>
      <c r="AA76" s="21">
        <f t="shared" si="73"/>
        <v>54845.242915735187</v>
      </c>
      <c r="AB76" s="21">
        <f t="shared" si="73"/>
        <v>53172.760661087043</v>
      </c>
      <c r="AC76" s="21">
        <f t="shared" si="73"/>
        <v>55655.965915258603</v>
      </c>
      <c r="AD76" s="21">
        <f t="shared" si="73"/>
        <v>55789.405718230722</v>
      </c>
      <c r="AE76" s="21">
        <f t="shared" si="73"/>
        <v>54709.070976560521</v>
      </c>
      <c r="AF76" s="21">
        <f t="shared" si="73"/>
        <v>51743.269376184406</v>
      </c>
      <c r="AG76" s="21">
        <f t="shared" si="73"/>
        <v>51677.153378152754</v>
      </c>
    </row>
    <row r="77" spans="1:72" x14ac:dyDescent="0.25">
      <c r="C77" t="s">
        <v>929</v>
      </c>
      <c r="E77" t="s">
        <v>931</v>
      </c>
      <c r="F77" s="21">
        <v>28841.456935165024</v>
      </c>
      <c r="G77" s="21">
        <v>28874.617245415291</v>
      </c>
      <c r="H77" s="21">
        <v>28503.853708721526</v>
      </c>
      <c r="I77" s="21">
        <v>27532.104557575753</v>
      </c>
      <c r="J77" s="21">
        <v>26764.22321356984</v>
      </c>
      <c r="K77" s="21">
        <v>27088.29125785478</v>
      </c>
      <c r="L77" s="21">
        <v>27651.842000083903</v>
      </c>
      <c r="M77" s="21">
        <v>28174.583312846415</v>
      </c>
      <c r="N77" s="21">
        <v>28871.518161673943</v>
      </c>
      <c r="O77" s="21">
        <v>29040.146748956548</v>
      </c>
      <c r="P77" s="21">
        <v>28604.298593734209</v>
      </c>
      <c r="Q77" s="21">
        <v>28439.006817138674</v>
      </c>
      <c r="R77" s="21">
        <v>28158.262684927948</v>
      </c>
      <c r="S77" s="21">
        <v>27538.048485484789</v>
      </c>
      <c r="T77" s="21">
        <v>27384.26705791508</v>
      </c>
      <c r="U77" s="21">
        <v>27326.584253461606</v>
      </c>
      <c r="V77" s="21">
        <v>27258.009133790336</v>
      </c>
      <c r="W77" s="21">
        <v>26600.052385004816</v>
      </c>
      <c r="X77" s="21">
        <v>27439.669575781179</v>
      </c>
      <c r="Y77" s="21">
        <v>26868.002037732236</v>
      </c>
      <c r="Z77" s="21">
        <v>27664.377940114457</v>
      </c>
      <c r="AA77" s="21">
        <v>27801.534910949355</v>
      </c>
      <c r="AB77" s="21">
        <v>27190.794316586092</v>
      </c>
      <c r="AC77" s="21">
        <v>28125.443821791141</v>
      </c>
      <c r="AD77" s="21">
        <v>28132.073619111641</v>
      </c>
      <c r="AE77" s="21">
        <v>28022.596440230893</v>
      </c>
      <c r="AF77" s="21">
        <v>26770.512864029439</v>
      </c>
      <c r="AG77" s="21">
        <v>26272.330661039257</v>
      </c>
    </row>
    <row r="78" spans="1:72" x14ac:dyDescent="0.25">
      <c r="C78" t="s">
        <v>929</v>
      </c>
      <c r="E78" t="s">
        <v>932</v>
      </c>
      <c r="F78" s="21">
        <v>23017.116995923152</v>
      </c>
      <c r="G78" s="21">
        <v>24357.943795318199</v>
      </c>
      <c r="H78" s="21">
        <v>23923.781404274614</v>
      </c>
      <c r="I78" s="21">
        <v>23808.52866974326</v>
      </c>
      <c r="J78" s="21">
        <v>23548.815692626868</v>
      </c>
      <c r="K78" s="21">
        <v>23406.439056039562</v>
      </c>
      <c r="L78" s="21">
        <v>24181.443878145627</v>
      </c>
      <c r="M78" s="21">
        <v>24510.581335681734</v>
      </c>
      <c r="N78" s="21">
        <v>24916.730028994498</v>
      </c>
      <c r="O78" s="21">
        <v>24998.953710091639</v>
      </c>
      <c r="P78" s="21">
        <v>24625.134604822408</v>
      </c>
      <c r="Q78" s="21">
        <v>24764.073774517499</v>
      </c>
      <c r="R78" s="21">
        <v>25420.639847835555</v>
      </c>
      <c r="S78" s="21">
        <v>23846.988468835058</v>
      </c>
      <c r="T78" s="21">
        <v>23504.925758751408</v>
      </c>
      <c r="U78" s="21">
        <v>23672.708379593492</v>
      </c>
      <c r="V78" s="21">
        <v>23765.786841217523</v>
      </c>
      <c r="W78" s="21">
        <v>23512.70116086525</v>
      </c>
      <c r="X78" s="21">
        <v>24252.381704460829</v>
      </c>
      <c r="Y78" s="21">
        <v>23516.503660101647</v>
      </c>
      <c r="Z78" s="21">
        <v>23986.77417374069</v>
      </c>
      <c r="AA78" s="21">
        <v>24215.606096707954</v>
      </c>
      <c r="AB78" s="21">
        <v>23466.796841445379</v>
      </c>
      <c r="AC78" s="21">
        <v>24452.726550481024</v>
      </c>
      <c r="AD78" s="21">
        <v>24798.187695034216</v>
      </c>
      <c r="AE78" s="21">
        <v>23781.729632572271</v>
      </c>
      <c r="AF78" s="21">
        <v>22214.078479972708</v>
      </c>
      <c r="AG78" s="21">
        <v>22369.490596120992</v>
      </c>
    </row>
    <row r="79" spans="1:72" x14ac:dyDescent="0.25">
      <c r="C79" t="s">
        <v>929</v>
      </c>
      <c r="E79" t="s">
        <v>933</v>
      </c>
      <c r="F79" s="21">
        <v>51858.573931088176</v>
      </c>
      <c r="G79" s="21">
        <v>53232.56104073349</v>
      </c>
      <c r="H79" s="21">
        <v>52427.63511299614</v>
      </c>
      <c r="I79" s="21">
        <v>51340.633227319013</v>
      </c>
      <c r="J79" s="21">
        <v>50313.038906196707</v>
      </c>
      <c r="K79" s="21">
        <v>50494.730313894339</v>
      </c>
      <c r="L79" s="21">
        <v>51833.28587822953</v>
      </c>
      <c r="M79" s="21">
        <v>52685.164648528153</v>
      </c>
      <c r="N79" s="21">
        <v>53788.248190668441</v>
      </c>
      <c r="O79" s="21">
        <v>54039.10045904819</v>
      </c>
      <c r="P79" s="21">
        <v>53229.433198556617</v>
      </c>
      <c r="Q79" s="21">
        <v>53203.080591656173</v>
      </c>
      <c r="R79" s="21">
        <v>53578.902532763503</v>
      </c>
      <c r="S79" s="21">
        <v>51385.036954319847</v>
      </c>
      <c r="T79" s="21">
        <v>50889.192816666487</v>
      </c>
      <c r="U79" s="21">
        <v>50999.292633055098</v>
      </c>
      <c r="V79" s="21">
        <v>51023.795975007859</v>
      </c>
      <c r="W79" s="21">
        <v>50112.753545870066</v>
      </c>
      <c r="X79" s="21">
        <v>51692.051280242013</v>
      </c>
      <c r="Y79" s="21">
        <v>50384.505697833883</v>
      </c>
      <c r="Z79" s="21">
        <v>51651.152113855147</v>
      </c>
      <c r="AA79" s="21">
        <v>52017.141007657308</v>
      </c>
      <c r="AB79" s="21">
        <v>50657.591158031471</v>
      </c>
      <c r="AC79" s="21">
        <v>52578.170372272165</v>
      </c>
      <c r="AD79" s="21">
        <v>52930.261314145857</v>
      </c>
      <c r="AE79" s="21">
        <v>51804.32607280316</v>
      </c>
      <c r="AF79" s="21">
        <v>48984.591344002147</v>
      </c>
      <c r="AG79" s="21">
        <v>48641.821257160249</v>
      </c>
    </row>
    <row r="80" spans="1:72" x14ac:dyDescent="0.25">
      <c r="E80" t="s">
        <v>727</v>
      </c>
      <c r="F80" s="57">
        <f>(F73-F76)/F76</f>
        <v>-6.4045440840285739E-2</v>
      </c>
      <c r="G80" s="57">
        <f t="shared" ref="G80:AG80" si="74">(G73-G76)/G76</f>
        <v>-9.4363292067637106E-2</v>
      </c>
      <c r="H80" s="57">
        <f t="shared" si="74"/>
        <v>-8.9443746474139149E-2</v>
      </c>
      <c r="I80" s="57">
        <f t="shared" si="74"/>
        <v>-9.0490278316741182E-2</v>
      </c>
      <c r="J80" s="57">
        <f t="shared" si="74"/>
        <v>-8.8351384137255323E-2</v>
      </c>
      <c r="K80" s="57">
        <f t="shared" si="74"/>
        <v>-9.7350533741556292E-2</v>
      </c>
      <c r="L80" s="57">
        <f t="shared" si="74"/>
        <v>-8.9009931127412775E-2</v>
      </c>
      <c r="M80" s="57">
        <f t="shared" si="74"/>
        <v>-8.7507163727912465E-2</v>
      </c>
      <c r="N80" s="57">
        <f t="shared" si="74"/>
        <v>-9.2787018934469931E-2</v>
      </c>
      <c r="O80" s="57">
        <f t="shared" si="74"/>
        <v>-9.799661403058392E-2</v>
      </c>
      <c r="P80" s="57">
        <f t="shared" si="74"/>
        <v>-0.10572301120904243</v>
      </c>
      <c r="Q80" s="57">
        <f t="shared" si="74"/>
        <v>-0.10818070025604484</v>
      </c>
      <c r="R80" s="57">
        <f t="shared" si="74"/>
        <v>-0.10561792018006667</v>
      </c>
      <c r="S80" s="57">
        <f t="shared" si="74"/>
        <v>-7.7598780611129375E-2</v>
      </c>
      <c r="T80" s="57">
        <f t="shared" si="74"/>
        <v>-7.7463245970024047E-2</v>
      </c>
      <c r="U80" s="57">
        <f t="shared" si="74"/>
        <v>-7.4858260290865147E-2</v>
      </c>
      <c r="V80" s="57">
        <f t="shared" si="74"/>
        <v>-7.7260643448578595E-2</v>
      </c>
      <c r="W80" s="57">
        <f t="shared" si="74"/>
        <v>-3.1975651541170817E-2</v>
      </c>
      <c r="X80" s="57">
        <f t="shared" si="74"/>
        <v>-6.4511250926577557E-2</v>
      </c>
      <c r="Y80" s="57">
        <f t="shared" si="74"/>
        <v>-5.0591207124651746E-2</v>
      </c>
      <c r="Z80" s="57">
        <f t="shared" si="74"/>
        <v>-8.3919487032531173E-2</v>
      </c>
      <c r="AA80" s="57">
        <f t="shared" si="74"/>
        <v>-8.6333980097050636E-2</v>
      </c>
      <c r="AB80" s="57">
        <f t="shared" si="74"/>
        <v>-5.879008362123176E-2</v>
      </c>
      <c r="AC80" s="57">
        <f t="shared" si="74"/>
        <v>-9.8956717012507703E-2</v>
      </c>
      <c r="AD80" s="57">
        <f t="shared" si="74"/>
        <v>-0.10635092345426719</v>
      </c>
      <c r="AE80" s="57">
        <f t="shared" si="74"/>
        <v>-9.8156934703782936E-2</v>
      </c>
      <c r="AF80" s="57">
        <f t="shared" si="74"/>
        <v>-5.8186019801189003E-2</v>
      </c>
      <c r="AG80" s="57">
        <f t="shared" si="74"/>
        <v>-6.6223295744142777E-2</v>
      </c>
    </row>
    <row r="113" spans="1:72" s="19" customFormat="1" ht="15.75" x14ac:dyDescent="0.25">
      <c r="A113" s="17" t="s">
        <v>716</v>
      </c>
      <c r="B113" s="17"/>
      <c r="C113" s="17"/>
      <c r="D113" s="17"/>
      <c r="E113" s="17"/>
      <c r="F113" s="17">
        <v>1990</v>
      </c>
      <c r="G113" s="17">
        <v>1991</v>
      </c>
      <c r="H113" s="17">
        <v>1992</v>
      </c>
      <c r="I113" s="17">
        <v>1993</v>
      </c>
      <c r="J113" s="17">
        <v>1994</v>
      </c>
      <c r="K113" s="17">
        <v>1995</v>
      </c>
      <c r="L113" s="17">
        <v>1996</v>
      </c>
      <c r="M113" s="17">
        <v>1997</v>
      </c>
      <c r="N113" s="17">
        <v>1998</v>
      </c>
      <c r="O113" s="17">
        <v>1999</v>
      </c>
      <c r="P113" s="17">
        <v>2000</v>
      </c>
      <c r="Q113" s="17">
        <v>2001</v>
      </c>
      <c r="R113" s="17">
        <v>2002</v>
      </c>
      <c r="S113" s="17">
        <v>2003</v>
      </c>
      <c r="T113" s="17">
        <v>2004</v>
      </c>
      <c r="U113" s="17">
        <v>2005</v>
      </c>
      <c r="V113" s="17">
        <v>2006</v>
      </c>
      <c r="W113" s="17">
        <v>2007</v>
      </c>
      <c r="X113" s="17">
        <v>2008</v>
      </c>
      <c r="Y113" s="17">
        <v>2009</v>
      </c>
      <c r="Z113" s="17">
        <v>2010</v>
      </c>
      <c r="AA113" s="17">
        <v>2011</v>
      </c>
      <c r="AB113" s="17">
        <v>2012</v>
      </c>
      <c r="AC113" s="17">
        <v>2013</v>
      </c>
      <c r="AD113" s="17">
        <v>2014</v>
      </c>
      <c r="AE113" s="17">
        <v>2015</v>
      </c>
      <c r="AF113" s="17">
        <v>2016</v>
      </c>
      <c r="AG113" s="17">
        <v>2017</v>
      </c>
      <c r="AH113" s="17">
        <v>2018</v>
      </c>
      <c r="AI113" s="17">
        <v>2019</v>
      </c>
      <c r="AJ113" s="17">
        <v>2020</v>
      </c>
      <c r="AK113" s="17">
        <v>2021</v>
      </c>
      <c r="AL113" s="17">
        <v>2022</v>
      </c>
      <c r="AM113" s="17">
        <v>2023</v>
      </c>
      <c r="AN113" s="17">
        <v>2024</v>
      </c>
      <c r="AO113" s="17">
        <v>2025</v>
      </c>
      <c r="AP113" s="17">
        <v>2026</v>
      </c>
      <c r="AQ113" s="17">
        <v>2027</v>
      </c>
      <c r="AR113" s="17">
        <v>2028</v>
      </c>
      <c r="AS113" s="17">
        <v>2029</v>
      </c>
      <c r="AT113" s="17">
        <v>2030</v>
      </c>
      <c r="AU113" s="17">
        <v>2031</v>
      </c>
      <c r="AV113" s="17">
        <v>2032</v>
      </c>
      <c r="AW113" s="17">
        <v>2033</v>
      </c>
      <c r="AX113" s="17">
        <v>2034</v>
      </c>
      <c r="AY113" s="17">
        <v>2035</v>
      </c>
      <c r="AZ113" s="17">
        <v>2036</v>
      </c>
      <c r="BA113" s="17">
        <v>2037</v>
      </c>
      <c r="BB113" s="17">
        <v>2038</v>
      </c>
      <c r="BC113" s="17">
        <v>2039</v>
      </c>
      <c r="BD113" s="17">
        <v>2040</v>
      </c>
      <c r="BE113" s="17">
        <v>2041</v>
      </c>
      <c r="BF113" s="17">
        <v>2042</v>
      </c>
      <c r="BG113" s="17">
        <v>2043</v>
      </c>
      <c r="BH113" s="17">
        <v>2044</v>
      </c>
      <c r="BI113" s="17">
        <v>2045</v>
      </c>
      <c r="BJ113" s="17">
        <v>2046</v>
      </c>
      <c r="BK113" s="17">
        <v>2047</v>
      </c>
      <c r="BL113" s="17">
        <v>2048</v>
      </c>
      <c r="BM113" s="17">
        <v>2049</v>
      </c>
      <c r="BN113" s="17">
        <v>2050</v>
      </c>
      <c r="BO113" s="17"/>
      <c r="BP113" s="17"/>
      <c r="BQ113" s="17"/>
      <c r="BR113" s="17"/>
      <c r="BS113" s="17"/>
      <c r="BT113" s="17"/>
    </row>
    <row r="114" spans="1:72" x14ac:dyDescent="0.25">
      <c r="E114" t="s">
        <v>634</v>
      </c>
      <c r="F114" s="22">
        <v>1113.9523335609101</v>
      </c>
      <c r="G114" s="22">
        <v>1113.9523335609101</v>
      </c>
      <c r="H114" s="22">
        <v>1113.9523335609101</v>
      </c>
      <c r="I114" s="22">
        <v>1113.9523335609101</v>
      </c>
      <c r="J114" s="22">
        <v>1113.9523335609101</v>
      </c>
      <c r="K114" s="22">
        <v>1113.9523335609101</v>
      </c>
      <c r="L114" s="22">
        <v>1113.9523335609101</v>
      </c>
      <c r="M114" s="22">
        <v>1113.9523335609101</v>
      </c>
      <c r="N114" s="22">
        <v>1113.9523335609101</v>
      </c>
      <c r="O114" s="22">
        <v>1113.9523335609101</v>
      </c>
      <c r="P114" s="22">
        <v>1103.4776992955053</v>
      </c>
      <c r="Q114" s="22">
        <v>1282.5517441798665</v>
      </c>
      <c r="R114" s="22">
        <v>1288.9176046937982</v>
      </c>
      <c r="S114" s="22">
        <v>1011.4345809085878</v>
      </c>
      <c r="T114" s="22">
        <v>883.38003872679235</v>
      </c>
      <c r="U114" s="22">
        <v>1412.334298727088</v>
      </c>
      <c r="V114" s="22">
        <v>1236.8838978672777</v>
      </c>
      <c r="W114" s="22">
        <v>1218.5771221263838</v>
      </c>
      <c r="X114" s="22">
        <v>1139.8644942847</v>
      </c>
      <c r="Y114" s="22">
        <v>1078.8713756473658</v>
      </c>
      <c r="Z114" s="22">
        <v>1107.055106514</v>
      </c>
      <c r="AA114" s="22">
        <v>1093.3943713178221</v>
      </c>
      <c r="AB114" s="22">
        <v>1003.5637069444559</v>
      </c>
      <c r="AC114" s="22">
        <v>949.58031288518987</v>
      </c>
      <c r="AD114" s="22">
        <v>1016.956735075512</v>
      </c>
      <c r="AE114" s="22">
        <v>737.86776841461585</v>
      </c>
      <c r="AF114" s="22">
        <v>446.18919850209591</v>
      </c>
      <c r="AG114" s="22">
        <v>416.70692080806589</v>
      </c>
      <c r="AH114" s="22">
        <v>953.41633153144642</v>
      </c>
      <c r="AI114" s="22">
        <v>949.15511278249028</v>
      </c>
      <c r="AJ114" s="22">
        <v>936.84581085219077</v>
      </c>
      <c r="AK114" s="22">
        <v>923.04801254060374</v>
      </c>
      <c r="AL114" s="22">
        <v>923.83086633988489</v>
      </c>
      <c r="AM114" s="22">
        <v>927.35133953171032</v>
      </c>
      <c r="AN114" s="22">
        <v>905.10328771083891</v>
      </c>
      <c r="AO114" s="22">
        <v>888.09961309554592</v>
      </c>
      <c r="AP114" s="22">
        <v>872.75163677437502</v>
      </c>
      <c r="AQ114" s="22">
        <v>857.75800408852626</v>
      </c>
      <c r="AR114" s="22">
        <v>850.61092272546864</v>
      </c>
      <c r="AS114" s="22">
        <v>840.04010457174638</v>
      </c>
      <c r="AT114" s="22">
        <v>828.99691103493274</v>
      </c>
      <c r="AU114" s="22">
        <v>823.86011211605364</v>
      </c>
      <c r="AV114" s="22">
        <v>820.57662159257097</v>
      </c>
      <c r="AW114" s="22">
        <v>817.40761700308474</v>
      </c>
      <c r="AX114" s="22">
        <v>825.66666083675238</v>
      </c>
      <c r="AY114" s="22">
        <v>847.83925712437895</v>
      </c>
      <c r="AZ114" s="22">
        <v>872.92498755693396</v>
      </c>
      <c r="BA114" s="22">
        <v>868.57139706063037</v>
      </c>
      <c r="BB114" s="22">
        <v>864.20568430768526</v>
      </c>
      <c r="BC114" s="22">
        <v>860.27723737280223</v>
      </c>
      <c r="BD114" s="22">
        <v>856.87697424917883</v>
      </c>
      <c r="BE114" s="22">
        <v>853.2172938983382</v>
      </c>
      <c r="BF114" s="22">
        <v>849.16257657644303</v>
      </c>
      <c r="BG114" s="22">
        <v>846.10063420939923</v>
      </c>
      <c r="BH114" s="22">
        <v>843.78828540199515</v>
      </c>
      <c r="BI114" s="22">
        <v>842.18087202380002</v>
      </c>
      <c r="BJ114" s="22">
        <v>841.31426607401693</v>
      </c>
      <c r="BK114" s="22">
        <v>840.76910455168797</v>
      </c>
      <c r="BL114" s="22">
        <v>840.78400975380032</v>
      </c>
      <c r="BM114" s="22">
        <v>841.40450616562623</v>
      </c>
      <c r="BN114" s="22">
        <v>842.3577371508793</v>
      </c>
    </row>
    <row r="115" spans="1:72" x14ac:dyDescent="0.25">
      <c r="E115" t="s">
        <v>635</v>
      </c>
      <c r="F115" s="22">
        <v>1149.3522600947301</v>
      </c>
      <c r="G115" s="22">
        <v>1149.3522600947301</v>
      </c>
      <c r="H115" s="22">
        <v>1149.3522600947301</v>
      </c>
      <c r="I115" s="22">
        <v>1149.3522600947301</v>
      </c>
      <c r="J115" s="22">
        <v>1149.3522600947301</v>
      </c>
      <c r="K115" s="22">
        <v>1149.3522600947301</v>
      </c>
      <c r="L115" s="22">
        <v>1149.3522600947301</v>
      </c>
      <c r="M115" s="22">
        <v>1149.3522600947301</v>
      </c>
      <c r="N115" s="22">
        <v>1149.3522600947301</v>
      </c>
      <c r="O115" s="22">
        <v>1149.3522600947301</v>
      </c>
      <c r="P115" s="22">
        <v>1138.2881924240246</v>
      </c>
      <c r="Q115" s="22">
        <v>1347.8625366593228</v>
      </c>
      <c r="R115" s="22">
        <v>1328.3690110437451</v>
      </c>
      <c r="S115" s="22">
        <v>1017.5651134275211</v>
      </c>
      <c r="T115" s="22">
        <v>914.67644691903695</v>
      </c>
      <c r="U115" s="22">
        <v>1447.9112474339306</v>
      </c>
      <c r="V115" s="22">
        <v>1263.4019893034997</v>
      </c>
      <c r="W115" s="22">
        <v>1217.4357899565925</v>
      </c>
      <c r="X115" s="22">
        <v>1180.1818937292605</v>
      </c>
      <c r="Y115" s="22">
        <v>1108.1395844539597</v>
      </c>
      <c r="Z115" s="22">
        <v>1121.7567904983002</v>
      </c>
      <c r="AA115" s="22">
        <v>1111.0832034573957</v>
      </c>
      <c r="AB115" s="22">
        <v>1002.2217969563279</v>
      </c>
      <c r="AC115" s="22">
        <v>980.55948658247996</v>
      </c>
      <c r="AD115" s="22">
        <v>1029.1314860411758</v>
      </c>
      <c r="AE115" s="22">
        <v>747.9095108761079</v>
      </c>
      <c r="AF115" s="22">
        <v>434.96704823788798</v>
      </c>
      <c r="AG115" s="22">
        <v>408.31943255002801</v>
      </c>
      <c r="AH115" s="22">
        <v>989.03967398644897</v>
      </c>
      <c r="AI115" s="22">
        <v>983.28512705702065</v>
      </c>
      <c r="AJ115" s="22">
        <v>967.27577435076694</v>
      </c>
      <c r="AK115" s="22">
        <v>951.32589869564811</v>
      </c>
      <c r="AL115" s="22">
        <v>951.82222399409432</v>
      </c>
      <c r="AM115" s="22">
        <v>954.41954409596531</v>
      </c>
      <c r="AN115" s="22">
        <v>930.44926853734853</v>
      </c>
      <c r="AO115" s="22">
        <v>912.78960790996337</v>
      </c>
      <c r="AP115" s="22">
        <v>898.22919868546933</v>
      </c>
      <c r="AQ115" s="22">
        <v>882.09325874190063</v>
      </c>
      <c r="AR115" s="22">
        <v>873.40235457932522</v>
      </c>
      <c r="AS115" s="22">
        <v>862.31073006877352</v>
      </c>
      <c r="AT115" s="22">
        <v>850.85907023504603</v>
      </c>
      <c r="AU115" s="22">
        <v>845.85323510737715</v>
      </c>
      <c r="AV115" s="22">
        <v>841.5016547924979</v>
      </c>
      <c r="AW115" s="22">
        <v>837.08693229819619</v>
      </c>
      <c r="AX115" s="22">
        <v>844.96547356760379</v>
      </c>
      <c r="AY115" s="22">
        <v>868.20013695114835</v>
      </c>
      <c r="AZ115" s="22">
        <v>894.24675120583186</v>
      </c>
      <c r="BA115" s="22">
        <v>889.12106883561182</v>
      </c>
      <c r="BB115" s="22">
        <v>884.02389968930368</v>
      </c>
      <c r="BC115" s="22">
        <v>879.52937488119107</v>
      </c>
      <c r="BD115" s="22">
        <v>875.64808458729772</v>
      </c>
      <c r="BE115" s="22">
        <v>871.49158854939481</v>
      </c>
      <c r="BF115" s="22">
        <v>866.96291161788429</v>
      </c>
      <c r="BG115" s="22">
        <v>863.4900838991623</v>
      </c>
      <c r="BH115" s="22">
        <v>860.78270440740164</v>
      </c>
      <c r="BI115" s="22">
        <v>858.70396634124506</v>
      </c>
      <c r="BJ115" s="22">
        <v>857.40507988521222</v>
      </c>
      <c r="BK115" s="22">
        <v>856.48577373147191</v>
      </c>
      <c r="BL115" s="22">
        <v>856.13590414360988</v>
      </c>
      <c r="BM115" s="22">
        <v>856.39584520938138</v>
      </c>
      <c r="BN115" s="22">
        <v>856.95995783585226</v>
      </c>
    </row>
    <row r="116" spans="1:72" x14ac:dyDescent="0.25">
      <c r="E116" t="s">
        <v>113</v>
      </c>
      <c r="F116" s="22">
        <v>357.5</v>
      </c>
      <c r="G116" s="22">
        <v>378.125</v>
      </c>
      <c r="H116" s="22">
        <v>261.25</v>
      </c>
      <c r="I116" s="22">
        <v>412.5</v>
      </c>
      <c r="J116" s="22">
        <v>595.58170833333327</v>
      </c>
      <c r="K116" s="22">
        <v>473.34145833333332</v>
      </c>
      <c r="L116" s="22">
        <v>579.13625000000002</v>
      </c>
      <c r="M116" s="22">
        <v>547.24312499999996</v>
      </c>
      <c r="N116" s="22">
        <v>570.31379166666659</v>
      </c>
      <c r="O116" s="22">
        <v>567.03808333333325</v>
      </c>
      <c r="P116" s="22">
        <v>378.2405</v>
      </c>
      <c r="Q116" s="22">
        <v>489.66362500000002</v>
      </c>
      <c r="R116" s="22">
        <v>672.79437500000006</v>
      </c>
      <c r="S116" s="22">
        <v>580.13175000000001</v>
      </c>
      <c r="T116" s="22">
        <v>579.7403333333333</v>
      </c>
      <c r="U116" s="22">
        <v>266.03683333333333</v>
      </c>
      <c r="V116" s="22">
        <v>441.42908333333332</v>
      </c>
      <c r="W116" s="22">
        <v>521.42108333333329</v>
      </c>
      <c r="X116" s="22">
        <v>655.32637499999998</v>
      </c>
      <c r="Y116" s="22">
        <v>695.56775237855516</v>
      </c>
      <c r="Z116" s="22">
        <v>653.23730656422072</v>
      </c>
      <c r="AA116" s="22">
        <v>722.61220387104663</v>
      </c>
      <c r="AB116" s="22">
        <v>829.6141641239476</v>
      </c>
      <c r="AC116" s="22">
        <v>749.65665536353811</v>
      </c>
      <c r="AD116" s="22">
        <v>773.17356970483502</v>
      </c>
      <c r="AE116" s="22">
        <v>780.22864400722403</v>
      </c>
      <c r="AF116" s="22">
        <v>982.47410734237747</v>
      </c>
      <c r="AG116" s="22">
        <v>1218.2311736138793</v>
      </c>
      <c r="AH116" s="22">
        <v>811.87988683203434</v>
      </c>
      <c r="AI116" s="22">
        <v>828.16067939806783</v>
      </c>
      <c r="AJ116" s="22">
        <v>843.63256429682531</v>
      </c>
      <c r="AK116" s="22">
        <v>859.17385233712901</v>
      </c>
      <c r="AL116" s="22">
        <v>874.71514028200966</v>
      </c>
      <c r="AM116" s="22">
        <v>890.25642822689031</v>
      </c>
      <c r="AN116" s="22">
        <v>905.79771617177096</v>
      </c>
      <c r="AO116" s="22">
        <v>921.33900421207466</v>
      </c>
      <c r="AP116" s="22">
        <v>937.31140020964233</v>
      </c>
      <c r="AQ116" s="22">
        <v>953.28379620720989</v>
      </c>
      <c r="AR116" s="22">
        <v>969.25619220477756</v>
      </c>
      <c r="AS116" s="22">
        <v>985.22858820234535</v>
      </c>
      <c r="AT116" s="22">
        <v>1001.2009841999131</v>
      </c>
      <c r="AU116" s="22">
        <v>1016.9832349872023</v>
      </c>
      <c r="AV116" s="22">
        <v>1032.7654856790691</v>
      </c>
      <c r="AW116" s="22">
        <v>1048.5477364663586</v>
      </c>
      <c r="AX116" s="22">
        <v>1064.3299871582253</v>
      </c>
      <c r="AY116" s="22">
        <v>1080.1122378500922</v>
      </c>
      <c r="AZ116" s="22">
        <v>1096.1072036429516</v>
      </c>
      <c r="BA116" s="22">
        <v>1112.1021694358108</v>
      </c>
      <c r="BB116" s="22">
        <v>1128.0971351332469</v>
      </c>
      <c r="BC116" s="22">
        <v>1144.092100926106</v>
      </c>
      <c r="BD116" s="22">
        <v>1160.0870667189654</v>
      </c>
      <c r="BE116" s="22">
        <v>1176.8778874608386</v>
      </c>
      <c r="BF116" s="22">
        <v>1193.6687081072885</v>
      </c>
      <c r="BG116" s="22">
        <v>1210.4595288491616</v>
      </c>
      <c r="BH116" s="22">
        <v>1227.2503495910348</v>
      </c>
      <c r="BI116" s="22">
        <v>1244.0411703329078</v>
      </c>
      <c r="BJ116" s="22">
        <v>1260.6054327894071</v>
      </c>
      <c r="BK116" s="22">
        <v>1277.169695245907</v>
      </c>
      <c r="BL116" s="22">
        <v>1293.7339577978294</v>
      </c>
      <c r="BM116" s="22">
        <v>1310.2982202543287</v>
      </c>
      <c r="BN116" s="22">
        <v>1326.8624827108285</v>
      </c>
    </row>
    <row r="117" spans="1:72" x14ac:dyDescent="0.25">
      <c r="E117" t="s">
        <v>636</v>
      </c>
      <c r="F117" s="22">
        <v>90.994567483487728</v>
      </c>
      <c r="G117" s="22">
        <v>111.62690198838213</v>
      </c>
      <c r="H117" s="22">
        <v>132.25923649327655</v>
      </c>
      <c r="I117" s="22">
        <v>152.89157099816552</v>
      </c>
      <c r="J117" s="22">
        <v>173.52390550305992</v>
      </c>
      <c r="K117" s="22">
        <v>194.15624000795432</v>
      </c>
      <c r="L117" s="22">
        <v>214.78857451284878</v>
      </c>
      <c r="M117" s="22">
        <v>235.42090901774316</v>
      </c>
      <c r="N117" s="22">
        <v>256.05324352263762</v>
      </c>
      <c r="O117" s="22">
        <v>276.68557802753202</v>
      </c>
      <c r="P117" s="22">
        <v>297.31791253242642</v>
      </c>
      <c r="Q117" s="22">
        <v>317.95024703732088</v>
      </c>
      <c r="R117" s="22">
        <v>338.58258154220977</v>
      </c>
      <c r="S117" s="22">
        <v>359.21491604710423</v>
      </c>
      <c r="T117" s="22">
        <v>435.89846666666671</v>
      </c>
      <c r="U117" s="22">
        <v>355.08659999999998</v>
      </c>
      <c r="V117" s="22">
        <v>393.08573333333334</v>
      </c>
      <c r="W117" s="22">
        <v>484.55366666666663</v>
      </c>
      <c r="X117" s="22">
        <v>480.19253333333336</v>
      </c>
      <c r="Y117" s="22">
        <v>380.54426666666666</v>
      </c>
      <c r="Z117" s="22">
        <v>501.48046666666664</v>
      </c>
      <c r="AA117" s="22">
        <v>571.19113333333337</v>
      </c>
      <c r="AB117" s="22">
        <v>587.22106666666662</v>
      </c>
      <c r="AC117" s="22">
        <v>533.06336966666674</v>
      </c>
      <c r="AD117" s="22">
        <v>663.77159200000006</v>
      </c>
      <c r="AE117" s="22">
        <v>486.09938600666663</v>
      </c>
      <c r="AF117" s="22">
        <v>643.60119999999995</v>
      </c>
      <c r="AG117" s="22">
        <v>679.61446666666666</v>
      </c>
      <c r="AH117" s="22">
        <v>581.01044193354528</v>
      </c>
      <c r="AI117" s="22">
        <v>596.09913131599728</v>
      </c>
      <c r="AJ117" s="22">
        <v>610.43814242074211</v>
      </c>
      <c r="AK117" s="22">
        <v>624.84147486861002</v>
      </c>
      <c r="AL117" s="22">
        <v>639.24480722804208</v>
      </c>
      <c r="AM117" s="22">
        <v>653.64813958747379</v>
      </c>
      <c r="AN117" s="22">
        <v>668.05147194690596</v>
      </c>
      <c r="AO117" s="22">
        <v>682.45480439477376</v>
      </c>
      <c r="AP117" s="22">
        <v>697.25767845163148</v>
      </c>
      <c r="AQ117" s="22">
        <v>712.06055250848885</v>
      </c>
      <c r="AR117" s="22">
        <v>726.86342656534669</v>
      </c>
      <c r="AS117" s="22">
        <v>741.66630062220418</v>
      </c>
      <c r="AT117" s="22">
        <v>756.46917467906189</v>
      </c>
      <c r="AU117" s="22">
        <v>771.09582623300321</v>
      </c>
      <c r="AV117" s="22">
        <v>785.72247769850878</v>
      </c>
      <c r="AW117" s="22">
        <v>800.34912925244987</v>
      </c>
      <c r="AX117" s="22">
        <v>814.97578071795544</v>
      </c>
      <c r="AY117" s="22">
        <v>829.60243218346091</v>
      </c>
      <c r="AZ117" s="22">
        <v>844.42622344254914</v>
      </c>
      <c r="BA117" s="22">
        <v>859.2500147016375</v>
      </c>
      <c r="BB117" s="22">
        <v>874.07380587229011</v>
      </c>
      <c r="BC117" s="22">
        <v>888.89759713137823</v>
      </c>
      <c r="BD117" s="22">
        <v>903.72138839046647</v>
      </c>
      <c r="BE117" s="22">
        <v>919.28276094791306</v>
      </c>
      <c r="BF117" s="22">
        <v>934.8441334169238</v>
      </c>
      <c r="BG117" s="22">
        <v>950.40550597437027</v>
      </c>
      <c r="BH117" s="22">
        <v>965.96687853181686</v>
      </c>
      <c r="BI117" s="22">
        <v>981.52825108926322</v>
      </c>
      <c r="BJ117" s="22">
        <v>996.87965428673249</v>
      </c>
      <c r="BK117" s="22">
        <v>1012.231057484201</v>
      </c>
      <c r="BL117" s="22">
        <v>1027.5824607701059</v>
      </c>
      <c r="BM117" s="22">
        <v>1042.9338639675743</v>
      </c>
      <c r="BN117" s="22">
        <v>1058.2852671650435</v>
      </c>
    </row>
    <row r="118" spans="1:72" x14ac:dyDescent="0.25">
      <c r="E118" t="s">
        <v>637</v>
      </c>
      <c r="F118" s="22">
        <v>19504.904423790304</v>
      </c>
      <c r="G118" s="22">
        <v>20660.917389673377</v>
      </c>
      <c r="H118" s="22">
        <v>20413.635505827424</v>
      </c>
      <c r="I118" s="22">
        <v>20401.840953256564</v>
      </c>
      <c r="J118" s="22">
        <v>20005.189321068094</v>
      </c>
      <c r="K118" s="22">
        <v>19413.178172066404</v>
      </c>
      <c r="L118" s="22">
        <v>20236.165839433314</v>
      </c>
      <c r="M118" s="22">
        <v>20567.076909773743</v>
      </c>
      <c r="N118" s="22">
        <v>20477.475675482336</v>
      </c>
      <c r="O118" s="22">
        <v>20440.765105122711</v>
      </c>
      <c r="P118" s="22">
        <v>20694.986539568359</v>
      </c>
      <c r="Q118" s="22">
        <v>19970.885013290266</v>
      </c>
      <c r="R118" s="22">
        <v>20364.171552574975</v>
      </c>
      <c r="S118" s="22">
        <v>20058.54412967978</v>
      </c>
      <c r="T118" s="22">
        <v>19708.290781864089</v>
      </c>
      <c r="U118" s="22">
        <v>19400.216324542769</v>
      </c>
      <c r="V118" s="22">
        <v>19051.161605532838</v>
      </c>
      <c r="W118" s="22">
        <v>19933.38774514115</v>
      </c>
      <c r="X118" s="22">
        <v>20282.655015129261</v>
      </c>
      <c r="Y118" s="22">
        <v>20068.349414068991</v>
      </c>
      <c r="Z118" s="22">
        <v>19848.964864156231</v>
      </c>
      <c r="AA118" s="22">
        <v>19725.318772611696</v>
      </c>
      <c r="AB118" s="22">
        <v>20225.965895215482</v>
      </c>
      <c r="AC118" s="22">
        <v>20168.260387452727</v>
      </c>
      <c r="AD118" s="22">
        <v>20134.219305294246</v>
      </c>
      <c r="AE118" s="22">
        <v>19667.183224832243</v>
      </c>
      <c r="AF118" s="22">
        <v>18969.40439195502</v>
      </c>
      <c r="AG118" s="22">
        <v>19186.386775060691</v>
      </c>
      <c r="AH118" s="22">
        <v>19753.029018517012</v>
      </c>
      <c r="AI118" s="22">
        <v>19783.906857628604</v>
      </c>
      <c r="AJ118" s="22">
        <v>19779.701574173283</v>
      </c>
      <c r="AK118" s="22">
        <v>19778.904215576487</v>
      </c>
      <c r="AL118" s="22">
        <v>19777.995181996146</v>
      </c>
      <c r="AM118" s="22">
        <v>19776.984421077901</v>
      </c>
      <c r="AN118" s="22">
        <v>19775.880594293696</v>
      </c>
      <c r="AO118" s="22">
        <v>19774.691289095183</v>
      </c>
      <c r="AP118" s="22">
        <v>19775.119562820179</v>
      </c>
      <c r="AQ118" s="22">
        <v>19775.477408932729</v>
      </c>
      <c r="AR118" s="22">
        <v>19775.769943136052</v>
      </c>
      <c r="AS118" s="22">
        <v>19776.001736032402</v>
      </c>
      <c r="AT118" s="22">
        <v>19776.176888033733</v>
      </c>
      <c r="AU118" s="22">
        <v>19775.548399840234</v>
      </c>
      <c r="AV118" s="22">
        <v>19774.869408512444</v>
      </c>
      <c r="AW118" s="22">
        <v>19774.142986120893</v>
      </c>
      <c r="AX118" s="22">
        <v>19773.371926377677</v>
      </c>
      <c r="AY118" s="22">
        <v>19772.558779923431</v>
      </c>
      <c r="AZ118" s="22">
        <v>19772.548026839973</v>
      </c>
      <c r="BA118" s="22">
        <v>19772.500515214859</v>
      </c>
      <c r="BB118" s="22">
        <v>19772.418179134187</v>
      </c>
      <c r="BC118" s="22">
        <v>19772.302803273826</v>
      </c>
      <c r="BD118" s="22">
        <v>19772.156036103148</v>
      </c>
      <c r="BE118" s="22">
        <v>19775.137703889606</v>
      </c>
      <c r="BF118" s="22">
        <v>19778.093650274055</v>
      </c>
      <c r="BG118" s="22">
        <v>19781.025091887313</v>
      </c>
      <c r="BH118" s="22">
        <v>19783.933160775436</v>
      </c>
      <c r="BI118" s="22">
        <v>19786.818913472423</v>
      </c>
      <c r="BJ118" s="22">
        <v>19788.782445242443</v>
      </c>
      <c r="BK118" s="22">
        <v>19790.724893801369</v>
      </c>
      <c r="BL118" s="22">
        <v>19792.647148841716</v>
      </c>
      <c r="BM118" s="22">
        <v>19794.550044580425</v>
      </c>
      <c r="BN118" s="22">
        <v>19796.434366442383</v>
      </c>
    </row>
    <row r="119" spans="1:72" x14ac:dyDescent="0.25">
      <c r="E119" t="s">
        <v>639</v>
      </c>
      <c r="F119" s="22">
        <v>2388.0102035123605</v>
      </c>
      <c r="G119" s="22">
        <v>2422.3649563517615</v>
      </c>
      <c r="H119" s="22">
        <v>2366.0160295258652</v>
      </c>
      <c r="I119" s="22">
        <v>2332.024314033295</v>
      </c>
      <c r="J119" s="22">
        <v>2269.8856393890724</v>
      </c>
      <c r="K119" s="22">
        <v>2257.3551747657566</v>
      </c>
      <c r="L119" s="22">
        <v>2332.8794219128258</v>
      </c>
      <c r="M119" s="22">
        <v>2353.4608848045295</v>
      </c>
      <c r="N119" s="22">
        <v>2375.1086873788704</v>
      </c>
      <c r="O119" s="22">
        <v>2369.8122167060246</v>
      </c>
      <c r="P119" s="22">
        <v>2379.1334621159244</v>
      </c>
      <c r="Q119" s="22">
        <v>2332.4757077458062</v>
      </c>
      <c r="R119" s="22">
        <v>2352.5031586422174</v>
      </c>
      <c r="S119" s="22">
        <v>2317.0522227606916</v>
      </c>
      <c r="T119" s="22">
        <v>2291.1004488983099</v>
      </c>
      <c r="U119" s="22">
        <v>2260.716684821874</v>
      </c>
      <c r="V119" s="22">
        <v>2276.1004128580194</v>
      </c>
      <c r="W119" s="22">
        <v>2334.5451499588221</v>
      </c>
      <c r="X119" s="22">
        <v>2364.8401504898161</v>
      </c>
      <c r="Y119" s="22">
        <v>2357.3087175615215</v>
      </c>
      <c r="Z119" s="22">
        <v>2316.7336232801035</v>
      </c>
      <c r="AA119" s="22">
        <v>2313.3914976011652</v>
      </c>
      <c r="AB119" s="22">
        <v>2334.0985551108756</v>
      </c>
      <c r="AC119" s="22">
        <v>2348.8400209329502</v>
      </c>
      <c r="AD119" s="22">
        <v>2344.4692750460258</v>
      </c>
      <c r="AE119" s="22">
        <v>2299.7650755104332</v>
      </c>
      <c r="AF119" s="22">
        <v>2252.6390591444524</v>
      </c>
      <c r="AG119" s="22">
        <v>2235.452591217253</v>
      </c>
      <c r="AH119" s="22">
        <v>2318.6708655488487</v>
      </c>
      <c r="AI119" s="22">
        <v>2326.0988391477244</v>
      </c>
      <c r="AJ119" s="22">
        <v>2329.177625426456</v>
      </c>
      <c r="AK119" s="22">
        <v>2333.0242915983672</v>
      </c>
      <c r="AL119" s="22">
        <v>2336.8440320658519</v>
      </c>
      <c r="AM119" s="22">
        <v>2340.639256805041</v>
      </c>
      <c r="AN119" s="22">
        <v>2344.4120677609794</v>
      </c>
      <c r="AO119" s="22">
        <v>2348.1643090770926</v>
      </c>
      <c r="AP119" s="22">
        <v>2352.2228962152631</v>
      </c>
      <c r="AQ119" s="22">
        <v>2356.2646437004828</v>
      </c>
      <c r="AR119" s="22">
        <v>2360.2907919866634</v>
      </c>
      <c r="AS119" s="22">
        <v>2364.3024503005117</v>
      </c>
      <c r="AT119" s="22">
        <v>2368.3006144703381</v>
      </c>
      <c r="AU119" s="22">
        <v>2372.1420454436102</v>
      </c>
      <c r="AV119" s="22">
        <v>2375.9714551742882</v>
      </c>
      <c r="AW119" s="22">
        <v>2379.7895929910815</v>
      </c>
      <c r="AX119" s="22">
        <v>2383.5971404881425</v>
      </c>
      <c r="AY119" s="22">
        <v>2387.3947198876349</v>
      </c>
      <c r="AZ119" s="22">
        <v>2391.3447618385985</v>
      </c>
      <c r="BA119" s="22">
        <v>2395.2861478850841</v>
      </c>
      <c r="BB119" s="22">
        <v>2399.2193476668131</v>
      </c>
      <c r="BC119" s="22">
        <v>2403.1447942638629</v>
      </c>
      <c r="BD119" s="22">
        <v>2407.0628875054431</v>
      </c>
      <c r="BE119" s="22">
        <v>2411.5815060623418</v>
      </c>
      <c r="BF119" s="22">
        <v>2416.0941731688263</v>
      </c>
      <c r="BG119" s="22">
        <v>2420.6011787744819</v>
      </c>
      <c r="BH119" s="22">
        <v>2425.1027925074882</v>
      </c>
      <c r="BI119" s="22">
        <v>2429.5992657799802</v>
      </c>
      <c r="BJ119" s="22">
        <v>2433.9174402150056</v>
      </c>
      <c r="BK119" s="22">
        <v>2438.2307601014945</v>
      </c>
      <c r="BL119" s="22">
        <v>2442.5394374527291</v>
      </c>
      <c r="BM119" s="22">
        <v>2446.8436708840272</v>
      </c>
      <c r="BN119" s="22">
        <v>2451.1436471198567</v>
      </c>
    </row>
    <row r="120" spans="1:72" x14ac:dyDescent="0.25">
      <c r="E120" t="s">
        <v>638</v>
      </c>
      <c r="F120" s="22">
        <v>343.10330161578099</v>
      </c>
      <c r="G120" s="22">
        <v>365.58614133033353</v>
      </c>
      <c r="H120" s="22">
        <v>339.91114682728761</v>
      </c>
      <c r="I120" s="22">
        <v>352.62601984444137</v>
      </c>
      <c r="J120" s="22">
        <v>336.24824053022888</v>
      </c>
      <c r="K120" s="22">
        <v>354.90652971327108</v>
      </c>
      <c r="L120" s="22">
        <v>370.7282945162878</v>
      </c>
      <c r="M120" s="22">
        <v>367.33263044382841</v>
      </c>
      <c r="N120" s="22">
        <v>376.31467332854538</v>
      </c>
      <c r="O120" s="22">
        <v>380.26274683162796</v>
      </c>
      <c r="P120" s="22">
        <v>420.72277135231604</v>
      </c>
      <c r="Q120" s="22">
        <v>418.37207720994593</v>
      </c>
      <c r="R120" s="22">
        <v>406.12517665445523</v>
      </c>
      <c r="S120" s="22">
        <v>385.62180744131297</v>
      </c>
      <c r="T120" s="22">
        <v>383.11027791084422</v>
      </c>
      <c r="U120" s="22">
        <v>402.62502084090437</v>
      </c>
      <c r="V120" s="22">
        <v>407.68948429226828</v>
      </c>
      <c r="W120" s="22">
        <v>415.77221135959962</v>
      </c>
      <c r="X120" s="22">
        <v>450.38785912632164</v>
      </c>
      <c r="Y120" s="22">
        <v>447.90280780802436</v>
      </c>
      <c r="Z120" s="22">
        <v>450.47531382738657</v>
      </c>
      <c r="AA120" s="22">
        <v>455.70252815125627</v>
      </c>
      <c r="AB120" s="22">
        <v>454.2990120208886</v>
      </c>
      <c r="AC120" s="22">
        <v>467.1027930484243</v>
      </c>
      <c r="AD120" s="22">
        <v>463.97224881283108</v>
      </c>
      <c r="AE120" s="22">
        <v>471.70799949786652</v>
      </c>
      <c r="AF120" s="22">
        <v>471.14622162385422</v>
      </c>
      <c r="AG120" s="22">
        <v>483.13167606001025</v>
      </c>
      <c r="AH120" s="22">
        <v>468.97422378872818</v>
      </c>
      <c r="AI120" s="22">
        <v>475.2249218374152</v>
      </c>
      <c r="AJ120" s="22">
        <v>478.65003949368145</v>
      </c>
      <c r="AK120" s="22">
        <v>483.65498664992003</v>
      </c>
      <c r="AL120" s="22">
        <v>488.60759728253828</v>
      </c>
      <c r="AM120" s="22">
        <v>493.5128571299885</v>
      </c>
      <c r="AN120" s="22">
        <v>498.37510389742414</v>
      </c>
      <c r="AO120" s="22">
        <v>503.19813309399137</v>
      </c>
      <c r="AP120" s="22">
        <v>508.15424956126054</v>
      </c>
      <c r="AQ120" s="22">
        <v>513.07909238907621</v>
      </c>
      <c r="AR120" s="22">
        <v>517.97517053522256</v>
      </c>
      <c r="AS120" s="22">
        <v>522.84471928557002</v>
      </c>
      <c r="AT120" s="22">
        <v>527.6897377871494</v>
      </c>
      <c r="AU120" s="22">
        <v>532.43584846049509</v>
      </c>
      <c r="AV120" s="22">
        <v>537.16025527304782</v>
      </c>
      <c r="AW120" s="22">
        <v>541.86445238147269</v>
      </c>
      <c r="AX120" s="22">
        <v>546.54979385461331</v>
      </c>
      <c r="AY120" s="22">
        <v>551.21751045982899</v>
      </c>
      <c r="AZ120" s="22">
        <v>555.95546154582189</v>
      </c>
      <c r="BA120" s="22">
        <v>560.67847366596118</v>
      </c>
      <c r="BB120" s="22">
        <v>565.38745674669474</v>
      </c>
      <c r="BC120" s="22">
        <v>570.0832456614994</v>
      </c>
      <c r="BD120" s="22">
        <v>574.76660781803753</v>
      </c>
      <c r="BE120" s="22">
        <v>579.76740432819008</v>
      </c>
      <c r="BF120" s="22">
        <v>584.75875710576554</v>
      </c>
      <c r="BG120" s="22">
        <v>589.74119153472066</v>
      </c>
      <c r="BH120" s="22">
        <v>594.71519356554461</v>
      </c>
      <c r="BI120" s="22">
        <v>599.68121356374206</v>
      </c>
      <c r="BJ120" s="22">
        <v>604.54493484405009</v>
      </c>
      <c r="BK120" s="22">
        <v>609.40109743030723</v>
      </c>
      <c r="BL120" s="22">
        <v>614.25008012470573</v>
      </c>
      <c r="BM120" s="22">
        <v>619.09223605574277</v>
      </c>
      <c r="BN120" s="22">
        <v>623.92789508309704</v>
      </c>
    </row>
    <row r="121" spans="1:72" x14ac:dyDescent="0.25">
      <c r="E121" t="s">
        <v>740</v>
      </c>
      <c r="F121">
        <v>1114.2730572677472</v>
      </c>
      <c r="G121">
        <v>1114.2730572677472</v>
      </c>
      <c r="H121">
        <v>1114.2730572677472</v>
      </c>
      <c r="I121">
        <v>1114.2730572677472</v>
      </c>
      <c r="J121">
        <v>1114.2730572677472</v>
      </c>
      <c r="K121">
        <v>1114.2730572677472</v>
      </c>
      <c r="L121">
        <v>1114.2730572677472</v>
      </c>
      <c r="M121">
        <v>1114.2730572677472</v>
      </c>
      <c r="N121">
        <v>1114.2730572677472</v>
      </c>
      <c r="O121">
        <v>1114.2730572677472</v>
      </c>
      <c r="P121">
        <v>1103.7473247333526</v>
      </c>
      <c r="Q121">
        <v>1295.1615779672622</v>
      </c>
      <c r="R121">
        <v>1300.4179901779976</v>
      </c>
      <c r="S121">
        <v>1021.2239026078485</v>
      </c>
      <c r="T121">
        <v>890.95637702591955</v>
      </c>
      <c r="U121">
        <v>1429.3697355873492</v>
      </c>
      <c r="V121">
        <v>1251.7694565972624</v>
      </c>
      <c r="W121">
        <v>1234.9730242836924</v>
      </c>
      <c r="X121">
        <v>1150.1284038185643</v>
      </c>
      <c r="Y121">
        <v>1091.261696265384</v>
      </c>
      <c r="Z121">
        <v>1116.957250242162</v>
      </c>
      <c r="AA121">
        <v>1100.5811063069254</v>
      </c>
      <c r="AB121">
        <v>1010.9312887182766</v>
      </c>
      <c r="AC121">
        <v>956.65662263461502</v>
      </c>
      <c r="AD121">
        <v>1024.1532025090505</v>
      </c>
      <c r="AE121">
        <v>742.78507159014475</v>
      </c>
      <c r="AF121">
        <v>448.47103409650083</v>
      </c>
      <c r="AG121">
        <v>418.78097085765791</v>
      </c>
    </row>
    <row r="122" spans="1:72" x14ac:dyDescent="0.25">
      <c r="E122" t="s">
        <v>741</v>
      </c>
      <c r="F122">
        <v>1149.6141682079121</v>
      </c>
      <c r="G122">
        <v>1149.6141682079121</v>
      </c>
      <c r="H122">
        <v>1149.6141682079121</v>
      </c>
      <c r="I122">
        <v>1149.6141682079121</v>
      </c>
      <c r="J122">
        <v>1149.6141682079121</v>
      </c>
      <c r="K122">
        <v>1149.6141682079121</v>
      </c>
      <c r="L122">
        <v>1149.6141682079121</v>
      </c>
      <c r="M122">
        <v>1149.6141682079121</v>
      </c>
      <c r="N122">
        <v>1149.6141682079121</v>
      </c>
      <c r="O122">
        <v>1149.6141682079121</v>
      </c>
      <c r="P122">
        <v>1138.5083728727629</v>
      </c>
      <c r="Q122">
        <v>1348.0477860975932</v>
      </c>
      <c r="R122">
        <v>1328.8199324792706</v>
      </c>
      <c r="S122">
        <v>1017.846389296701</v>
      </c>
      <c r="T122">
        <v>914.84836029323264</v>
      </c>
      <c r="U122">
        <v>1448.2029822975244</v>
      </c>
      <c r="V122">
        <v>1263.6284316097351</v>
      </c>
      <c r="W122">
        <v>1217.6306521923173</v>
      </c>
      <c r="X122">
        <v>1180.4178811371937</v>
      </c>
      <c r="Y122">
        <v>1108.455283615433</v>
      </c>
      <c r="Z122">
        <v>1122.512590663056</v>
      </c>
      <c r="AA122">
        <v>1111.8425729905728</v>
      </c>
      <c r="AB122">
        <v>1003.2623700366383</v>
      </c>
      <c r="AC122">
        <v>980.98785105992999</v>
      </c>
      <c r="AD122">
        <v>1029.413853897383</v>
      </c>
      <c r="AE122">
        <v>748.29527463252236</v>
      </c>
      <c r="AF122">
        <v>435.50232253439043</v>
      </c>
      <c r="AG122">
        <v>408.72643283393637</v>
      </c>
    </row>
    <row r="123" spans="1:72" x14ac:dyDescent="0.25">
      <c r="E123" t="s">
        <v>742</v>
      </c>
      <c r="F123">
        <v>363.73333333333335</v>
      </c>
      <c r="G123">
        <v>386.1</v>
      </c>
      <c r="H123">
        <v>266.2</v>
      </c>
      <c r="I123">
        <v>413.6</v>
      </c>
      <c r="J123">
        <v>603.75919999999996</v>
      </c>
      <c r="K123">
        <v>481.52980333333335</v>
      </c>
      <c r="L123">
        <v>588.48859666666669</v>
      </c>
      <c r="M123">
        <v>556.65125999999998</v>
      </c>
      <c r="N123">
        <v>581.37815999999998</v>
      </c>
      <c r="O123">
        <v>577.08170666666672</v>
      </c>
      <c r="P123">
        <v>384.05253333333332</v>
      </c>
      <c r="Q123">
        <v>497.15031666666664</v>
      </c>
      <c r="R123">
        <v>683.69223999999997</v>
      </c>
      <c r="S123">
        <v>585.99346666666668</v>
      </c>
      <c r="T123">
        <v>585.5420633333332</v>
      </c>
      <c r="U123">
        <v>267.37941999999998</v>
      </c>
      <c r="V123">
        <v>445.96068000000002</v>
      </c>
      <c r="W123">
        <v>524.87031666666667</v>
      </c>
      <c r="X123">
        <v>658.9218166666667</v>
      </c>
      <c r="Y123">
        <v>701.39039489690549</v>
      </c>
      <c r="Z123">
        <v>659.21936851962221</v>
      </c>
      <c r="AA123">
        <v>728.33299508239213</v>
      </c>
      <c r="AB123">
        <v>834.93197842496943</v>
      </c>
      <c r="AC123">
        <v>755.27559526787866</v>
      </c>
      <c r="AD123">
        <v>778.70394325525831</v>
      </c>
      <c r="AE123">
        <v>785.73244765147194</v>
      </c>
      <c r="AF123">
        <v>987.21624034293666</v>
      </c>
      <c r="AG123">
        <v>1222.085428916417</v>
      </c>
    </row>
    <row r="124" spans="1:72" x14ac:dyDescent="0.25">
      <c r="E124" t="s">
        <v>743</v>
      </c>
      <c r="F124">
        <v>90.994567483487728</v>
      </c>
      <c r="G124">
        <v>111.62690198838213</v>
      </c>
      <c r="H124">
        <v>132.25923649327655</v>
      </c>
      <c r="I124">
        <v>152.89157099816552</v>
      </c>
      <c r="J124">
        <v>173.52390550305992</v>
      </c>
      <c r="K124">
        <v>194.15624000795432</v>
      </c>
      <c r="L124">
        <v>214.78857451284878</v>
      </c>
      <c r="M124">
        <v>235.42090901774316</v>
      </c>
      <c r="N124">
        <v>256.05324352263756</v>
      </c>
      <c r="O124">
        <v>276.68557802753202</v>
      </c>
      <c r="P124">
        <v>297.31791253242642</v>
      </c>
      <c r="Q124">
        <v>317.95024703732088</v>
      </c>
      <c r="R124">
        <v>338.58258154220977</v>
      </c>
      <c r="S124">
        <v>359.21491604710423</v>
      </c>
      <c r="T124">
        <v>435.89846666666665</v>
      </c>
      <c r="U124">
        <v>355.08659999999998</v>
      </c>
      <c r="V124">
        <v>393.08573333333334</v>
      </c>
      <c r="W124">
        <v>484.55366666666663</v>
      </c>
      <c r="X124">
        <v>480.1925333333333</v>
      </c>
      <c r="Y124">
        <v>380.54426666666666</v>
      </c>
      <c r="Z124">
        <v>501.48046666666664</v>
      </c>
      <c r="AA124">
        <v>571.19113333333325</v>
      </c>
      <c r="AB124">
        <v>587.22106666666662</v>
      </c>
      <c r="AC124">
        <v>533.06336966666674</v>
      </c>
      <c r="AD124">
        <v>663.77159200000006</v>
      </c>
      <c r="AE124">
        <v>486.09938600666663</v>
      </c>
      <c r="AF124">
        <v>643.60119999999995</v>
      </c>
      <c r="AG124">
        <v>679.61446666666666</v>
      </c>
    </row>
    <row r="125" spans="1:72" x14ac:dyDescent="0.25">
      <c r="E125" t="s">
        <v>744</v>
      </c>
      <c r="F125">
        <v>18467.2344176074</v>
      </c>
      <c r="G125">
        <v>19894.379979012047</v>
      </c>
      <c r="H125">
        <v>19508.057170250366</v>
      </c>
      <c r="I125">
        <v>19296.286149483876</v>
      </c>
      <c r="J125">
        <v>18829.799299341739</v>
      </c>
      <c r="K125">
        <v>18816.693751205934</v>
      </c>
      <c r="L125">
        <v>19386.372113208152</v>
      </c>
      <c r="M125">
        <v>19675.368284891847</v>
      </c>
      <c r="N125">
        <v>19967.155293555603</v>
      </c>
      <c r="O125">
        <v>20038.391547786159</v>
      </c>
      <c r="P125">
        <v>20072.524975980316</v>
      </c>
      <c r="Q125">
        <v>19701.088061992123</v>
      </c>
      <c r="R125">
        <v>20023.216099759749</v>
      </c>
      <c r="S125">
        <v>19072.340993484708</v>
      </c>
      <c r="T125">
        <v>18849.389549512067</v>
      </c>
      <c r="U125">
        <v>18446.259485586925</v>
      </c>
      <c r="V125">
        <v>18589.571736189206</v>
      </c>
      <c r="W125">
        <v>18224.734436942501</v>
      </c>
      <c r="X125">
        <v>19088.198147813157</v>
      </c>
      <c r="Y125">
        <v>18553.028011451712</v>
      </c>
      <c r="Z125">
        <v>18939.805460502525</v>
      </c>
      <c r="AA125">
        <v>18994.993526805851</v>
      </c>
      <c r="AB125">
        <v>18278.302953548075</v>
      </c>
      <c r="AC125">
        <v>19582.342769355033</v>
      </c>
      <c r="AD125">
        <v>19570.475186144038</v>
      </c>
      <c r="AE125">
        <v>19327.673861761683</v>
      </c>
      <c r="AF125">
        <v>18029.075027657447</v>
      </c>
      <c r="AG125">
        <v>18081.049004423898</v>
      </c>
    </row>
    <row r="126" spans="1:72" x14ac:dyDescent="0.25">
      <c r="E126" t="s">
        <v>745</v>
      </c>
      <c r="F126">
        <v>2447.8863951470803</v>
      </c>
      <c r="G126">
        <v>2496.9018451868697</v>
      </c>
      <c r="H126">
        <v>2435.3630625952328</v>
      </c>
      <c r="I126">
        <v>2396.995208451192</v>
      </c>
      <c r="J126">
        <v>2325.2582722477832</v>
      </c>
      <c r="K126">
        <v>2349.1668279124592</v>
      </c>
      <c r="L126">
        <v>2406.4403578126485</v>
      </c>
      <c r="M126">
        <v>2433.097951693017</v>
      </c>
      <c r="N126">
        <v>2471.2628832175142</v>
      </c>
      <c r="O126">
        <v>2472.2132034057472</v>
      </c>
      <c r="P126">
        <v>2480.4922407158388</v>
      </c>
      <c r="Q126">
        <v>2454.0922943343203</v>
      </c>
      <c r="R126">
        <v>2476.3439129367157</v>
      </c>
      <c r="S126">
        <v>2359.3324950161041</v>
      </c>
      <c r="T126">
        <v>2347.4845744803165</v>
      </c>
      <c r="U126">
        <v>2284.6952992295182</v>
      </c>
      <c r="V126">
        <v>2357.5665947783837</v>
      </c>
      <c r="W126">
        <v>2297.5662221729922</v>
      </c>
      <c r="X126">
        <v>2380.9463845396517</v>
      </c>
      <c r="Y126">
        <v>2329.35287655092</v>
      </c>
      <c r="Z126">
        <v>2369.3465541862302</v>
      </c>
      <c r="AA126">
        <v>2370.4305491547971</v>
      </c>
      <c r="AB126">
        <v>2269.153208313021</v>
      </c>
      <c r="AC126">
        <v>2431.7524623901409</v>
      </c>
      <c r="AD126">
        <v>2430.5768400701409</v>
      </c>
      <c r="AE126">
        <v>2407.0023766672321</v>
      </c>
      <c r="AF126">
        <v>2265.174978621726</v>
      </c>
      <c r="AG126">
        <v>2253.2585636522972</v>
      </c>
    </row>
    <row r="127" spans="1:72" x14ac:dyDescent="0.25">
      <c r="E127" t="s">
        <v>746</v>
      </c>
      <c r="F127">
        <v>332.77730613860399</v>
      </c>
      <c r="G127">
        <v>353.03457691007083</v>
      </c>
      <c r="H127">
        <v>329.75336223257443</v>
      </c>
      <c r="I127">
        <v>341.70939722274608</v>
      </c>
      <c r="J127">
        <v>326.52853902593881</v>
      </c>
      <c r="K127">
        <v>344.58323593662567</v>
      </c>
      <c r="L127">
        <v>360.27670046049241</v>
      </c>
      <c r="M127">
        <v>357.64284080532752</v>
      </c>
      <c r="N127">
        <v>367.73848791261435</v>
      </c>
      <c r="O127">
        <v>372.0452384281258</v>
      </c>
      <c r="P127">
        <v>408.94308689508148</v>
      </c>
      <c r="Q127">
        <v>406.68937516322404</v>
      </c>
      <c r="R127">
        <v>397.06973777083419</v>
      </c>
      <c r="S127">
        <v>376.09010924780205</v>
      </c>
      <c r="T127">
        <v>374.09743931517124</v>
      </c>
      <c r="U127">
        <v>392.69820864834276</v>
      </c>
      <c r="V127">
        <v>398.35557315486267</v>
      </c>
      <c r="W127">
        <v>404.14478384272525</v>
      </c>
      <c r="X127">
        <v>438.4751035531649</v>
      </c>
      <c r="Y127">
        <v>433.26067452840772</v>
      </c>
      <c r="Z127">
        <v>438.54251424027257</v>
      </c>
      <c r="AA127">
        <v>444.74604882624305</v>
      </c>
      <c r="AB127">
        <v>440.60780254144959</v>
      </c>
      <c r="AC127">
        <v>456.58226294187887</v>
      </c>
      <c r="AD127">
        <v>454.87268271519412</v>
      </c>
      <c r="AE127">
        <v>463.54275866618883</v>
      </c>
      <c r="AF127">
        <v>458.22071963845576</v>
      </c>
      <c r="AG127">
        <v>469.34598780544559</v>
      </c>
    </row>
  </sheetData>
  <pageMargins left="0.7" right="0.7" top="0.75" bottom="0.75" header="0.3" footer="0.3"/>
  <pageSetup paperSize="9" orientation="portrait" r:id="rId1"/>
  <drawing r:id="rId2"/>
  <extLst>
    <ext xmlns:x14="http://schemas.microsoft.com/office/spreadsheetml/2009/9/main" uri="{05C60535-1F16-4fd2-B633-F4F36F0B64E0}">
      <x14:sparklineGroups xmlns:xm="http://schemas.microsoft.com/office/excel/2006/main">
        <x14:sparklineGroup displayEmptyCellsAs="gap" xr2:uid="{00000000-0003-0000-1100-000006000000}">
          <x14:colorSeries rgb="FF376092"/>
          <x14:colorNegative rgb="FFD00000"/>
          <x14:colorAxis rgb="FF000000"/>
          <x14:colorMarkers rgb="FFD00000"/>
          <x14:colorFirst rgb="FFD00000"/>
          <x14:colorLast rgb="FFD00000"/>
          <x14:colorHigh rgb="FFD00000"/>
          <x14:colorLow rgb="FFD00000"/>
          <x14:sparklines>
            <x14:sparkline>
              <xm:f>'Emissions summary'!F5:AG5</xm:f>
              <xm:sqref>BP5</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6:F8"/>
  <sheetViews>
    <sheetView workbookViewId="0">
      <selection activeCell="C8" sqref="C8"/>
    </sheetView>
  </sheetViews>
  <sheetFormatPr defaultRowHeight="15" x14ac:dyDescent="0.25"/>
  <cols>
    <col min="3" max="3" width="14.7109375" customWidth="1"/>
  </cols>
  <sheetData>
    <row r="6" spans="1:6" x14ac:dyDescent="0.25">
      <c r="D6" t="s">
        <v>886</v>
      </c>
      <c r="E6" t="s">
        <v>887</v>
      </c>
      <c r="F6" t="s">
        <v>888</v>
      </c>
    </row>
    <row r="7" spans="1:6" x14ac:dyDescent="0.25">
      <c r="A7" t="s">
        <v>889</v>
      </c>
      <c r="B7" t="s">
        <v>937</v>
      </c>
      <c r="C7" t="str">
        <f>"DriversCGE!"&amp;ADDRESS(ROW(DriversCGE!A7),COLUMN(DriversCGE!A7),4)</f>
        <v>DriversCGE!A7</v>
      </c>
      <c r="D7">
        <v>1</v>
      </c>
      <c r="E7">
        <v>1</v>
      </c>
    </row>
    <row r="8" spans="1:6" x14ac:dyDescent="0.25">
      <c r="A8" t="s">
        <v>889</v>
      </c>
      <c r="B8" t="s">
        <v>906</v>
      </c>
      <c r="C8" t="str">
        <f>"DriversCGE!"&amp;ADDRESS(ROW(DriversCGE!A34),COLUMN(DriversCGE!A34),4)</f>
        <v>DriversCGE!A34</v>
      </c>
      <c r="E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sheetPr>
  <dimension ref="A6:F7"/>
  <sheetViews>
    <sheetView workbookViewId="0">
      <selection activeCell="B8" sqref="B8"/>
    </sheetView>
  </sheetViews>
  <sheetFormatPr defaultRowHeight="15" x14ac:dyDescent="0.25"/>
  <cols>
    <col min="2" max="2" width="14" bestFit="1" customWidth="1"/>
    <col min="3" max="3" width="19.28515625" customWidth="1"/>
  </cols>
  <sheetData>
    <row r="6" spans="1:6" x14ac:dyDescent="0.25">
      <c r="D6" t="s">
        <v>886</v>
      </c>
      <c r="E6" t="s">
        <v>887</v>
      </c>
      <c r="F6" t="s">
        <v>888</v>
      </c>
    </row>
    <row r="7" spans="1:6" x14ac:dyDescent="0.25">
      <c r="A7" t="s">
        <v>889</v>
      </c>
      <c r="B7" t="s">
        <v>907</v>
      </c>
      <c r="C7" t="str">
        <f>"GHGSummary!"&amp;ADDRESS(ROW(GHGSummary!B6),COLUMN(GHGSummary!B6),4)</f>
        <v>GHGSummary!B6</v>
      </c>
      <c r="D7">
        <v>2</v>
      </c>
      <c r="E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sheetPr>
  <dimension ref="A7:AN35"/>
  <sheetViews>
    <sheetView tabSelected="1" topLeftCell="A21" workbookViewId="0">
      <selection activeCell="A46" sqref="A46:AN56"/>
    </sheetView>
  </sheetViews>
  <sheetFormatPr defaultRowHeight="15" x14ac:dyDescent="0.25"/>
  <sheetData>
    <row r="7" spans="1:40" x14ac:dyDescent="0.25">
      <c r="B7" s="96" t="s">
        <v>939</v>
      </c>
      <c r="C7" s="96" t="s">
        <v>940</v>
      </c>
      <c r="D7" s="96" t="s">
        <v>941</v>
      </c>
      <c r="E7" s="96" t="s">
        <v>942</v>
      </c>
      <c r="F7" s="96" t="s">
        <v>943</v>
      </c>
      <c r="G7" s="96" t="s">
        <v>944</v>
      </c>
      <c r="H7" s="96" t="s">
        <v>945</v>
      </c>
      <c r="I7" s="96" t="s">
        <v>946</v>
      </c>
      <c r="J7" s="96" t="s">
        <v>947</v>
      </c>
      <c r="K7" s="96" t="s">
        <v>948</v>
      </c>
      <c r="L7" s="96" t="s">
        <v>949</v>
      </c>
      <c r="M7" s="96" t="s">
        <v>950</v>
      </c>
      <c r="N7" s="96" t="s">
        <v>951</v>
      </c>
      <c r="O7" s="96" t="s">
        <v>952</v>
      </c>
      <c r="P7" s="96" t="s">
        <v>953</v>
      </c>
      <c r="Q7" s="96" t="s">
        <v>954</v>
      </c>
      <c r="R7" s="96" t="s">
        <v>955</v>
      </c>
      <c r="S7" s="96" t="s">
        <v>956</v>
      </c>
      <c r="T7" s="96" t="s">
        <v>957</v>
      </c>
      <c r="U7" s="96" t="s">
        <v>958</v>
      </c>
      <c r="V7" s="96" t="s">
        <v>959</v>
      </c>
      <c r="W7" s="96" t="s">
        <v>960</v>
      </c>
      <c r="X7" s="96" t="s">
        <v>961</v>
      </c>
      <c r="Y7" s="96" t="s">
        <v>962</v>
      </c>
      <c r="Z7" s="96" t="s">
        <v>963</v>
      </c>
      <c r="AA7" s="96" t="s">
        <v>964</v>
      </c>
      <c r="AB7" s="96" t="s">
        <v>965</v>
      </c>
      <c r="AC7" s="96" t="s">
        <v>966</v>
      </c>
      <c r="AD7" s="96" t="s">
        <v>967</v>
      </c>
      <c r="AE7" s="96" t="s">
        <v>968</v>
      </c>
      <c r="AF7" s="96" t="s">
        <v>969</v>
      </c>
      <c r="AG7" s="96" t="s">
        <v>970</v>
      </c>
      <c r="AH7" s="96" t="s">
        <v>971</v>
      </c>
      <c r="AI7" s="96" t="s">
        <v>972</v>
      </c>
      <c r="AJ7" s="96" t="s">
        <v>973</v>
      </c>
      <c r="AK7" s="96" t="s">
        <v>974</v>
      </c>
      <c r="AL7" s="96" t="s">
        <v>975</v>
      </c>
      <c r="AM7" s="96" t="s">
        <v>976</v>
      </c>
      <c r="AN7" s="96" t="s">
        <v>977</v>
      </c>
    </row>
    <row r="8" spans="1:40" x14ac:dyDescent="0.25">
      <c r="A8" s="96" t="s">
        <v>891</v>
      </c>
      <c r="B8">
        <v>1833.8485148656705</v>
      </c>
      <c r="C8">
        <v>1886.6121543778552</v>
      </c>
      <c r="D8">
        <v>1929.9088596734236</v>
      </c>
      <c r="E8">
        <v>1960.4923036365474</v>
      </c>
      <c r="F8">
        <v>1983.2547710242566</v>
      </c>
      <c r="G8">
        <v>2006.0789129735178</v>
      </c>
      <c r="H8">
        <v>2036.972183160904</v>
      </c>
      <c r="I8">
        <v>2074.2003059734261</v>
      </c>
      <c r="J8">
        <v>1914.545399528301</v>
      </c>
      <c r="K8">
        <v>1957.2610773816891</v>
      </c>
      <c r="L8">
        <v>2002.2872838168787</v>
      </c>
      <c r="M8">
        <v>2051.2769335000403</v>
      </c>
      <c r="N8">
        <v>2104.0245070320266</v>
      </c>
      <c r="O8">
        <v>2157.2000988773989</v>
      </c>
      <c r="P8">
        <v>2216.2386918503116</v>
      </c>
      <c r="Q8">
        <v>2277.0866520702075</v>
      </c>
      <c r="R8">
        <v>2342.1075393790215</v>
      </c>
      <c r="S8">
        <v>2408.995487304207</v>
      </c>
      <c r="T8">
        <v>2468.4881674022527</v>
      </c>
      <c r="U8">
        <v>2539.0431946322601</v>
      </c>
      <c r="V8">
        <v>2611.6181489313612</v>
      </c>
      <c r="W8">
        <v>2686.3644340512401</v>
      </c>
      <c r="X8">
        <v>2759.0891878804987</v>
      </c>
      <c r="Y8">
        <v>2835.9490382924259</v>
      </c>
      <c r="Z8">
        <v>2915.3222561629782</v>
      </c>
      <c r="AA8">
        <v>2997.7985510673598</v>
      </c>
      <c r="AB8">
        <v>3079.8807643862083</v>
      </c>
      <c r="AC8">
        <v>3164.7988750291743</v>
      </c>
      <c r="AD8">
        <v>3254.7047790794968</v>
      </c>
      <c r="AE8">
        <v>3348.9964072010525</v>
      </c>
      <c r="AF8">
        <v>3447.4307579315109</v>
      </c>
      <c r="AG8">
        <v>3549.9976521140461</v>
      </c>
      <c r="AH8">
        <v>3656.5174335620486</v>
      </c>
      <c r="AI8">
        <v>3767.7621351917451</v>
      </c>
      <c r="AJ8">
        <v>3873.7774921325872</v>
      </c>
      <c r="AK8">
        <v>3984.0902474336522</v>
      </c>
      <c r="AL8">
        <v>4099.5151623032189</v>
      </c>
      <c r="AM8">
        <v>4220.6813951424811</v>
      </c>
      <c r="AN8">
        <v>4350.0492909027143</v>
      </c>
    </row>
    <row r="9" spans="1:40" x14ac:dyDescent="0.25">
      <c r="A9" s="96" t="s">
        <v>938</v>
      </c>
      <c r="B9">
        <v>69.817113338466598</v>
      </c>
      <c r="C9">
        <v>72.819731017164969</v>
      </c>
      <c r="D9">
        <v>75.472008813799022</v>
      </c>
      <c r="E9">
        <v>74.274927600037842</v>
      </c>
      <c r="F9">
        <v>73.26059197587216</v>
      </c>
      <c r="G9">
        <v>75.493823257911487</v>
      </c>
      <c r="H9">
        <v>74.303648694490207</v>
      </c>
      <c r="I9">
        <v>73.1945218840509</v>
      </c>
      <c r="J9">
        <v>70.325700988606158</v>
      </c>
      <c r="K9">
        <v>72.079600677576877</v>
      </c>
      <c r="L9">
        <v>74.097267383773996</v>
      </c>
      <c r="M9">
        <v>75.83751945163533</v>
      </c>
      <c r="N9">
        <v>77.576110521025043</v>
      </c>
      <c r="O9">
        <v>79.396606124967263</v>
      </c>
      <c r="P9">
        <v>81.224836721269554</v>
      </c>
      <c r="Q9">
        <v>83.015421229038807</v>
      </c>
      <c r="R9">
        <v>84.71879762829046</v>
      </c>
      <c r="S9">
        <v>86.40947079839232</v>
      </c>
      <c r="T9">
        <v>87.917074260425011</v>
      </c>
      <c r="U9">
        <v>89.948274996445477</v>
      </c>
      <c r="V9">
        <v>91.858597961990753</v>
      </c>
      <c r="W9">
        <v>93.636661953392263</v>
      </c>
      <c r="X9">
        <v>95.295599787555759</v>
      </c>
      <c r="Y9">
        <v>97.196418455885137</v>
      </c>
      <c r="Z9">
        <v>99.048946074573934</v>
      </c>
      <c r="AA9">
        <v>100.96742638628118</v>
      </c>
      <c r="AB9">
        <v>102.82399638424677</v>
      </c>
      <c r="AC9">
        <v>104.72881393465261</v>
      </c>
      <c r="AD9">
        <v>106.73410403014014</v>
      </c>
      <c r="AE9">
        <v>108.83032335584873</v>
      </c>
      <c r="AF9">
        <v>110.98712564413881</v>
      </c>
      <c r="AG9">
        <v>113.13803634297587</v>
      </c>
      <c r="AH9">
        <v>115.35753088013288</v>
      </c>
      <c r="AI9">
        <v>117.7224288535422</v>
      </c>
      <c r="AJ9">
        <v>119.86545963689662</v>
      </c>
      <c r="AK9">
        <v>122.16956564028087</v>
      </c>
      <c r="AL9">
        <v>124.66155698786915</v>
      </c>
      <c r="AM9">
        <v>127.27859211459484</v>
      </c>
      <c r="AN9">
        <v>130.07284907210411</v>
      </c>
    </row>
    <row r="10" spans="1:40" x14ac:dyDescent="0.25">
      <c r="A10" s="96" t="s">
        <v>896</v>
      </c>
      <c r="B10">
        <v>123.26923682676239</v>
      </c>
      <c r="C10">
        <v>126.76200665956938</v>
      </c>
      <c r="D10">
        <v>127.59930057711011</v>
      </c>
      <c r="E10">
        <v>131.79428653766271</v>
      </c>
      <c r="F10">
        <v>129.89446862274485</v>
      </c>
      <c r="G10">
        <v>133.66360252732119</v>
      </c>
      <c r="H10">
        <v>132.75230325518885</v>
      </c>
      <c r="I10">
        <v>131.0963621488545</v>
      </c>
      <c r="J10">
        <v>120.18809993708842</v>
      </c>
      <c r="K10">
        <v>121.9324954300825</v>
      </c>
      <c r="L10">
        <v>123.62702359051755</v>
      </c>
      <c r="M10">
        <v>125.50520057825962</v>
      </c>
      <c r="N10">
        <v>127.62005379029763</v>
      </c>
      <c r="O10">
        <v>129.71571417226133</v>
      </c>
      <c r="P10">
        <v>132.08338347170783</v>
      </c>
      <c r="Q10">
        <v>134.45700006708503</v>
      </c>
      <c r="R10">
        <v>137.09836521296253</v>
      </c>
      <c r="S10">
        <v>140.19130736183189</v>
      </c>
      <c r="T10">
        <v>142.89883193627665</v>
      </c>
      <c r="U10">
        <v>146.416830091278</v>
      </c>
      <c r="V10">
        <v>150.32704805551441</v>
      </c>
      <c r="W10">
        <v>154.27326576870362</v>
      </c>
      <c r="X10">
        <v>158.27859136568114</v>
      </c>
      <c r="Y10">
        <v>163.20085651583867</v>
      </c>
      <c r="Z10">
        <v>167.64829971739297</v>
      </c>
      <c r="AA10">
        <v>172.15985376506998</v>
      </c>
      <c r="AB10">
        <v>176.52673826725913</v>
      </c>
      <c r="AC10">
        <v>180.99322799680004</v>
      </c>
      <c r="AD10">
        <v>185.67685214636796</v>
      </c>
      <c r="AE10">
        <v>190.335369547695</v>
      </c>
      <c r="AF10">
        <v>195.07355032108669</v>
      </c>
      <c r="AG10">
        <v>199.91629899726939</v>
      </c>
      <c r="AH10">
        <v>204.89623723508205</v>
      </c>
      <c r="AI10">
        <v>210.08114775468417</v>
      </c>
      <c r="AJ10">
        <v>214.87946388846953</v>
      </c>
      <c r="AK10">
        <v>219.8677393720516</v>
      </c>
      <c r="AL10">
        <v>225.09673017509809</v>
      </c>
      <c r="AM10">
        <v>230.59324313003228</v>
      </c>
      <c r="AN10">
        <v>236.52589767309942</v>
      </c>
    </row>
    <row r="11" spans="1:40" x14ac:dyDescent="0.25">
      <c r="A11" s="96" t="s">
        <v>894</v>
      </c>
      <c r="B11">
        <v>93.09690942833015</v>
      </c>
      <c r="C11">
        <v>95.064855171375669</v>
      </c>
      <c r="D11">
        <v>96.400077661477354</v>
      </c>
      <c r="E11">
        <v>96.617861286112102</v>
      </c>
      <c r="F11">
        <v>97.654818305582012</v>
      </c>
      <c r="G11">
        <v>97.862455274201025</v>
      </c>
      <c r="H11">
        <v>98.609954424293107</v>
      </c>
      <c r="I11">
        <v>97.964584789862243</v>
      </c>
      <c r="J11">
        <v>92.646489203328827</v>
      </c>
      <c r="K11">
        <v>95.03041242813778</v>
      </c>
      <c r="L11">
        <v>97.485838278771098</v>
      </c>
      <c r="M11">
        <v>99.77593398947829</v>
      </c>
      <c r="N11">
        <v>102.1635426368112</v>
      </c>
      <c r="O11">
        <v>104.60035225495045</v>
      </c>
      <c r="P11">
        <v>107.07694947006603</v>
      </c>
      <c r="Q11">
        <v>109.49041679677798</v>
      </c>
      <c r="R11">
        <v>112.02696547098452</v>
      </c>
      <c r="S11">
        <v>114.5350089727569</v>
      </c>
      <c r="T11">
        <v>116.72534002734352</v>
      </c>
      <c r="U11">
        <v>119.41291133682695</v>
      </c>
      <c r="V11">
        <v>122.13561690535352</v>
      </c>
      <c r="W11">
        <v>124.73806971931842</v>
      </c>
      <c r="X11">
        <v>127.26382097220295</v>
      </c>
      <c r="Y11">
        <v>130.22505419824279</v>
      </c>
      <c r="Z11">
        <v>132.95638539516673</v>
      </c>
      <c r="AA11">
        <v>135.74521610666449</v>
      </c>
      <c r="AB11">
        <v>138.39843779341157</v>
      </c>
      <c r="AC11">
        <v>141.11496840750539</v>
      </c>
      <c r="AD11">
        <v>143.96077026055309</v>
      </c>
      <c r="AE11">
        <v>146.92167586011277</v>
      </c>
      <c r="AF11">
        <v>149.90266826654346</v>
      </c>
      <c r="AG11">
        <v>152.92006309932941</v>
      </c>
      <c r="AH11">
        <v>156.0911313412185</v>
      </c>
      <c r="AI11">
        <v>159.46543030187945</v>
      </c>
      <c r="AJ11">
        <v>162.50807836854915</v>
      </c>
      <c r="AK11">
        <v>165.69750350631548</v>
      </c>
      <c r="AL11">
        <v>169.0152244595489</v>
      </c>
      <c r="AM11">
        <v>172.44314538089333</v>
      </c>
      <c r="AN11">
        <v>176.11001666062612</v>
      </c>
    </row>
    <row r="12" spans="1:40" x14ac:dyDescent="0.25">
      <c r="A12" s="96" t="s">
        <v>899</v>
      </c>
      <c r="B12">
        <v>235.49802282756352</v>
      </c>
      <c r="C12">
        <v>242.13307836562956</v>
      </c>
      <c r="D12">
        <v>246.28265922314233</v>
      </c>
      <c r="E12">
        <v>249.43440425835786</v>
      </c>
      <c r="F12">
        <v>251.65581640876391</v>
      </c>
      <c r="G12">
        <v>252.75021516356861</v>
      </c>
      <c r="H12">
        <v>255.36564207593528</v>
      </c>
      <c r="I12">
        <v>255.83896455730644</v>
      </c>
      <c r="J12">
        <v>231.21220107940408</v>
      </c>
      <c r="K12">
        <v>237.27430963578766</v>
      </c>
      <c r="L12">
        <v>243.43820579760768</v>
      </c>
      <c r="M12">
        <v>250.0252729216615</v>
      </c>
      <c r="N12">
        <v>257.0393389716665</v>
      </c>
      <c r="O12">
        <v>264.01983750733473</v>
      </c>
      <c r="P12">
        <v>271.72429020362813</v>
      </c>
      <c r="Q12">
        <v>279.56215318997283</v>
      </c>
      <c r="R12">
        <v>287.85104341651504</v>
      </c>
      <c r="S12">
        <v>296.17218841670399</v>
      </c>
      <c r="T12">
        <v>303.16223965681729</v>
      </c>
      <c r="U12">
        <v>311.91377494075573</v>
      </c>
      <c r="V12">
        <v>320.90515779680265</v>
      </c>
      <c r="W12">
        <v>329.99635652965821</v>
      </c>
      <c r="X12">
        <v>338.83792660845495</v>
      </c>
      <c r="Y12">
        <v>348.33269322166962</v>
      </c>
      <c r="Z12">
        <v>357.99703019358316</v>
      </c>
      <c r="AA12">
        <v>368.00188053319943</v>
      </c>
      <c r="AB12">
        <v>377.85666663181792</v>
      </c>
      <c r="AC12">
        <v>388.05037117851231</v>
      </c>
      <c r="AD12">
        <v>398.85002792330147</v>
      </c>
      <c r="AE12">
        <v>410.15688477532797</v>
      </c>
      <c r="AF12">
        <v>421.90224250085339</v>
      </c>
      <c r="AG12">
        <v>434.10875218597869</v>
      </c>
      <c r="AH12">
        <v>446.80324447498771</v>
      </c>
      <c r="AI12">
        <v>460.1203754889417</v>
      </c>
      <c r="AJ12">
        <v>472.65691554047356</v>
      </c>
      <c r="AK12">
        <v>485.73312943754831</v>
      </c>
      <c r="AL12">
        <v>499.4515636810321</v>
      </c>
      <c r="AM12">
        <v>513.88566194585428</v>
      </c>
      <c r="AN12">
        <v>529.36224934657764</v>
      </c>
    </row>
    <row r="13" spans="1:40" x14ac:dyDescent="0.25">
      <c r="A13" s="96" t="s">
        <v>901</v>
      </c>
      <c r="B13">
        <v>17.781500762507015</v>
      </c>
      <c r="C13">
        <v>18.21809145789609</v>
      </c>
      <c r="D13">
        <v>18.567420658015568</v>
      </c>
      <c r="E13">
        <v>18.762769995550013</v>
      </c>
      <c r="F13">
        <v>19.037714230270431</v>
      </c>
      <c r="G13">
        <v>19.074701766994909</v>
      </c>
      <c r="H13">
        <v>19.42407343994682</v>
      </c>
      <c r="I13">
        <v>19.472300898786198</v>
      </c>
      <c r="J13">
        <v>17.978595103875868</v>
      </c>
      <c r="K13">
        <v>18.425580854596319</v>
      </c>
      <c r="L13">
        <v>18.875393382474392</v>
      </c>
      <c r="M13">
        <v>19.37593948814931</v>
      </c>
      <c r="N13">
        <v>19.904043035124161</v>
      </c>
      <c r="O13">
        <v>20.434676476954504</v>
      </c>
      <c r="P13">
        <v>21.051358228285224</v>
      </c>
      <c r="Q13">
        <v>21.647594038894049</v>
      </c>
      <c r="R13">
        <v>22.266043235160069</v>
      </c>
      <c r="S13">
        <v>22.909699710557216</v>
      </c>
      <c r="T13">
        <v>23.472167600372124</v>
      </c>
      <c r="U13">
        <v>24.141799581503221</v>
      </c>
      <c r="V13">
        <v>24.822594807412035</v>
      </c>
      <c r="W13">
        <v>25.49556340544002</v>
      </c>
      <c r="X13">
        <v>26.15349331496332</v>
      </c>
      <c r="Y13">
        <v>26.767784324168478</v>
      </c>
      <c r="Z13">
        <v>27.460886584388707</v>
      </c>
      <c r="AA13">
        <v>28.180547175783659</v>
      </c>
      <c r="AB13">
        <v>28.889625610088803</v>
      </c>
      <c r="AC13">
        <v>29.626578795924523</v>
      </c>
      <c r="AD13">
        <v>30.409324222456782</v>
      </c>
      <c r="AE13">
        <v>31.215558283358291</v>
      </c>
      <c r="AF13">
        <v>32.049998427479558</v>
      </c>
      <c r="AG13">
        <v>32.910738887097288</v>
      </c>
      <c r="AH13">
        <v>33.807840745570964</v>
      </c>
      <c r="AI13">
        <v>34.749774821046124</v>
      </c>
      <c r="AJ13">
        <v>35.625703852026675</v>
      </c>
      <c r="AK13">
        <v>36.542469856907495</v>
      </c>
      <c r="AL13">
        <v>37.50409193622648</v>
      </c>
      <c r="AM13">
        <v>38.516268854629871</v>
      </c>
      <c r="AN13">
        <v>39.601164848584354</v>
      </c>
    </row>
    <row r="14" spans="1:40" x14ac:dyDescent="0.25">
      <c r="A14" s="96" t="s">
        <v>892</v>
      </c>
      <c r="B14">
        <v>52.810230956688748</v>
      </c>
      <c r="C14">
        <v>54.282362311943913</v>
      </c>
      <c r="D14">
        <v>55.219691955007207</v>
      </c>
      <c r="E14">
        <v>55.71177904843772</v>
      </c>
      <c r="F14">
        <v>56.147972175388119</v>
      </c>
      <c r="G14">
        <v>56.388632981353197</v>
      </c>
      <c r="H14">
        <v>56.935742268541119</v>
      </c>
      <c r="I14">
        <v>56.915851520215952</v>
      </c>
      <c r="J14">
        <v>52.222577111314017</v>
      </c>
      <c r="K14">
        <v>53.485625534148674</v>
      </c>
      <c r="L14">
        <v>54.772963618611712</v>
      </c>
      <c r="M14">
        <v>56.124869079913438</v>
      </c>
      <c r="N14">
        <v>57.585957657715895</v>
      </c>
      <c r="O14">
        <v>59.079383283398805</v>
      </c>
      <c r="P14">
        <v>60.65927250258617</v>
      </c>
      <c r="Q14">
        <v>62.260045747357402</v>
      </c>
      <c r="R14">
        <v>63.990528518902622</v>
      </c>
      <c r="S14">
        <v>65.756685063171986</v>
      </c>
      <c r="T14">
        <v>67.302359421755469</v>
      </c>
      <c r="U14">
        <v>69.094850913797686</v>
      </c>
      <c r="V14">
        <v>70.970000633313632</v>
      </c>
      <c r="W14">
        <v>72.841272605878572</v>
      </c>
      <c r="X14">
        <v>74.680009801299036</v>
      </c>
      <c r="Y14">
        <v>76.689487549255745</v>
      </c>
      <c r="Z14">
        <v>78.645651568328219</v>
      </c>
      <c r="AA14">
        <v>80.680897902695563</v>
      </c>
      <c r="AB14">
        <v>82.683267359520102</v>
      </c>
      <c r="AC14">
        <v>84.755595279062305</v>
      </c>
      <c r="AD14">
        <v>86.95293734444499</v>
      </c>
      <c r="AE14">
        <v>89.222401499368857</v>
      </c>
      <c r="AF14">
        <v>91.58017263387822</v>
      </c>
      <c r="AG14">
        <v>94.032631642963366</v>
      </c>
      <c r="AH14">
        <v>96.593962146369691</v>
      </c>
      <c r="AI14">
        <v>99.287066617144006</v>
      </c>
      <c r="AJ14">
        <v>101.82505005183501</v>
      </c>
      <c r="AK14">
        <v>104.47034535027582</v>
      </c>
      <c r="AL14">
        <v>107.23725071589587</v>
      </c>
      <c r="AM14">
        <v>110.14119878132441</v>
      </c>
      <c r="AN14">
        <v>113.25676411935609</v>
      </c>
    </row>
    <row r="15" spans="1:40" x14ac:dyDescent="0.25">
      <c r="A15" s="96" t="s">
        <v>898</v>
      </c>
      <c r="B15">
        <v>14.113350558119752</v>
      </c>
      <c r="C15">
        <v>14.548721789119966</v>
      </c>
      <c r="D15">
        <v>14.815418697580203</v>
      </c>
      <c r="E15">
        <v>15.061372702819703</v>
      </c>
      <c r="F15">
        <v>15.235873493159337</v>
      </c>
      <c r="G15">
        <v>15.371374502079824</v>
      </c>
      <c r="H15">
        <v>15.552383515448332</v>
      </c>
      <c r="I15">
        <v>15.609153497571331</v>
      </c>
      <c r="J15">
        <v>14.275724652406321</v>
      </c>
      <c r="K15">
        <v>14.632592738141414</v>
      </c>
      <c r="L15">
        <v>14.998829546275548</v>
      </c>
      <c r="M15">
        <v>15.396795523093482</v>
      </c>
      <c r="N15">
        <v>15.823820610150811</v>
      </c>
      <c r="O15">
        <v>16.253232567458738</v>
      </c>
      <c r="P15">
        <v>16.7257349793129</v>
      </c>
      <c r="Q15">
        <v>17.201748391427138</v>
      </c>
      <c r="R15">
        <v>17.708895194433161</v>
      </c>
      <c r="S15">
        <v>18.240242131053403</v>
      </c>
      <c r="T15">
        <v>18.673472788437888</v>
      </c>
      <c r="U15">
        <v>19.209896031686849</v>
      </c>
      <c r="V15">
        <v>19.759109345897627</v>
      </c>
      <c r="W15">
        <v>20.315924153008183</v>
      </c>
      <c r="X15">
        <v>20.85546661362639</v>
      </c>
      <c r="Y15">
        <v>21.431818706447395</v>
      </c>
      <c r="Z15">
        <v>22.024541155299971</v>
      </c>
      <c r="AA15">
        <v>22.636627065976988</v>
      </c>
      <c r="AB15">
        <v>23.238211464117626</v>
      </c>
      <c r="AC15">
        <v>23.860936149160427</v>
      </c>
      <c r="AD15">
        <v>24.521037099566129</v>
      </c>
      <c r="AE15">
        <v>25.21661964013013</v>
      </c>
      <c r="AF15">
        <v>25.945207485839877</v>
      </c>
      <c r="AG15">
        <v>26.705694433212486</v>
      </c>
      <c r="AH15">
        <v>27.488632120441018</v>
      </c>
      <c r="AI15">
        <v>28.306253513157241</v>
      </c>
      <c r="AJ15">
        <v>29.07899575807043</v>
      </c>
      <c r="AK15">
        <v>29.886726463920347</v>
      </c>
      <c r="AL15">
        <v>30.734199731905431</v>
      </c>
      <c r="AM15">
        <v>31.62665662555618</v>
      </c>
      <c r="AN15">
        <v>32.582524336641313</v>
      </c>
    </row>
    <row r="16" spans="1:40" x14ac:dyDescent="0.25">
      <c r="A16" s="96" t="s">
        <v>895</v>
      </c>
      <c r="B16">
        <v>13.345629432701433</v>
      </c>
      <c r="C16">
        <v>13.899973861744526</v>
      </c>
      <c r="D16">
        <v>14.241400522629307</v>
      </c>
      <c r="E16">
        <v>14.660228740858253</v>
      </c>
      <c r="F16">
        <v>14.734307821369407</v>
      </c>
      <c r="G16">
        <v>14.820136538356026</v>
      </c>
      <c r="H16">
        <v>14.834474809054743</v>
      </c>
      <c r="I16">
        <v>14.739267553174583</v>
      </c>
      <c r="J16">
        <v>12.850963128301911</v>
      </c>
      <c r="K16">
        <v>13.194214531253461</v>
      </c>
      <c r="L16">
        <v>13.463306784285843</v>
      </c>
      <c r="M16">
        <v>13.76702952833095</v>
      </c>
      <c r="N16">
        <v>14.094770559289131</v>
      </c>
      <c r="O16">
        <v>14.441316908885499</v>
      </c>
      <c r="P16">
        <v>14.774137977640024</v>
      </c>
      <c r="Q16">
        <v>15.111490993070266</v>
      </c>
      <c r="R16">
        <v>15.48015276320328</v>
      </c>
      <c r="S16">
        <v>15.903436587208263</v>
      </c>
      <c r="T16">
        <v>16.2345529006253</v>
      </c>
      <c r="U16">
        <v>16.68332773177854</v>
      </c>
      <c r="V16">
        <v>17.177801343588126</v>
      </c>
      <c r="W16">
        <v>17.632404747738843</v>
      </c>
      <c r="X16">
        <v>18.108047442152905</v>
      </c>
      <c r="Y16">
        <v>18.687220599592028</v>
      </c>
      <c r="Z16">
        <v>19.123335619478652</v>
      </c>
      <c r="AA16">
        <v>19.574212861738804</v>
      </c>
      <c r="AB16">
        <v>20.016445254151499</v>
      </c>
      <c r="AC16">
        <v>20.474336821456458</v>
      </c>
      <c r="AD16">
        <v>20.962217277389243</v>
      </c>
      <c r="AE16">
        <v>21.465139347092094</v>
      </c>
      <c r="AF16">
        <v>21.98329495211933</v>
      </c>
      <c r="AG16">
        <v>22.520032154344616</v>
      </c>
      <c r="AH16">
        <v>23.078435912261451</v>
      </c>
      <c r="AI16">
        <v>23.667355045881628</v>
      </c>
      <c r="AJ16">
        <v>24.216532537303461</v>
      </c>
      <c r="AK16">
        <v>24.785962003570585</v>
      </c>
      <c r="AL16">
        <v>25.381861674959502</v>
      </c>
      <c r="AM16">
        <v>26.007023223198622</v>
      </c>
      <c r="AN16">
        <v>26.682114624908355</v>
      </c>
    </row>
    <row r="17" spans="1:40" x14ac:dyDescent="0.25">
      <c r="A17" s="96" t="s">
        <v>897</v>
      </c>
      <c r="B17">
        <v>10.112362730183554</v>
      </c>
      <c r="C17">
        <v>8.5007203734218884</v>
      </c>
      <c r="D17">
        <v>7.7653014266725382</v>
      </c>
      <c r="E17">
        <v>7.8585582183696561</v>
      </c>
      <c r="F17">
        <v>7.6166575811777113</v>
      </c>
      <c r="G17">
        <v>7.2676899905857173</v>
      </c>
      <c r="H17">
        <v>7.0928076077901956</v>
      </c>
      <c r="I17">
        <v>6.7895805384473107</v>
      </c>
      <c r="J17">
        <v>5.5395441341179819</v>
      </c>
      <c r="K17">
        <v>5.6650824418180408</v>
      </c>
      <c r="L17">
        <v>5.7151179539530679</v>
      </c>
      <c r="M17">
        <v>5.7834214959080672</v>
      </c>
      <c r="N17">
        <v>5.891744250290798</v>
      </c>
      <c r="O17">
        <v>6.0386177502028104</v>
      </c>
      <c r="P17">
        <v>6.1810468439326582</v>
      </c>
      <c r="Q17">
        <v>6.3307968903523228</v>
      </c>
      <c r="R17">
        <v>6.5005469605789363</v>
      </c>
      <c r="S17">
        <v>6.7469701193181173</v>
      </c>
      <c r="T17">
        <v>6.9645438930507204</v>
      </c>
      <c r="U17">
        <v>7.2642905837274876</v>
      </c>
      <c r="V17">
        <v>7.6165217660109006</v>
      </c>
      <c r="W17">
        <v>7.9708467351610119</v>
      </c>
      <c r="X17">
        <v>8.3506559498367015</v>
      </c>
      <c r="Y17">
        <v>8.8308793056775485</v>
      </c>
      <c r="Z17">
        <v>9.2631119812253129</v>
      </c>
      <c r="AA17">
        <v>9.7001657965888324</v>
      </c>
      <c r="AB17">
        <v>10.122199009055521</v>
      </c>
      <c r="AC17">
        <v>10.548860068139749</v>
      </c>
      <c r="AD17">
        <v>10.988663855455595</v>
      </c>
      <c r="AE17">
        <v>11.419316718040559</v>
      </c>
      <c r="AF17">
        <v>11.842864946898526</v>
      </c>
      <c r="AG17">
        <v>12.260957333092508</v>
      </c>
      <c r="AH17">
        <v>12.67630003107922</v>
      </c>
      <c r="AI17">
        <v>13.093477295435996</v>
      </c>
      <c r="AJ17">
        <v>13.462828088563523</v>
      </c>
      <c r="AK17">
        <v>13.83089229550253</v>
      </c>
      <c r="AL17">
        <v>14.201888568407229</v>
      </c>
      <c r="AM17">
        <v>14.577737580063628</v>
      </c>
      <c r="AN17">
        <v>14.97305467762345</v>
      </c>
    </row>
    <row r="18" spans="1:40" x14ac:dyDescent="0.25">
      <c r="A18" s="96" t="s">
        <v>979</v>
      </c>
      <c r="B18">
        <v>1.2396211872289537E-4</v>
      </c>
      <c r="C18">
        <v>1.3639597438124391E-4</v>
      </c>
      <c r="D18">
        <v>1.4782778941609218E-4</v>
      </c>
      <c r="E18">
        <v>1.433373755900728E-4</v>
      </c>
      <c r="F18">
        <v>1.4102836937202948E-4</v>
      </c>
      <c r="G18">
        <v>1.3573729608291313E-4</v>
      </c>
      <c r="H18">
        <v>1.4250803609018416E-4</v>
      </c>
      <c r="I18">
        <v>1.4349767581431678E-4</v>
      </c>
      <c r="J18">
        <v>1.1077458554618781E-4</v>
      </c>
      <c r="K18">
        <v>1.2272309954097676E-4</v>
      </c>
      <c r="L18">
        <v>1.265790961958254E-4</v>
      </c>
      <c r="M18">
        <v>1.3088259036532032E-4</v>
      </c>
      <c r="N18">
        <v>1.3647595294192876E-4</v>
      </c>
      <c r="O18">
        <v>1.4444262285271943E-4</v>
      </c>
      <c r="P18">
        <v>1.4909047543167897E-4</v>
      </c>
      <c r="Q18">
        <v>1.5384452910483781E-4</v>
      </c>
      <c r="R18">
        <v>1.5903968594170402E-4</v>
      </c>
      <c r="S18">
        <v>1.2376511719270039E-4</v>
      </c>
      <c r="T18">
        <v>1.2376511719270041E-4</v>
      </c>
      <c r="U18">
        <v>1.2376511719270044E-4</v>
      </c>
      <c r="V18">
        <v>1.2376511719270041E-4</v>
      </c>
      <c r="W18">
        <v>1.2376511719270041E-4</v>
      </c>
      <c r="X18">
        <v>1.2376511719270041E-4</v>
      </c>
      <c r="Y18">
        <v>1.2376511719270041E-4</v>
      </c>
      <c r="Z18">
        <v>1.2376511719270047E-4</v>
      </c>
      <c r="AA18">
        <v>1.2376511719270047E-4</v>
      </c>
      <c r="AB18">
        <v>1.2376511719270041E-4</v>
      </c>
      <c r="AC18">
        <v>1.2376511719270041E-4</v>
      </c>
      <c r="AD18">
        <v>1.2376511719270039E-4</v>
      </c>
      <c r="AE18">
        <v>1.2376511719270041E-4</v>
      </c>
      <c r="AF18">
        <v>1.2376511719270039E-4</v>
      </c>
      <c r="AG18">
        <v>1.2376511719270047E-4</v>
      </c>
      <c r="AH18">
        <v>1.2376511719270052E-4</v>
      </c>
      <c r="AI18">
        <v>1.2376511719270058E-4</v>
      </c>
      <c r="AJ18">
        <v>1.2376511719270058E-4</v>
      </c>
      <c r="AK18">
        <v>1.2376511719270052E-4</v>
      </c>
      <c r="AL18">
        <v>1.2376511719270052E-4</v>
      </c>
      <c r="AM18">
        <v>1.237651171927005E-4</v>
      </c>
      <c r="AN18">
        <v>1.2376511719270052E-4</v>
      </c>
    </row>
    <row r="19" spans="1:40" x14ac:dyDescent="0.25">
      <c r="A19" s="96" t="s">
        <v>893</v>
      </c>
      <c r="B19">
        <v>84.250557323845101</v>
      </c>
      <c r="C19">
        <v>82.451215835678212</v>
      </c>
      <c r="D19">
        <v>80.166243478069532</v>
      </c>
      <c r="E19">
        <v>77.626015719858643</v>
      </c>
      <c r="F19">
        <v>76.22541754695969</v>
      </c>
      <c r="G19">
        <v>74.388929903020184</v>
      </c>
      <c r="H19">
        <v>74.661627930767523</v>
      </c>
      <c r="I19">
        <v>74.775428105381266</v>
      </c>
      <c r="J19">
        <v>70.522195251866989</v>
      </c>
      <c r="K19">
        <v>73.094492492143644</v>
      </c>
      <c r="L19">
        <v>73.214968744367397</v>
      </c>
      <c r="M19">
        <v>74.270210908090405</v>
      </c>
      <c r="N19">
        <v>74.302275677412496</v>
      </c>
      <c r="O19">
        <v>72.946609309788073</v>
      </c>
      <c r="P19">
        <v>74.534785437994302</v>
      </c>
      <c r="Q19">
        <v>76.951376992110681</v>
      </c>
      <c r="R19">
        <v>77.843900415805521</v>
      </c>
      <c r="S19">
        <v>79.070428521803947</v>
      </c>
      <c r="T19">
        <v>77.488568884480685</v>
      </c>
      <c r="U19">
        <v>80.001746636610036</v>
      </c>
      <c r="V19">
        <v>81.615727730669292</v>
      </c>
      <c r="W19">
        <v>83.144940101381721</v>
      </c>
      <c r="X19">
        <v>84.082398572093226</v>
      </c>
      <c r="Y19">
        <v>84.304176107667672</v>
      </c>
      <c r="Z19">
        <v>86.706826920772002</v>
      </c>
      <c r="AA19">
        <v>88.824376735822355</v>
      </c>
      <c r="AB19">
        <v>90.953130838479012</v>
      </c>
      <c r="AC19">
        <v>93.067176333633881</v>
      </c>
      <c r="AD19">
        <v>95.21376631469569</v>
      </c>
      <c r="AE19">
        <v>96.850170559997039</v>
      </c>
      <c r="AF19">
        <v>98.234253996043691</v>
      </c>
      <c r="AG19">
        <v>99.652597349120313</v>
      </c>
      <c r="AH19">
        <v>101.07044472386205</v>
      </c>
      <c r="AI19">
        <v>102.5096778995579</v>
      </c>
      <c r="AJ19">
        <v>103.8756184684088</v>
      </c>
      <c r="AK19">
        <v>105.22907993312295</v>
      </c>
      <c r="AL19">
        <v>106.64135677829437</v>
      </c>
      <c r="AM19">
        <v>108.08092477062478</v>
      </c>
      <c r="AN19">
        <v>109.5489131273044</v>
      </c>
    </row>
    <row r="20" spans="1:40" x14ac:dyDescent="0.25">
      <c r="A20" s="96" t="s">
        <v>904</v>
      </c>
      <c r="B20">
        <v>21.151207305916397</v>
      </c>
      <c r="C20">
        <v>22.521282491755183</v>
      </c>
      <c r="D20">
        <v>24.217986565765905</v>
      </c>
      <c r="E20">
        <v>25.461135067347364</v>
      </c>
      <c r="F20">
        <v>26.297310750693875</v>
      </c>
      <c r="G20">
        <v>28.16300470040489</v>
      </c>
      <c r="H20">
        <v>30.348501189694851</v>
      </c>
      <c r="I20">
        <v>31.793574952699373</v>
      </c>
      <c r="J20">
        <v>30.484415949333048</v>
      </c>
      <c r="K20">
        <v>31.715305188613026</v>
      </c>
      <c r="L20">
        <v>33.102158131950326</v>
      </c>
      <c r="M20">
        <v>34.659094884560439</v>
      </c>
      <c r="N20">
        <v>36.39067919900473</v>
      </c>
      <c r="O20">
        <v>38.204349046553844</v>
      </c>
      <c r="P20">
        <v>40.242752534029108</v>
      </c>
      <c r="Q20">
        <v>42.352494691702802</v>
      </c>
      <c r="R20">
        <v>44.62959349611431</v>
      </c>
      <c r="S20">
        <v>47.059568403454492</v>
      </c>
      <c r="T20">
        <v>49.336141685836502</v>
      </c>
      <c r="U20">
        <v>52.129708803872987</v>
      </c>
      <c r="V20">
        <v>55.076493025987219</v>
      </c>
      <c r="W20">
        <v>58.127939356488781</v>
      </c>
      <c r="X20">
        <v>61.165718763166645</v>
      </c>
      <c r="Y20">
        <v>64.743710634723442</v>
      </c>
      <c r="Z20">
        <v>68.410556921662561</v>
      </c>
      <c r="AA20">
        <v>72.216463325601225</v>
      </c>
      <c r="AB20">
        <v>76.013255310377787</v>
      </c>
      <c r="AC20">
        <v>79.97978335920952</v>
      </c>
      <c r="AD20">
        <v>84.167229780771748</v>
      </c>
      <c r="AE20">
        <v>88.703651014964663</v>
      </c>
      <c r="AF20">
        <v>93.495987804506427</v>
      </c>
      <c r="AG20">
        <v>98.513167089164398</v>
      </c>
      <c r="AH20">
        <v>103.74106028177358</v>
      </c>
      <c r="AI20">
        <v>109.17954792194922</v>
      </c>
      <c r="AJ20">
        <v>114.28179559976975</v>
      </c>
      <c r="AK20">
        <v>119.64957820111283</v>
      </c>
      <c r="AL20">
        <v>125.31986083075584</v>
      </c>
      <c r="AM20">
        <v>131.28607556652435</v>
      </c>
      <c r="AN20">
        <v>137.69966432544891</v>
      </c>
    </row>
    <row r="21" spans="1:40" x14ac:dyDescent="0.25">
      <c r="A21" s="96" t="s">
        <v>903</v>
      </c>
      <c r="B21">
        <v>135.95535691221758</v>
      </c>
      <c r="C21">
        <v>139.80351127853945</v>
      </c>
      <c r="D21">
        <v>142.66409200833968</v>
      </c>
      <c r="E21">
        <v>144.13036048331253</v>
      </c>
      <c r="F21">
        <v>145.0014302833948</v>
      </c>
      <c r="G21">
        <v>146.55585903275639</v>
      </c>
      <c r="H21">
        <v>148.28569594981948</v>
      </c>
      <c r="I21">
        <v>149.06461652943278</v>
      </c>
      <c r="J21">
        <v>137.82766079356369</v>
      </c>
      <c r="K21">
        <v>140.70394471007126</v>
      </c>
      <c r="L21">
        <v>143.76714641829912</v>
      </c>
      <c r="M21">
        <v>147.12848647576391</v>
      </c>
      <c r="N21">
        <v>150.76049449915379</v>
      </c>
      <c r="O21">
        <v>154.33485001807401</v>
      </c>
      <c r="P21">
        <v>158.36097525088041</v>
      </c>
      <c r="Q21">
        <v>162.47821309092055</v>
      </c>
      <c r="R21">
        <v>166.85402227556517</v>
      </c>
      <c r="S21">
        <v>171.19273800324726</v>
      </c>
      <c r="T21">
        <v>174.84705057564088</v>
      </c>
      <c r="U21">
        <v>179.31069111024703</v>
      </c>
      <c r="V21">
        <v>183.8200659769339</v>
      </c>
      <c r="W21">
        <v>188.45915175381029</v>
      </c>
      <c r="X21">
        <v>192.83647380242422</v>
      </c>
      <c r="Y21">
        <v>197.4490556385359</v>
      </c>
      <c r="Z21">
        <v>202.3032772288403</v>
      </c>
      <c r="AA21">
        <v>207.34778110170382</v>
      </c>
      <c r="AB21">
        <v>212.31258981749002</v>
      </c>
      <c r="AC21">
        <v>217.46651232501361</v>
      </c>
      <c r="AD21">
        <v>222.94594056097739</v>
      </c>
      <c r="AE21">
        <v>228.74169932221261</v>
      </c>
      <c r="AF21">
        <v>234.76776055763202</v>
      </c>
      <c r="AG21">
        <v>241.02171215001968</v>
      </c>
      <c r="AH21">
        <v>247.53264718985847</v>
      </c>
      <c r="AI21">
        <v>254.37037860613714</v>
      </c>
      <c r="AJ21">
        <v>260.75466562266104</v>
      </c>
      <c r="AK21">
        <v>267.45156625352439</v>
      </c>
      <c r="AL21">
        <v>274.50343300227337</v>
      </c>
      <c r="AM21">
        <v>281.92696162795829</v>
      </c>
      <c r="AN21">
        <v>289.90858523747522</v>
      </c>
    </row>
    <row r="22" spans="1:40" x14ac:dyDescent="0.25">
      <c r="A22" s="96" t="s">
        <v>902</v>
      </c>
      <c r="B22">
        <v>11.263564724197627</v>
      </c>
      <c r="C22">
        <v>11.573114330999795</v>
      </c>
      <c r="D22">
        <v>11.904421804272397</v>
      </c>
      <c r="E22">
        <v>12.110094606966681</v>
      </c>
      <c r="F22">
        <v>12.166932788027333</v>
      </c>
      <c r="G22">
        <v>12.293711060955006</v>
      </c>
      <c r="H22">
        <v>12.562958323284702</v>
      </c>
      <c r="I22">
        <v>12.711588758003899</v>
      </c>
      <c r="J22">
        <v>11.921653112246329</v>
      </c>
      <c r="K22">
        <v>12.235304710288451</v>
      </c>
      <c r="L22">
        <v>12.501281403627599</v>
      </c>
      <c r="M22">
        <v>12.741742363348116</v>
      </c>
      <c r="N22">
        <v>12.98624838026327</v>
      </c>
      <c r="O22">
        <v>13.214479448270467</v>
      </c>
      <c r="P22">
        <v>13.465168709241487</v>
      </c>
      <c r="Q22">
        <v>13.703477984695741</v>
      </c>
      <c r="R22">
        <v>13.943442716705752</v>
      </c>
      <c r="S22">
        <v>14.18613399699187</v>
      </c>
      <c r="T22">
        <v>14.466589529547347</v>
      </c>
      <c r="U22">
        <v>14.845840463025313</v>
      </c>
      <c r="V22">
        <v>15.167896365378041</v>
      </c>
      <c r="W22">
        <v>15.482175648100521</v>
      </c>
      <c r="X22">
        <v>15.753527531290876</v>
      </c>
      <c r="Y22">
        <v>16.029022897704866</v>
      </c>
      <c r="Z22">
        <v>16.344022280745968</v>
      </c>
      <c r="AA22">
        <v>16.653030576959534</v>
      </c>
      <c r="AB22">
        <v>16.95834435079685</v>
      </c>
      <c r="AC22">
        <v>17.270783697210387</v>
      </c>
      <c r="AD22">
        <v>17.605624985872634</v>
      </c>
      <c r="AE22">
        <v>17.958545368952624</v>
      </c>
      <c r="AF22">
        <v>18.326368122704476</v>
      </c>
      <c r="AG22">
        <v>18.695411513294513</v>
      </c>
      <c r="AH22">
        <v>19.063846336311084</v>
      </c>
      <c r="AI22">
        <v>19.436090482310849</v>
      </c>
      <c r="AJ22">
        <v>19.764024399763979</v>
      </c>
      <c r="AK22">
        <v>20.084817159876348</v>
      </c>
      <c r="AL22">
        <v>20.430774533226025</v>
      </c>
      <c r="AM22">
        <v>20.793147678228024</v>
      </c>
      <c r="AN22">
        <v>21.18512097954352</v>
      </c>
    </row>
    <row r="23" spans="1:40" x14ac:dyDescent="0.25">
      <c r="A23" s="96" t="s">
        <v>905</v>
      </c>
      <c r="B23">
        <v>1.1351531206547518</v>
      </c>
      <c r="C23">
        <v>1.1581435930988344</v>
      </c>
      <c r="D23">
        <v>1.1466897745006903</v>
      </c>
      <c r="E23">
        <v>1.1404041486992398</v>
      </c>
      <c r="F23">
        <v>1.158082223645845</v>
      </c>
      <c r="G23">
        <v>1.1690400702239674</v>
      </c>
      <c r="H23">
        <v>1.1399086849076014</v>
      </c>
      <c r="I23">
        <v>1.1221637155461712</v>
      </c>
      <c r="J23">
        <v>1.0096297710191362</v>
      </c>
      <c r="K23">
        <v>1.0106492879161646</v>
      </c>
      <c r="L23">
        <v>1.0302529717942739</v>
      </c>
      <c r="M23">
        <v>1.0620864750479064</v>
      </c>
      <c r="N23">
        <v>1.0998118752864574</v>
      </c>
      <c r="O23">
        <v>1.1401523216394778</v>
      </c>
      <c r="P23">
        <v>1.1865134987803243</v>
      </c>
      <c r="Q23">
        <v>1.2382503590157974</v>
      </c>
      <c r="R23">
        <v>1.2967453569894312</v>
      </c>
      <c r="S23">
        <v>1.3581112576656127</v>
      </c>
      <c r="T23">
        <v>1.393039840277065</v>
      </c>
      <c r="U23">
        <v>1.4236346020613615</v>
      </c>
      <c r="V23">
        <v>1.4718356260352397</v>
      </c>
      <c r="W23">
        <v>1.526684010572724</v>
      </c>
      <c r="X23">
        <v>1.5859732062358185</v>
      </c>
      <c r="Y23">
        <v>1.6511561750372967</v>
      </c>
      <c r="Z23">
        <v>1.7137906368871529</v>
      </c>
      <c r="AA23">
        <v>1.7838412023456807</v>
      </c>
      <c r="AB23">
        <v>1.852760928004608</v>
      </c>
      <c r="AC23">
        <v>1.9252952057275514</v>
      </c>
      <c r="AD23">
        <v>2.0011863599229782</v>
      </c>
      <c r="AE23">
        <v>2.0799279842080454</v>
      </c>
      <c r="AF23">
        <v>2.161300898584174</v>
      </c>
      <c r="AG23">
        <v>2.2491417997344558</v>
      </c>
      <c r="AH23">
        <v>2.3449152122731407</v>
      </c>
      <c r="AI23">
        <v>2.4496740414846618</v>
      </c>
      <c r="AJ23">
        <v>2.553957149593189</v>
      </c>
      <c r="AK23">
        <v>2.6701459219060015</v>
      </c>
      <c r="AL23">
        <v>2.7900071780000926</v>
      </c>
      <c r="AM23">
        <v>2.9167674131821033</v>
      </c>
      <c r="AN23">
        <v>3.0523121519180978</v>
      </c>
    </row>
    <row r="24" spans="1:40" x14ac:dyDescent="0.25">
      <c r="A24" s="96" t="s">
        <v>900</v>
      </c>
      <c r="B24">
        <v>27.516308224731535</v>
      </c>
      <c r="C24">
        <v>26.933321910754717</v>
      </c>
      <c r="D24">
        <v>26.357240851505608</v>
      </c>
      <c r="E24">
        <v>25.784669574259389</v>
      </c>
      <c r="F24">
        <v>25.784669574259372</v>
      </c>
      <c r="G24">
        <v>25.792154377886234</v>
      </c>
      <c r="H24">
        <v>25.78096221762112</v>
      </c>
      <c r="I24">
        <v>25.777254860982886</v>
      </c>
      <c r="J24">
        <v>25.780962217621408</v>
      </c>
      <c r="K24">
        <v>25.780962217621408</v>
      </c>
      <c r="L24">
        <v>25.780962217621404</v>
      </c>
      <c r="M24">
        <v>25.780962217621397</v>
      </c>
      <c r="N24">
        <v>25.780962217621397</v>
      </c>
      <c r="O24">
        <v>25.221712610799649</v>
      </c>
      <c r="P24">
        <v>25.221712610799649</v>
      </c>
      <c r="Q24">
        <v>25.198560689428401</v>
      </c>
      <c r="R24">
        <v>25.198154966054339</v>
      </c>
      <c r="S24">
        <v>25.22443266858593</v>
      </c>
      <c r="T24">
        <v>25.198154966054339</v>
      </c>
      <c r="U24">
        <v>24.729363674487423</v>
      </c>
      <c r="V24">
        <v>24.107340422025779</v>
      </c>
      <c r="W24">
        <v>24.068889189911349</v>
      </c>
      <c r="X24">
        <v>23.566180013629189</v>
      </c>
      <c r="Y24">
        <v>22.355593289542004</v>
      </c>
      <c r="Z24">
        <v>22.403008355083625</v>
      </c>
      <c r="AA24">
        <v>22.450423420625238</v>
      </c>
      <c r="AB24">
        <v>22.497838486166845</v>
      </c>
      <c r="AC24">
        <v>22.545253551708463</v>
      </c>
      <c r="AD24">
        <v>22.592668617250066</v>
      </c>
      <c r="AE24">
        <v>22.390297614205075</v>
      </c>
      <c r="AF24">
        <v>22.187926611160076</v>
      </c>
      <c r="AG24">
        <v>21.985555608115085</v>
      </c>
      <c r="AH24">
        <v>21.783184605070087</v>
      </c>
      <c r="AI24">
        <v>21.580813602025103</v>
      </c>
      <c r="AJ24">
        <v>21.378442598980104</v>
      </c>
      <c r="AK24">
        <v>21.176071595935095</v>
      </c>
      <c r="AL24">
        <v>20.973700592890108</v>
      </c>
      <c r="AM24">
        <v>20.771329589845102</v>
      </c>
      <c r="AN24">
        <v>20.568958586800107</v>
      </c>
    </row>
    <row r="25" spans="1:40" x14ac:dyDescent="0.25">
      <c r="A25" s="96" t="s">
        <v>890</v>
      </c>
      <c r="B25">
        <v>66.42036548153871</v>
      </c>
      <c r="C25">
        <v>67.405879473318592</v>
      </c>
      <c r="D25">
        <v>64.422201326406551</v>
      </c>
      <c r="E25">
        <v>61.447467786677329</v>
      </c>
      <c r="F25">
        <v>61.142610702865952</v>
      </c>
      <c r="G25">
        <v>61.268075561889901</v>
      </c>
      <c r="H25">
        <v>60.912459713234377</v>
      </c>
      <c r="I25">
        <v>60.468556482084786</v>
      </c>
      <c r="J25">
        <v>58.515171706745178</v>
      </c>
      <c r="K25">
        <v>58.254298294534607</v>
      </c>
      <c r="L25">
        <v>58.043794250560346</v>
      </c>
      <c r="M25">
        <v>58.268510979649157</v>
      </c>
      <c r="N25">
        <v>58.634403368923351</v>
      </c>
      <c r="O25">
        <v>59.586142400355428</v>
      </c>
      <c r="P25">
        <v>59.40613908356876</v>
      </c>
      <c r="Q25">
        <v>59.339774819221503</v>
      </c>
      <c r="R25">
        <v>59.635924277118903</v>
      </c>
      <c r="S25">
        <v>59.8003165606208</v>
      </c>
      <c r="T25">
        <v>60.405002253054697</v>
      </c>
      <c r="U25">
        <v>59.924771535685913</v>
      </c>
      <c r="V25">
        <v>59.693945281900724</v>
      </c>
      <c r="W25">
        <v>59.46503786708054</v>
      </c>
      <c r="X25">
        <v>59.155273715860652</v>
      </c>
      <c r="Y25">
        <v>58.166723000493484</v>
      </c>
      <c r="Z25">
        <v>57.190274817346371</v>
      </c>
      <c r="AA25">
        <v>56.213826634199208</v>
      </c>
      <c r="AB25">
        <v>55.237378451052074</v>
      </c>
      <c r="AC25">
        <v>54.260930267904918</v>
      </c>
      <c r="AD25">
        <v>53.284482084757748</v>
      </c>
      <c r="AE25">
        <v>52.724292816706132</v>
      </c>
      <c r="AF25">
        <v>52.164103548654488</v>
      </c>
      <c r="AG25">
        <v>51.603914280602893</v>
      </c>
      <c r="AH25">
        <v>51.043725012551292</v>
      </c>
      <c r="AI25">
        <v>50.483535744499683</v>
      </c>
      <c r="AJ25">
        <v>49.923346476448074</v>
      </c>
      <c r="AK25">
        <v>49.363157208396451</v>
      </c>
      <c r="AL25">
        <v>48.802967940344814</v>
      </c>
      <c r="AM25">
        <v>48.242778672293184</v>
      </c>
      <c r="AN25">
        <v>47.682589404241561</v>
      </c>
    </row>
    <row r="26" spans="1:40" x14ac:dyDescent="0.25">
      <c r="A26" s="96" t="s">
        <v>978</v>
      </c>
      <c r="B26">
        <v>82.179491217841601</v>
      </c>
      <c r="C26">
        <v>84.50800443971292</v>
      </c>
      <c r="D26">
        <v>85.066200384740085</v>
      </c>
      <c r="E26">
        <v>87.862857691775162</v>
      </c>
      <c r="F26">
        <v>86.596312415163254</v>
      </c>
      <c r="G26">
        <v>89.109068351547464</v>
      </c>
      <c r="H26">
        <v>88.501535503459252</v>
      </c>
      <c r="I26">
        <v>87.397574765903016</v>
      </c>
      <c r="J26">
        <v>80.125399958058949</v>
      </c>
      <c r="K26">
        <v>81.288330286721674</v>
      </c>
      <c r="L26">
        <v>82.418015727011721</v>
      </c>
      <c r="M26">
        <v>83.67013371883975</v>
      </c>
      <c r="N26">
        <v>85.080035860198436</v>
      </c>
      <c r="O26">
        <v>86.477142781507553</v>
      </c>
      <c r="P26">
        <v>88.05558898113857</v>
      </c>
      <c r="Q26">
        <v>89.638000044723356</v>
      </c>
      <c r="R26">
        <v>91.398910141975037</v>
      </c>
      <c r="S26">
        <v>93.460871574554602</v>
      </c>
      <c r="T26">
        <v>95.265887957517776</v>
      </c>
      <c r="U26">
        <v>97.611220060852006</v>
      </c>
      <c r="V26">
        <v>100.21803203700961</v>
      </c>
      <c r="W26">
        <v>102.84884384580242</v>
      </c>
      <c r="X26">
        <v>105.5190609104541</v>
      </c>
      <c r="Y26">
        <v>108.80057101055911</v>
      </c>
      <c r="Z26">
        <v>111.76553314492865</v>
      </c>
      <c r="AA26">
        <v>114.77323584337999</v>
      </c>
      <c r="AB26">
        <v>117.68449217817277</v>
      </c>
      <c r="AC26">
        <v>120.66215199786672</v>
      </c>
      <c r="AD26">
        <v>123.78456809757866</v>
      </c>
      <c r="AE26">
        <v>126.89024636513</v>
      </c>
      <c r="AF26">
        <v>130.04903354739113</v>
      </c>
      <c r="AG26">
        <v>133.27753266484626</v>
      </c>
      <c r="AH26">
        <v>136.59749149005469</v>
      </c>
      <c r="AI26">
        <v>140.05409850312279</v>
      </c>
      <c r="AJ26">
        <v>143.25297592564638</v>
      </c>
      <c r="AK26">
        <v>146.57849291470106</v>
      </c>
      <c r="AL26">
        <v>150.06448678339873</v>
      </c>
      <c r="AM26">
        <v>153.72882875335486</v>
      </c>
      <c r="AN26">
        <v>157.68393178206631</v>
      </c>
    </row>
    <row r="27" spans="1:40" x14ac:dyDescent="0.25">
      <c r="A27" s="96"/>
    </row>
    <row r="34" spans="1:39" x14ac:dyDescent="0.25">
      <c r="A34" s="96" t="s">
        <v>939</v>
      </c>
      <c r="B34" s="96" t="s">
        <v>940</v>
      </c>
      <c r="C34" s="96" t="s">
        <v>941</v>
      </c>
      <c r="D34" s="96" t="s">
        <v>942</v>
      </c>
      <c r="E34" s="96" t="s">
        <v>943</v>
      </c>
      <c r="F34" s="96" t="s">
        <v>944</v>
      </c>
      <c r="G34" s="96" t="s">
        <v>945</v>
      </c>
      <c r="H34" s="96" t="s">
        <v>946</v>
      </c>
      <c r="I34" s="96" t="s">
        <v>947</v>
      </c>
      <c r="J34" s="96" t="s">
        <v>948</v>
      </c>
      <c r="K34" s="96" t="s">
        <v>949</v>
      </c>
      <c r="L34" s="96" t="s">
        <v>950</v>
      </c>
      <c r="M34" s="96" t="s">
        <v>951</v>
      </c>
      <c r="N34" s="96" t="s">
        <v>952</v>
      </c>
      <c r="O34" s="96" t="s">
        <v>953</v>
      </c>
      <c r="P34" s="96" t="s">
        <v>954</v>
      </c>
      <c r="Q34" s="96" t="s">
        <v>955</v>
      </c>
      <c r="R34" s="96" t="s">
        <v>956</v>
      </c>
      <c r="S34" s="96" t="s">
        <v>957</v>
      </c>
      <c r="T34" s="96" t="s">
        <v>958</v>
      </c>
      <c r="U34" s="96" t="s">
        <v>959</v>
      </c>
      <c r="V34" s="96" t="s">
        <v>960</v>
      </c>
      <c r="W34" s="96" t="s">
        <v>961</v>
      </c>
      <c r="X34" s="96" t="s">
        <v>962</v>
      </c>
      <c r="Y34" s="96" t="s">
        <v>963</v>
      </c>
      <c r="Z34" s="96" t="s">
        <v>964</v>
      </c>
      <c r="AA34" s="96" t="s">
        <v>965</v>
      </c>
      <c r="AB34" s="96" t="s">
        <v>966</v>
      </c>
      <c r="AC34" s="96" t="s">
        <v>967</v>
      </c>
      <c r="AD34" s="96" t="s">
        <v>968</v>
      </c>
      <c r="AE34" s="96" t="s">
        <v>969</v>
      </c>
      <c r="AF34" s="96" t="s">
        <v>970</v>
      </c>
      <c r="AG34" s="96" t="s">
        <v>971</v>
      </c>
      <c r="AH34" s="96" t="s">
        <v>972</v>
      </c>
      <c r="AI34" s="96" t="s">
        <v>973</v>
      </c>
      <c r="AJ34" s="96" t="s">
        <v>974</v>
      </c>
      <c r="AK34" s="96" t="s">
        <v>975</v>
      </c>
      <c r="AL34" s="96" t="s">
        <v>976</v>
      </c>
      <c r="AM34" s="96" t="s">
        <v>977</v>
      </c>
    </row>
    <row r="35" spans="1:39" x14ac:dyDescent="0.25">
      <c r="A35">
        <v>52325.432882070083</v>
      </c>
      <c r="B35">
        <v>53104.386458423345</v>
      </c>
      <c r="C35">
        <v>53912.365691429273</v>
      </c>
      <c r="D35">
        <v>54750.491457321114</v>
      </c>
      <c r="E35">
        <v>55619.940469824825</v>
      </c>
      <c r="F35">
        <v>56521.948041648095</v>
      </c>
      <c r="G35">
        <v>57436.000617299658</v>
      </c>
      <c r="H35">
        <v>58364.834921819442</v>
      </c>
      <c r="I35">
        <v>59308.69</v>
      </c>
      <c r="J35">
        <v>60097.87398848695</v>
      </c>
      <c r="K35">
        <v>60841.58228680936</v>
      </c>
      <c r="L35">
        <v>61537.824355929828</v>
      </c>
      <c r="M35">
        <v>62221.509701386371</v>
      </c>
      <c r="N35">
        <v>62892.038582526089</v>
      </c>
      <c r="O35">
        <v>63548.817559440096</v>
      </c>
      <c r="P35">
        <v>64191.260356766121</v>
      </c>
      <c r="Q35">
        <v>64818.78872542824</v>
      </c>
      <c r="R35">
        <v>65435.442210930109</v>
      </c>
      <c r="S35">
        <v>66040.790860694062</v>
      </c>
      <c r="T35">
        <v>66634.409418703101</v>
      </c>
      <c r="U35">
        <v>67215.877817791683</v>
      </c>
      <c r="V35">
        <v>67784.781669940756</v>
      </c>
      <c r="W35">
        <v>68342.055626742411</v>
      </c>
      <c r="X35">
        <v>68887.330858600355</v>
      </c>
      <c r="Y35">
        <v>69420.244147098419</v>
      </c>
      <c r="Z35">
        <v>69940.43828496871</v>
      </c>
      <c r="AA35">
        <v>70447.562472153164</v>
      </c>
      <c r="AB35">
        <v>70942.722252264575</v>
      </c>
      <c r="AC35">
        <v>71425.610993241411</v>
      </c>
      <c r="AD35">
        <v>71895.928013305995</v>
      </c>
      <c r="AE35">
        <v>72353.378891150234</v>
      </c>
      <c r="AF35">
        <v>72797.675771420298</v>
      </c>
      <c r="AG35">
        <v>73228.597899236789</v>
      </c>
      <c r="AH35">
        <v>73645.872502840066</v>
      </c>
      <c r="AI35">
        <v>74049.234192071817</v>
      </c>
      <c r="AJ35">
        <v>74438.425238522788</v>
      </c>
      <c r="AK35">
        <v>74813.195848926669</v>
      </c>
      <c r="AL35">
        <v>75173.102421925723</v>
      </c>
      <c r="AM35">
        <v>75517.908954390194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sheetPr>
  <dimension ref="A6:AP41"/>
  <sheetViews>
    <sheetView workbookViewId="0">
      <selection activeCell="A3" sqref="A3"/>
    </sheetView>
  </sheetViews>
  <sheetFormatPr defaultRowHeight="15" x14ac:dyDescent="0.25"/>
  <cols>
    <col min="1" max="1" width="46.42578125" customWidth="1"/>
  </cols>
  <sheetData>
    <row r="6" spans="1:42" x14ac:dyDescent="0.25">
      <c r="D6">
        <v>2012</v>
      </c>
      <c r="E6">
        <f>D6+1</f>
        <v>2013</v>
      </c>
      <c r="F6">
        <f t="shared" ref="F6:AP6" si="0">E6+1</f>
        <v>2014</v>
      </c>
      <c r="G6">
        <f t="shared" si="0"/>
        <v>2015</v>
      </c>
      <c r="H6">
        <f t="shared" si="0"/>
        <v>2016</v>
      </c>
      <c r="I6">
        <f t="shared" si="0"/>
        <v>2017</v>
      </c>
      <c r="J6">
        <f t="shared" si="0"/>
        <v>2018</v>
      </c>
      <c r="K6">
        <f t="shared" si="0"/>
        <v>2019</v>
      </c>
      <c r="L6">
        <f t="shared" si="0"/>
        <v>2020</v>
      </c>
      <c r="M6">
        <f t="shared" si="0"/>
        <v>2021</v>
      </c>
      <c r="N6">
        <f t="shared" si="0"/>
        <v>2022</v>
      </c>
      <c r="O6">
        <f t="shared" si="0"/>
        <v>2023</v>
      </c>
      <c r="P6">
        <f t="shared" si="0"/>
        <v>2024</v>
      </c>
      <c r="Q6">
        <f t="shared" si="0"/>
        <v>2025</v>
      </c>
      <c r="R6">
        <f t="shared" si="0"/>
        <v>2026</v>
      </c>
      <c r="S6">
        <f t="shared" si="0"/>
        <v>2027</v>
      </c>
      <c r="T6">
        <f t="shared" si="0"/>
        <v>2028</v>
      </c>
      <c r="U6">
        <f t="shared" si="0"/>
        <v>2029</v>
      </c>
      <c r="V6">
        <f t="shared" si="0"/>
        <v>2030</v>
      </c>
      <c r="W6">
        <f t="shared" si="0"/>
        <v>2031</v>
      </c>
      <c r="X6">
        <f t="shared" si="0"/>
        <v>2032</v>
      </c>
      <c r="Y6">
        <f t="shared" si="0"/>
        <v>2033</v>
      </c>
      <c r="Z6">
        <f t="shared" si="0"/>
        <v>2034</v>
      </c>
      <c r="AA6">
        <f t="shared" si="0"/>
        <v>2035</v>
      </c>
      <c r="AB6">
        <f t="shared" si="0"/>
        <v>2036</v>
      </c>
      <c r="AC6">
        <f t="shared" si="0"/>
        <v>2037</v>
      </c>
      <c r="AD6">
        <f t="shared" si="0"/>
        <v>2038</v>
      </c>
      <c r="AE6">
        <f t="shared" si="0"/>
        <v>2039</v>
      </c>
      <c r="AF6">
        <f t="shared" si="0"/>
        <v>2040</v>
      </c>
      <c r="AG6">
        <f t="shared" si="0"/>
        <v>2041</v>
      </c>
      <c r="AH6">
        <f t="shared" si="0"/>
        <v>2042</v>
      </c>
      <c r="AI6">
        <f t="shared" si="0"/>
        <v>2043</v>
      </c>
      <c r="AJ6">
        <f t="shared" si="0"/>
        <v>2044</v>
      </c>
      <c r="AK6">
        <f t="shared" si="0"/>
        <v>2045</v>
      </c>
      <c r="AL6">
        <f t="shared" si="0"/>
        <v>2046</v>
      </c>
      <c r="AM6">
        <f t="shared" si="0"/>
        <v>2047</v>
      </c>
      <c r="AN6">
        <f t="shared" si="0"/>
        <v>2048</v>
      </c>
      <c r="AO6">
        <f t="shared" si="0"/>
        <v>2049</v>
      </c>
      <c r="AP6">
        <f t="shared" si="0"/>
        <v>2050</v>
      </c>
    </row>
    <row r="7" spans="1:42" x14ac:dyDescent="0.25">
      <c r="A7" t="str">
        <f>'Emissions summary'!C5</f>
        <v>3A1a Cattle</v>
      </c>
      <c r="B7" t="str">
        <f>"A"&amp;LEFT(A7,4)</f>
        <v>A3A1a</v>
      </c>
      <c r="C7" t="str">
        <f>'Emissions summary'!D5</f>
        <v>CH4</v>
      </c>
      <c r="D7" s="94">
        <f>'Emissions summary'!AB5</f>
        <v>982.08711631369601</v>
      </c>
      <c r="E7" s="94">
        <f>'Emissions summary'!AC5</f>
        <v>981.65380284236221</v>
      </c>
      <c r="F7" s="94">
        <f>'Emissions summary'!AD5</f>
        <v>972.97719871531899</v>
      </c>
      <c r="G7" s="94">
        <f>'Emissions summary'!AE5</f>
        <v>958.06979680598045</v>
      </c>
      <c r="H7" s="94">
        <f>'Emissions summary'!AF5</f>
        <v>939.56873127316123</v>
      </c>
      <c r="I7" s="94">
        <f>'Emissions summary'!AG5</f>
        <v>924.55889964209803</v>
      </c>
      <c r="J7" s="94">
        <f>'Emissions summary'!AH5</f>
        <v>911.65803114460198</v>
      </c>
      <c r="K7" s="94">
        <f>'Emissions summary'!AI5</f>
        <v>898.6575359526737</v>
      </c>
      <c r="L7" s="94">
        <f>'Emissions summary'!AJ5</f>
        <v>800.06717655235741</v>
      </c>
      <c r="M7" s="94">
        <f>'Emissions summary'!AK5</f>
        <v>805.78270666768685</v>
      </c>
      <c r="N7" s="94">
        <f>'Emissions summary'!AL5</f>
        <v>811.49629353741796</v>
      </c>
      <c r="O7" s="94">
        <f>'Emissions summary'!AM5</f>
        <v>818.90015040131777</v>
      </c>
      <c r="P7" s="94">
        <f>'Emissions summary'!AN5</f>
        <v>827.32012782108222</v>
      </c>
      <c r="Q7" s="94">
        <f>'Emissions summary'!AO5</f>
        <v>835.21913678749388</v>
      </c>
      <c r="R7" s="94">
        <f>'Emissions summary'!AP5</f>
        <v>845.73677466088679</v>
      </c>
      <c r="S7" s="94">
        <f>'Emissions summary'!AQ5</f>
        <v>856.6962269605848</v>
      </c>
      <c r="T7" s="94">
        <f>'Emissions summary'!AR5</f>
        <v>868.48497327593191</v>
      </c>
      <c r="U7" s="94">
        <f>'Emissions summary'!AS5</f>
        <v>880.61918456834098</v>
      </c>
      <c r="V7" s="94">
        <f>'Emissions summary'!AT5</f>
        <v>888.7298484331335</v>
      </c>
      <c r="W7" s="94">
        <f>'Emissions summary'!AU5</f>
        <v>895.99293064157223</v>
      </c>
      <c r="X7" s="94">
        <f>'Emissions summary'!AV5</f>
        <v>903.08169279509798</v>
      </c>
      <c r="Y7" s="94">
        <f>'Emissions summary'!AW5</f>
        <v>910.1309157079894</v>
      </c>
      <c r="Z7" s="94">
        <f>'Emissions summary'!AX5</f>
        <v>915.49981502475976</v>
      </c>
      <c r="AA7" s="94">
        <f>'Emissions summary'!AY5</f>
        <v>921.48414792802942</v>
      </c>
      <c r="AB7" s="94">
        <f>'Emissions summary'!AZ5</f>
        <v>928.0486280761379</v>
      </c>
      <c r="AC7" s="94">
        <f>'Emissions summary'!BA5</f>
        <v>934.71711819567258</v>
      </c>
      <c r="AD7" s="94">
        <f>'Emissions summary'!BB5</f>
        <v>940.37015201950817</v>
      </c>
      <c r="AE7" s="94">
        <f>'Emissions summary'!BC5</f>
        <v>946.10722699626751</v>
      </c>
      <c r="AF7" s="94">
        <f>'Emissions summary'!BD5</f>
        <v>952.52392109544382</v>
      </c>
      <c r="AG7" s="94">
        <f>'Emissions summary'!BE5</f>
        <v>962.72675020856445</v>
      </c>
      <c r="AH7" s="94">
        <f>'Emissions summary'!BF5</f>
        <v>973.26641260255235</v>
      </c>
      <c r="AI7" s="94">
        <f>'Emissions summary'!BG5</f>
        <v>984.14585162264325</v>
      </c>
      <c r="AJ7" s="94">
        <f>'Emissions summary'!BH5</f>
        <v>995.33333867673286</v>
      </c>
      <c r="AK7" s="94">
        <f>'Emissions summary'!BI5</f>
        <v>1007.0238769808985</v>
      </c>
      <c r="AL7" s="94">
        <f>'Emissions summary'!BJ5</f>
        <v>1016.3617381584646</v>
      </c>
      <c r="AM7" s="94">
        <f>'Emissions summary'!BK5</f>
        <v>1026.0877877644461</v>
      </c>
      <c r="AN7" s="94">
        <f>'Emissions summary'!BL5</f>
        <v>1036.3654649798314</v>
      </c>
      <c r="AO7" s="94">
        <f>'Emissions summary'!BM5</f>
        <v>1047.2491349903992</v>
      </c>
      <c r="AP7" s="94">
        <f>'Emissions summary'!BN5</f>
        <v>1059.3032913684528</v>
      </c>
    </row>
    <row r="8" spans="1:42" x14ac:dyDescent="0.25">
      <c r="A8" t="str">
        <f>'Emissions summary'!C6</f>
        <v>3A1c Sheep</v>
      </c>
      <c r="B8" t="str">
        <f t="shared" ref="B8:B36" si="1">"A"&amp;LEFT(A8,4)</f>
        <v>A3A1c</v>
      </c>
      <c r="C8" t="str">
        <f>'Emissions summary'!D6</f>
        <v>CH4</v>
      </c>
      <c r="D8" s="94">
        <f>'Emissions summary'!AB6</f>
        <v>146.9535780465819</v>
      </c>
      <c r="E8" s="94">
        <f>'Emissions summary'!AC6</f>
        <v>147.03620471111441</v>
      </c>
      <c r="F8" s="94">
        <f>'Emissions summary'!AD6</f>
        <v>147.2167464697969</v>
      </c>
      <c r="G8" s="94">
        <f>'Emissions summary'!AE6</f>
        <v>147.49037898845441</v>
      </c>
      <c r="H8" s="94">
        <f>'Emissions summary'!AF6</f>
        <v>147.85438301033096</v>
      </c>
      <c r="I8" s="94">
        <f>'Emissions summary'!AG6</f>
        <v>148.3118256706972</v>
      </c>
      <c r="J8" s="94">
        <f>'Emissions summary'!AH6</f>
        <v>148.82213338801986</v>
      </c>
      <c r="K8" s="94">
        <f>'Emissions summary'!AI6</f>
        <v>149.38390224797502</v>
      </c>
      <c r="L8" s="94">
        <f>'Emissions summary'!AJ6</f>
        <v>149.90180414290231</v>
      </c>
      <c r="M8" s="94">
        <f>'Emissions summary'!AK6</f>
        <v>150.29081158910427</v>
      </c>
      <c r="N8" s="94">
        <f>'Emissions summary'!AL6</f>
        <v>150.62811020693795</v>
      </c>
      <c r="O8" s="94">
        <f>'Emissions summary'!AM6</f>
        <v>150.91162330461708</v>
      </c>
      <c r="P8" s="94">
        <f>'Emissions summary'!AN6</f>
        <v>151.19629093261139</v>
      </c>
      <c r="Q8" s="94">
        <f>'Emissions summary'!AO6</f>
        <v>151.47808198267703</v>
      </c>
      <c r="R8" s="94">
        <f>'Emissions summary'!AP6</f>
        <v>151.75851317709908</v>
      </c>
      <c r="S8" s="94">
        <f>'Emissions summary'!AQ6</f>
        <v>152.0331860131711</v>
      </c>
      <c r="T8" s="94">
        <f>'Emissions summary'!AR6</f>
        <v>152.30078502249879</v>
      </c>
      <c r="U8" s="94">
        <f>'Emissions summary'!AS6</f>
        <v>152.56633014076908</v>
      </c>
      <c r="V8" s="94">
        <f>'Emissions summary'!AT6</f>
        <v>152.82306149273307</v>
      </c>
      <c r="W8" s="94">
        <f>'Emissions summary'!AU6</f>
        <v>153.0802967285901</v>
      </c>
      <c r="X8" s="94">
        <f>'Emissions summary'!AV6</f>
        <v>153.33114712990982</v>
      </c>
      <c r="Y8" s="94">
        <f>'Emissions summary'!AW6</f>
        <v>153.57462962857386</v>
      </c>
      <c r="Z8" s="94">
        <f>'Emissions summary'!AX6</f>
        <v>153.80957201620868</v>
      </c>
      <c r="AA8" s="94">
        <f>'Emissions summary'!AY6</f>
        <v>154.03795303311193</v>
      </c>
      <c r="AB8" s="94">
        <f>'Emissions summary'!AZ6</f>
        <v>154.25885822714551</v>
      </c>
      <c r="AC8" s="94">
        <f>'Emissions summary'!BA6</f>
        <v>154.47081441294935</v>
      </c>
      <c r="AD8" s="94">
        <f>'Emissions summary'!BB6</f>
        <v>154.67143603064625</v>
      </c>
      <c r="AE8" s="94">
        <f>'Emissions summary'!BC6</f>
        <v>154.86366330829304</v>
      </c>
      <c r="AF8" s="94">
        <f>'Emissions summary'!BD6</f>
        <v>155.04770253975335</v>
      </c>
      <c r="AG8" s="94">
        <f>'Emissions summary'!BE6</f>
        <v>155.2224283041846</v>
      </c>
      <c r="AH8" s="94">
        <f>'Emissions summary'!BF6</f>
        <v>155.38705194132885</v>
      </c>
      <c r="AI8" s="94">
        <f>'Emissions summary'!BG6</f>
        <v>155.54102127827969</v>
      </c>
      <c r="AJ8" s="94">
        <f>'Emissions summary'!BH6</f>
        <v>155.68385477332549</v>
      </c>
      <c r="AK8" s="94">
        <f>'Emissions summary'!BI6</f>
        <v>155.81537828816559</v>
      </c>
      <c r="AL8" s="94">
        <f>'Emissions summary'!BJ6</f>
        <v>155.93048723741103</v>
      </c>
      <c r="AM8" s="94">
        <f>'Emissions summary'!BK6</f>
        <v>156.03309446249176</v>
      </c>
      <c r="AN8" s="94">
        <f>'Emissions summary'!BL6</f>
        <v>156.12308657996502</v>
      </c>
      <c r="AO8" s="94">
        <f>'Emissions summary'!BM6</f>
        <v>156.19991822841484</v>
      </c>
      <c r="AP8" s="94">
        <f>'Emissions summary'!BN6</f>
        <v>156.26426358061636</v>
      </c>
    </row>
    <row r="9" spans="1:42" x14ac:dyDescent="0.25">
      <c r="A9" t="str">
        <f>'Emissions summary'!C7</f>
        <v>3A1d Goats</v>
      </c>
      <c r="B9" t="str">
        <f t="shared" si="1"/>
        <v>A3A1d</v>
      </c>
      <c r="C9" t="str">
        <f>'Emissions summary'!D7</f>
        <v>CH4</v>
      </c>
      <c r="D9" s="94">
        <f>'Emissions summary'!AB7</f>
        <v>37.502049275378504</v>
      </c>
      <c r="E9" s="94">
        <f>'Emissions summary'!AC7</f>
        <v>37.600830059642156</v>
      </c>
      <c r="F9" s="94">
        <f>'Emissions summary'!AD7</f>
        <v>37.731520512051858</v>
      </c>
      <c r="G9" s="94">
        <f>'Emissions summary'!AE7</f>
        <v>37.892768786791365</v>
      </c>
      <c r="H9" s="94">
        <f>'Emissions summary'!AF7</f>
        <v>38.083953359571019</v>
      </c>
      <c r="I9" s="94">
        <f>'Emissions summary'!AG7</f>
        <v>38.306667609264146</v>
      </c>
      <c r="J9" s="94">
        <f>'Emissions summary'!AH7</f>
        <v>38.54504829255341</v>
      </c>
      <c r="K9" s="94">
        <f>'Emissions summary'!AI7</f>
        <v>38.79888167076944</v>
      </c>
      <c r="L9" s="94">
        <f>'Emissions summary'!AJ7</f>
        <v>39.030741072135342</v>
      </c>
      <c r="M9" s="94">
        <f>'Emissions summary'!AK7</f>
        <v>39.207606001339272</v>
      </c>
      <c r="N9" s="94">
        <f>'Emissions summary'!AL7</f>
        <v>39.360582607943407</v>
      </c>
      <c r="O9" s="94">
        <f>'Emissions summary'!AM7</f>
        <v>39.489294294395471</v>
      </c>
      <c r="P9" s="94">
        <f>'Emissions summary'!AN7</f>
        <v>39.615662129096705</v>
      </c>
      <c r="Q9" s="94">
        <f>'Emissions summary'!AO7</f>
        <v>39.738325007176329</v>
      </c>
      <c r="R9" s="94">
        <f>'Emissions summary'!AP7</f>
        <v>39.858075042481858</v>
      </c>
      <c r="S9" s="94">
        <f>'Emissions summary'!AQ7</f>
        <v>39.973376863046845</v>
      </c>
      <c r="T9" s="94">
        <f>'Emissions summary'!AR7</f>
        <v>40.08388860850085</v>
      </c>
      <c r="U9" s="94">
        <f>'Emissions summary'!AS7</f>
        <v>40.191710238933851</v>
      </c>
      <c r="V9" s="94">
        <f>'Emissions summary'!AT7</f>
        <v>40.294358309947029</v>
      </c>
      <c r="W9" s="94">
        <f>'Emissions summary'!AU7</f>
        <v>40.395559714593475</v>
      </c>
      <c r="X9" s="94">
        <f>'Emissions summary'!AV7</f>
        <v>40.492763119352162</v>
      </c>
      <c r="Y9" s="94">
        <f>'Emissions summary'!AW7</f>
        <v>40.585697785747008</v>
      </c>
      <c r="Z9" s="94">
        <f>'Emissions summary'!AX7</f>
        <v>40.674014771083236</v>
      </c>
      <c r="AA9" s="94">
        <f>'Emissions summary'!AY7</f>
        <v>40.758566452898755</v>
      </c>
      <c r="AB9" s="94">
        <f>'Emissions summary'!AZ7</f>
        <v>40.839087481065874</v>
      </c>
      <c r="AC9" s="94">
        <f>'Emissions summary'!BA7</f>
        <v>40.915095961144274</v>
      </c>
      <c r="AD9" s="94">
        <f>'Emissions summary'!BB7</f>
        <v>40.985761378312958</v>
      </c>
      <c r="AE9" s="94">
        <f>'Emissions summary'!BC7</f>
        <v>41.052277332593789</v>
      </c>
      <c r="AF9" s="94">
        <f>'Emissions summary'!BD7</f>
        <v>41.114788126847728</v>
      </c>
      <c r="AG9" s="94">
        <f>'Emissions summary'!BE7</f>
        <v>41.172929335779983</v>
      </c>
      <c r="AH9" s="94">
        <f>'Emissions summary'!BF7</f>
        <v>41.226462920184105</v>
      </c>
      <c r="AI9" s="94">
        <f>'Emissions summary'!BG7</f>
        <v>41.275238545672963</v>
      </c>
      <c r="AJ9" s="94">
        <f>'Emissions summary'!BH7</f>
        <v>41.319130613777972</v>
      </c>
      <c r="AK9" s="94">
        <f>'Emissions summary'!BI7</f>
        <v>41.358127259015411</v>
      </c>
      <c r="AL9" s="94">
        <f>'Emissions summary'!BJ7</f>
        <v>41.390364138995601</v>
      </c>
      <c r="AM9" s="94">
        <f>'Emissions summary'!BK7</f>
        <v>41.41736503537318</v>
      </c>
      <c r="AN9" s="94">
        <f>'Emissions summary'!BL7</f>
        <v>41.439135725338772</v>
      </c>
      <c r="AO9" s="94">
        <f>'Emissions summary'!BM7</f>
        <v>41.455518696425834</v>
      </c>
      <c r="AP9" s="94">
        <f>'Emissions summary'!BN7</f>
        <v>41.466810324207955</v>
      </c>
    </row>
    <row r="10" spans="1:42" x14ac:dyDescent="0.25">
      <c r="A10" t="str">
        <f>'Emissions summary'!C8</f>
        <v>3A1f Horses</v>
      </c>
      <c r="B10" t="str">
        <f t="shared" si="1"/>
        <v>A3A1f</v>
      </c>
      <c r="C10" t="str">
        <f>'Emissions summary'!D8</f>
        <v>CH4</v>
      </c>
      <c r="D10" s="94">
        <f>'Emissions summary'!AB8</f>
        <v>5.5630037713503686</v>
      </c>
      <c r="E10" s="94">
        <f>'Emissions summary'!AC8</f>
        <v>5.6049800773717822</v>
      </c>
      <c r="F10" s="94">
        <f>'Emissions summary'!AD8</f>
        <v>5.6162501945043211</v>
      </c>
      <c r="G10" s="94">
        <f>'Emissions summary'!AE8</f>
        <v>5.6027304853702935</v>
      </c>
      <c r="H10" s="94">
        <f>'Emissions summary'!AF8</f>
        <v>5.5730376712867882</v>
      </c>
      <c r="I10" s="94">
        <f>'Emissions summary'!AG8</f>
        <v>5.5523988810142972</v>
      </c>
      <c r="J10" s="94">
        <f>'Emissions summary'!AH8</f>
        <v>5.5377865620175086</v>
      </c>
      <c r="K10" s="94">
        <f>'Emissions summary'!AI8</f>
        <v>5.5213001177810783</v>
      </c>
      <c r="L10" s="94">
        <f>'Emissions summary'!AJ8</f>
        <v>5.1820903536644458</v>
      </c>
      <c r="M10" s="94">
        <f>'Emissions summary'!AK8</f>
        <v>5.2124805704989461</v>
      </c>
      <c r="N10" s="94">
        <f>'Emissions summary'!AL8</f>
        <v>5.2452683284855466</v>
      </c>
      <c r="O10" s="94">
        <f>'Emissions summary'!AM8</f>
        <v>5.2870672503175307</v>
      </c>
      <c r="P10" s="94">
        <f>'Emissions summary'!AN8</f>
        <v>5.3335735740499919</v>
      </c>
      <c r="Q10" s="94">
        <f>'Emissions summary'!AO8</f>
        <v>5.3789826118727797</v>
      </c>
      <c r="R10" s="94">
        <f>'Emissions summary'!AP8</f>
        <v>5.4355815953788431</v>
      </c>
      <c r="S10" s="94">
        <f>'Emissions summary'!AQ8</f>
        <v>5.4951011869968731</v>
      </c>
      <c r="T10" s="94">
        <f>'Emissions summary'!AR8</f>
        <v>5.5591893485431472</v>
      </c>
      <c r="U10" s="94">
        <f>'Emissions summary'!AS8</f>
        <v>5.6258067338602773</v>
      </c>
      <c r="V10" s="94">
        <f>'Emissions summary'!AT8</f>
        <v>5.677493706780016</v>
      </c>
      <c r="W10" s="94">
        <f>'Emissions summary'!AU8</f>
        <v>5.7494706664433313</v>
      </c>
      <c r="X10" s="94">
        <f>'Emissions summary'!AV8</f>
        <v>5.8231546522763278</v>
      </c>
      <c r="Y10" s="94">
        <f>'Emissions summary'!AW8</f>
        <v>5.8992142816503366</v>
      </c>
      <c r="Z10" s="94">
        <f>'Emissions summary'!AX8</f>
        <v>5.9707050050786297</v>
      </c>
      <c r="AA10" s="94">
        <f>'Emissions summary'!AY8</f>
        <v>6.047376400371812</v>
      </c>
      <c r="AB10" s="94">
        <f>'Emissions summary'!AZ8</f>
        <v>6.1293380612133879</v>
      </c>
      <c r="AC10" s="94">
        <f>'Emissions summary'!BA8</f>
        <v>6.2147337329682752</v>
      </c>
      <c r="AD10" s="94">
        <f>'Emissions summary'!BB8</f>
        <v>6.2986587586762068</v>
      </c>
      <c r="AE10" s="94">
        <f>'Emissions summary'!BC8</f>
        <v>6.3860409326219782</v>
      </c>
      <c r="AF10" s="94">
        <f>'Emissions summary'!BD8</f>
        <v>6.4798659255643356</v>
      </c>
      <c r="AG10" s="94">
        <f>'Emissions summary'!BE8</f>
        <v>6.5787478625340619</v>
      </c>
      <c r="AH10" s="94">
        <f>'Emissions summary'!BF8</f>
        <v>6.6822652203195059</v>
      </c>
      <c r="AI10" s="94">
        <f>'Emissions summary'!BG8</f>
        <v>6.7906379451902579</v>
      </c>
      <c r="AJ10" s="94">
        <f>'Emissions summary'!BH8</f>
        <v>6.9039212466477577</v>
      </c>
      <c r="AK10" s="94">
        <f>'Emissions summary'!BI8</f>
        <v>7.023317910756135</v>
      </c>
      <c r="AL10" s="94">
        <f>'Emissions summary'!BJ8</f>
        <v>7.134521621444498</v>
      </c>
      <c r="AM10" s="94">
        <f>'Emissions summary'!BK8</f>
        <v>7.2513806887331782</v>
      </c>
      <c r="AN10" s="94">
        <f>'Emissions summary'!BL8</f>
        <v>7.3750142820129136</v>
      </c>
      <c r="AO10" s="94">
        <f>'Emissions summary'!BM8</f>
        <v>7.5060415056489402</v>
      </c>
      <c r="AP10" s="94">
        <f>'Emissions summary'!BN8</f>
        <v>7.6478699078939032</v>
      </c>
    </row>
    <row r="11" spans="1:42" x14ac:dyDescent="0.25">
      <c r="A11" t="str">
        <f>'Emissions summary'!C9</f>
        <v>3A1g Mules &amp; asses</v>
      </c>
      <c r="B11" t="str">
        <f t="shared" si="1"/>
        <v>A3A1g</v>
      </c>
      <c r="C11" t="str">
        <f>'Emissions summary'!D9</f>
        <v>CH4</v>
      </c>
      <c r="D11" s="94">
        <f>'Emissions summary'!AB9</f>
        <v>1.67</v>
      </c>
      <c r="E11" s="94">
        <f>'Emissions summary'!AC9</f>
        <v>1.67</v>
      </c>
      <c r="F11" s="94">
        <f>'Emissions summary'!AD9</f>
        <v>1.67</v>
      </c>
      <c r="G11" s="94">
        <f>'Emissions summary'!AE9</f>
        <v>1.67</v>
      </c>
      <c r="H11" s="94">
        <f>'Emissions summary'!AF9</f>
        <v>1.67</v>
      </c>
      <c r="I11" s="94">
        <f>'Emissions summary'!AG9</f>
        <v>1.67</v>
      </c>
      <c r="J11" s="94">
        <f>'Emissions summary'!AH9</f>
        <v>1.67</v>
      </c>
      <c r="K11" s="94">
        <f>'Emissions summary'!AI9</f>
        <v>1.67</v>
      </c>
      <c r="L11" s="94">
        <f>'Emissions summary'!AJ9</f>
        <v>1.67</v>
      </c>
      <c r="M11" s="94">
        <f>'Emissions summary'!AK9</f>
        <v>1.67</v>
      </c>
      <c r="N11" s="94">
        <f>'Emissions summary'!AL9</f>
        <v>1.67</v>
      </c>
      <c r="O11" s="94">
        <f>'Emissions summary'!AM9</f>
        <v>1.67</v>
      </c>
      <c r="P11" s="94">
        <f>'Emissions summary'!AN9</f>
        <v>1.67</v>
      </c>
      <c r="Q11" s="94">
        <f>'Emissions summary'!AO9</f>
        <v>1.67</v>
      </c>
      <c r="R11" s="94">
        <f>'Emissions summary'!AP9</f>
        <v>1.67</v>
      </c>
      <c r="S11" s="94">
        <f>'Emissions summary'!AQ9</f>
        <v>1.67</v>
      </c>
      <c r="T11" s="94">
        <f>'Emissions summary'!AR9</f>
        <v>1.67</v>
      </c>
      <c r="U11" s="94">
        <f>'Emissions summary'!AS9</f>
        <v>1.67</v>
      </c>
      <c r="V11" s="94">
        <f>'Emissions summary'!AT9</f>
        <v>1.67</v>
      </c>
      <c r="W11" s="94">
        <f>'Emissions summary'!AU9</f>
        <v>1.67</v>
      </c>
      <c r="X11" s="94">
        <f>'Emissions summary'!AV9</f>
        <v>1.67</v>
      </c>
      <c r="Y11" s="94">
        <f>'Emissions summary'!AW9</f>
        <v>1.67</v>
      </c>
      <c r="Z11" s="94">
        <f>'Emissions summary'!AX9</f>
        <v>1.67</v>
      </c>
      <c r="AA11" s="94">
        <f>'Emissions summary'!AY9</f>
        <v>1.67</v>
      </c>
      <c r="AB11" s="94">
        <f>'Emissions summary'!AZ9</f>
        <v>1.67</v>
      </c>
      <c r="AC11" s="94">
        <f>'Emissions summary'!BA9</f>
        <v>1.67</v>
      </c>
      <c r="AD11" s="94">
        <f>'Emissions summary'!BB9</f>
        <v>1.67</v>
      </c>
      <c r="AE11" s="94">
        <f>'Emissions summary'!BC9</f>
        <v>1.67</v>
      </c>
      <c r="AF11" s="94">
        <f>'Emissions summary'!BD9</f>
        <v>1.67</v>
      </c>
      <c r="AG11" s="94">
        <f>'Emissions summary'!BE9</f>
        <v>1.67</v>
      </c>
      <c r="AH11" s="94">
        <f>'Emissions summary'!BF9</f>
        <v>1.67</v>
      </c>
      <c r="AI11" s="94">
        <f>'Emissions summary'!BG9</f>
        <v>1.67</v>
      </c>
      <c r="AJ11" s="94">
        <f>'Emissions summary'!BH9</f>
        <v>1.67</v>
      </c>
      <c r="AK11" s="94">
        <f>'Emissions summary'!BI9</f>
        <v>1.67</v>
      </c>
      <c r="AL11" s="94">
        <f>'Emissions summary'!BJ9</f>
        <v>1.67</v>
      </c>
      <c r="AM11" s="94">
        <f>'Emissions summary'!BK9</f>
        <v>1.67</v>
      </c>
      <c r="AN11" s="94">
        <f>'Emissions summary'!BL9</f>
        <v>1.67</v>
      </c>
      <c r="AO11" s="94">
        <f>'Emissions summary'!BM9</f>
        <v>1.67</v>
      </c>
      <c r="AP11" s="94">
        <f>'Emissions summary'!BN9</f>
        <v>1.67</v>
      </c>
    </row>
    <row r="12" spans="1:42" x14ac:dyDescent="0.25">
      <c r="A12" t="str">
        <f>'Emissions summary'!C10</f>
        <v>3A1h Swine</v>
      </c>
      <c r="B12" t="str">
        <f t="shared" si="1"/>
        <v>A3A1h</v>
      </c>
      <c r="C12" t="str">
        <f>'Emissions summary'!D10</f>
        <v>CH4</v>
      </c>
      <c r="D12" s="94">
        <f>'Emissions summary'!AB10</f>
        <v>2.105087141814427</v>
      </c>
      <c r="E12" s="94">
        <f>'Emissions summary'!AC10</f>
        <v>2.1050062723795682</v>
      </c>
      <c r="F12" s="94">
        <f>'Emissions summary'!AD10</f>
        <v>2.0852111586258779</v>
      </c>
      <c r="G12" s="94">
        <f>'Emissions summary'!AE10</f>
        <v>2.0504391336844403</v>
      </c>
      <c r="H12" s="94">
        <f>'Emissions summary'!AF10</f>
        <v>2.0070342745511156</v>
      </c>
      <c r="I12" s="94">
        <f>'Emissions summary'!AG10</f>
        <v>1.972602886403098</v>
      </c>
      <c r="J12" s="94">
        <f>'Emissions summary'!AH10</f>
        <v>1.9439495781328657</v>
      </c>
      <c r="K12" s="94">
        <f>'Emissions summary'!AI10</f>
        <v>1.9154733539519571</v>
      </c>
      <c r="L12" s="94">
        <f>'Emissions summary'!AJ10</f>
        <v>1.6690795487987897</v>
      </c>
      <c r="M12" s="94">
        <f>'Emissions summary'!AK10</f>
        <v>1.6718501510986519</v>
      </c>
      <c r="N12" s="94">
        <f>'Emissions summary'!AL10</f>
        <v>1.6752933771666534</v>
      </c>
      <c r="O12" s="94">
        <f>'Emissions summary'!AM10</f>
        <v>1.6836467216136843</v>
      </c>
      <c r="P12" s="94">
        <f>'Emissions summary'!AN10</f>
        <v>1.6947909723026344</v>
      </c>
      <c r="Q12" s="94">
        <f>'Emissions summary'!AO10</f>
        <v>1.7048414144118713</v>
      </c>
      <c r="R12" s="94">
        <f>'Emissions summary'!AP10</f>
        <v>1.7216157307499096</v>
      </c>
      <c r="S12" s="94">
        <f>'Emissions summary'!AQ10</f>
        <v>1.7396298871372355</v>
      </c>
      <c r="T12" s="94">
        <f>'Emissions summary'!AR10</f>
        <v>1.7598188216674993</v>
      </c>
      <c r="U12" s="94">
        <f>'Emissions summary'!AS10</f>
        <v>1.7809190018941319</v>
      </c>
      <c r="V12" s="94">
        <f>'Emissions summary'!AT10</f>
        <v>1.7921990756487662</v>
      </c>
      <c r="W12" s="94">
        <f>'Emissions summary'!AU10</f>
        <v>1.8151952423508493</v>
      </c>
      <c r="X12" s="94">
        <f>'Emissions summary'!AV10</f>
        <v>1.8383851927345896</v>
      </c>
      <c r="Y12" s="94">
        <f>'Emissions summary'!AW10</f>
        <v>1.862109033759104</v>
      </c>
      <c r="Z12" s="94">
        <f>'Emissions summary'!AX10</f>
        <v>1.8822824465352288</v>
      </c>
      <c r="AA12" s="94">
        <f>'Emissions summary'!AY10</f>
        <v>1.9046043917127851</v>
      </c>
      <c r="AB12" s="94">
        <f>'Emissions summary'!AZ10</f>
        <v>1.9290181134998587</v>
      </c>
      <c r="AC12" s="94">
        <f>'Emissions summary'!BA10</f>
        <v>1.9543566422686047</v>
      </c>
      <c r="AD12" s="94">
        <f>'Emissions summary'!BB10</f>
        <v>1.9778039664692999</v>
      </c>
      <c r="AE12" s="94">
        <f>'Emissions summary'!BC10</f>
        <v>2.0021278241874061</v>
      </c>
      <c r="AF12" s="94">
        <f>'Emissions summary'!BD10</f>
        <v>2.0288724920834542</v>
      </c>
      <c r="AG12" s="94">
        <f>'Emissions summary'!BE10</f>
        <v>2.0571546033332311</v>
      </c>
      <c r="AH12" s="94">
        <f>'Emissions summary'!BF10</f>
        <v>2.0866398709208918</v>
      </c>
      <c r="AI12" s="94">
        <f>'Emissions summary'!BG10</f>
        <v>2.1173420430071737</v>
      </c>
      <c r="AJ12" s="94">
        <f>'Emissions summary'!BH10</f>
        <v>2.1491859929017587</v>
      </c>
      <c r="AK12" s="94">
        <f>'Emissions summary'!BI10</f>
        <v>2.1826808293252848</v>
      </c>
      <c r="AL12" s="94">
        <f>'Emissions summary'!BJ10</f>
        <v>2.2104752477394176</v>
      </c>
      <c r="AM12" s="94">
        <f>'Emissions summary'!BK10</f>
        <v>2.2396222916588528</v>
      </c>
      <c r="AN12" s="94">
        <f>'Emissions summary'!BL10</f>
        <v>2.2705532185096229</v>
      </c>
      <c r="AO12" s="94">
        <f>'Emissions summary'!BM10</f>
        <v>2.303421700140921</v>
      </c>
      <c r="AP12" s="94">
        <f>'Emissions summary'!BN10</f>
        <v>2.339705544234516</v>
      </c>
    </row>
    <row r="13" spans="1:42" x14ac:dyDescent="0.25">
      <c r="A13" t="str">
        <f>'Emissions summary'!C12</f>
        <v>3A2a Cattle</v>
      </c>
      <c r="B13" t="str">
        <f t="shared" si="1"/>
        <v>A3A2a</v>
      </c>
      <c r="C13" t="str">
        <f>'Emissions summary'!D12</f>
        <v>CH4</v>
      </c>
      <c r="D13" s="94">
        <f>'Emissions summary'!AB12</f>
        <v>10.526942818971531</v>
      </c>
      <c r="E13" s="94">
        <f>'Emissions summary'!AC12</f>
        <v>10.616438052873971</v>
      </c>
      <c r="F13" s="94">
        <f>'Emissions summary'!AD12</f>
        <v>10.674115747322737</v>
      </c>
      <c r="G13" s="94">
        <f>'Emissions summary'!AE12</f>
        <v>10.706581308701374</v>
      </c>
      <c r="H13" s="94">
        <f>'Emissions summary'!AF12</f>
        <v>10.724271677836013</v>
      </c>
      <c r="I13" s="94">
        <f>'Emissions summary'!AG12</f>
        <v>10.760620568639466</v>
      </c>
      <c r="J13" s="94">
        <f>'Emissions summary'!AH12</f>
        <v>10.808385865871783</v>
      </c>
      <c r="K13" s="94">
        <f>'Emissions summary'!AI12</f>
        <v>10.856984334535912</v>
      </c>
      <c r="L13" s="94">
        <f>'Emissions summary'!AJ12</f>
        <v>10.455464419704548</v>
      </c>
      <c r="M13" s="94">
        <f>'Emissions summary'!AK12</f>
        <v>10.547745667859921</v>
      </c>
      <c r="N13" s="94">
        <f>'Emissions summary'!AL12</f>
        <v>10.639154175944361</v>
      </c>
      <c r="O13" s="94">
        <f>'Emissions summary'!AM12</f>
        <v>10.738864825070436</v>
      </c>
      <c r="P13" s="94">
        <f>'Emissions summary'!AN12</f>
        <v>10.845624231056245</v>
      </c>
      <c r="Q13" s="94">
        <f>'Emissions summary'!AO12</f>
        <v>10.950938227514992</v>
      </c>
      <c r="R13" s="94">
        <f>'Emissions summary'!AP12</f>
        <v>11.072569509066383</v>
      </c>
      <c r="S13" s="94">
        <f>'Emissions summary'!AQ12</f>
        <v>11.198471806421978</v>
      </c>
      <c r="T13" s="94">
        <f>'Emissions summary'!AR12</f>
        <v>11.330984411855495</v>
      </c>
      <c r="U13" s="94">
        <f>'Emissions summary'!AS12</f>
        <v>11.467671860236305</v>
      </c>
      <c r="V13" s="94">
        <f>'Emissions summary'!AT12</f>
        <v>11.582348867814645</v>
      </c>
      <c r="W13" s="94">
        <f>'Emissions summary'!AU12</f>
        <v>11.728159923095413</v>
      </c>
      <c r="X13" s="94">
        <f>'Emissions summary'!AV12</f>
        <v>11.87675105727126</v>
      </c>
      <c r="Y13" s="94">
        <f>'Emissions summary'!AW12</f>
        <v>12.029044505846938</v>
      </c>
      <c r="Z13" s="94">
        <f>'Emissions summary'!AX12</f>
        <v>12.174560528610474</v>
      </c>
      <c r="AA13" s="94">
        <f>'Emissions summary'!AY12</f>
        <v>12.328028446780822</v>
      </c>
      <c r="AB13" s="94">
        <f>'Emissions summary'!AZ12</f>
        <v>12.4896086602396</v>
      </c>
      <c r="AC13" s="94">
        <f>'Emissions summary'!BA12</f>
        <v>12.656417371239039</v>
      </c>
      <c r="AD13" s="94">
        <f>'Emissions summary'!BB12</f>
        <v>12.820778110605536</v>
      </c>
      <c r="AE13" s="94">
        <f>'Emissions summary'!BC12</f>
        <v>12.990451077724636</v>
      </c>
      <c r="AF13" s="94">
        <f>'Emissions summary'!BD12</f>
        <v>13.170066630080314</v>
      </c>
      <c r="AG13" s="94">
        <f>'Emissions summary'!BE12</f>
        <v>13.356903674563947</v>
      </c>
      <c r="AH13" s="94">
        <f>'Emissions summary'!BF12</f>
        <v>13.550762784248485</v>
      </c>
      <c r="AI13" s="94">
        <f>'Emissions summary'!BG12</f>
        <v>13.7519462118132</v>
      </c>
      <c r="AJ13" s="94">
        <f>'Emissions summary'!BH12</f>
        <v>13.960502419010334</v>
      </c>
      <c r="AK13" s="94">
        <f>'Emissions summary'!BI12</f>
        <v>14.17829399494051</v>
      </c>
      <c r="AL13" s="94">
        <f>'Emissions summary'!BJ12</f>
        <v>14.382403266474393</v>
      </c>
      <c r="AM13" s="94">
        <f>'Emissions summary'!BK12</f>
        <v>14.594785877930324</v>
      </c>
      <c r="AN13" s="94">
        <f>'Emissions summary'!BL12</f>
        <v>14.817182327208446</v>
      </c>
      <c r="AO13" s="94">
        <f>'Emissions summary'!BM12</f>
        <v>15.050501219311077</v>
      </c>
      <c r="AP13" s="94">
        <f>'Emissions summary'!BN12</f>
        <v>15.300186585888193</v>
      </c>
    </row>
    <row r="14" spans="1:42" x14ac:dyDescent="0.25">
      <c r="A14" t="str">
        <f>'Emissions summary'!C13</f>
        <v>3A2c Sheep</v>
      </c>
      <c r="B14" t="str">
        <f t="shared" si="1"/>
        <v>A3A2c</v>
      </c>
      <c r="C14" t="str">
        <f>'Emissions summary'!D13</f>
        <v>CH4</v>
      </c>
      <c r="D14" s="94">
        <f>'Emissions summary'!AB13</f>
        <v>4.0170627396180575E-2</v>
      </c>
      <c r="E14" s="94">
        <f>'Emissions summary'!AC13</f>
        <v>4.0193213882321617E-2</v>
      </c>
      <c r="F14" s="94">
        <f>'Emissions summary'!AD13</f>
        <v>4.0242566037021713E-2</v>
      </c>
      <c r="G14" s="94">
        <f>'Emissions summary'!AE13</f>
        <v>4.0317365100076732E-2</v>
      </c>
      <c r="H14" s="94">
        <f>'Emissions summary'!AF13</f>
        <v>4.0416867746612364E-2</v>
      </c>
      <c r="I14" s="94">
        <f>'Emissions summary'!AG13</f>
        <v>4.0541912396146962E-2</v>
      </c>
      <c r="J14" s="94">
        <f>'Emissions summary'!AH13</f>
        <v>4.0681408020836453E-2</v>
      </c>
      <c r="K14" s="94">
        <f>'Emissions summary'!AI13</f>
        <v>4.0834970852419106E-2</v>
      </c>
      <c r="L14" s="94">
        <f>'Emissions summary'!AJ13</f>
        <v>4.097654239035272E-2</v>
      </c>
      <c r="M14" s="94">
        <f>'Emissions summary'!AK13</f>
        <v>4.1082879870415742E-2</v>
      </c>
      <c r="N14" s="94">
        <f>'Emissions summary'!AL13</f>
        <v>4.1175082437228686E-2</v>
      </c>
      <c r="O14" s="94">
        <f>'Emissions summary'!AM13</f>
        <v>4.1252582414841997E-2</v>
      </c>
      <c r="P14" s="94">
        <f>'Emissions summary'!AN13</f>
        <v>4.1330397990127207E-2</v>
      </c>
      <c r="Q14" s="94">
        <f>'Emissions summary'!AO13</f>
        <v>4.1407427235867496E-2</v>
      </c>
      <c r="R14" s="94">
        <f>'Emissions summary'!AP13</f>
        <v>4.1484084757046208E-2</v>
      </c>
      <c r="S14" s="94">
        <f>'Emissions summary'!AQ13</f>
        <v>4.1559168197003039E-2</v>
      </c>
      <c r="T14" s="94">
        <f>'Emissions summary'!AR13</f>
        <v>4.1632317964692828E-2</v>
      </c>
      <c r="U14" s="94">
        <f>'Emissions summary'!AS13</f>
        <v>4.1704906289146741E-2</v>
      </c>
      <c r="V14" s="94">
        <f>'Emissions summary'!AT13</f>
        <v>4.1775085318590956E-2</v>
      </c>
      <c r="W14" s="94">
        <f>'Emissions summary'!AU13</f>
        <v>4.1845402087669591E-2</v>
      </c>
      <c r="X14" s="94">
        <f>'Emissions summary'!AV13</f>
        <v>4.1913973524565148E-2</v>
      </c>
      <c r="Y14" s="94">
        <f>'Emissions summary'!AW13</f>
        <v>4.1980530901808623E-2</v>
      </c>
      <c r="Z14" s="94">
        <f>'Emissions summary'!AX13</f>
        <v>4.2044753789326574E-2</v>
      </c>
      <c r="AA14" s="94">
        <f>'Emissions summary'!AY13</f>
        <v>4.2107183087451414E-2</v>
      </c>
      <c r="AB14" s="94">
        <f>'Emissions summary'!AZ13</f>
        <v>4.2167568825297083E-2</v>
      </c>
      <c r="AC14" s="94">
        <f>'Emissions summary'!BA13</f>
        <v>4.2225508298955508E-2</v>
      </c>
      <c r="AD14" s="94">
        <f>'Emissions summary'!BB13</f>
        <v>4.2280349401562535E-2</v>
      </c>
      <c r="AE14" s="94">
        <f>'Emissions summary'!BC13</f>
        <v>4.2332895861801043E-2</v>
      </c>
      <c r="AF14" s="94">
        <f>'Emissions summary'!BD13</f>
        <v>4.2383204071315531E-2</v>
      </c>
      <c r="AG14" s="94">
        <f>'Emissions summary'!BE13</f>
        <v>4.243096638968015E-2</v>
      </c>
      <c r="AH14" s="94">
        <f>'Emissions summary'!BF13</f>
        <v>4.2475967231961301E-2</v>
      </c>
      <c r="AI14" s="94">
        <f>'Emissions summary'!BG13</f>
        <v>4.2518055658437921E-2</v>
      </c>
      <c r="AJ14" s="94">
        <f>'Emissions summary'!BH13</f>
        <v>4.2557100036842641E-2</v>
      </c>
      <c r="AK14" s="94">
        <f>'Emissions summary'!BI13</f>
        <v>4.2593052765443805E-2</v>
      </c>
      <c r="AL14" s="94">
        <f>'Emissions summary'!BJ13</f>
        <v>4.2624518475714822E-2</v>
      </c>
      <c r="AM14" s="94">
        <f>'Emissions summary'!BK13</f>
        <v>4.2652566765941327E-2</v>
      </c>
      <c r="AN14" s="94">
        <f>'Emissions summary'!BL13</f>
        <v>4.2677166642090425E-2</v>
      </c>
      <c r="AO14" s="94">
        <f>'Emissions summary'!BM13</f>
        <v>4.2698169026402111E-2</v>
      </c>
      <c r="AP14" s="94">
        <f>'Emissions summary'!BN13</f>
        <v>4.2715758207981243E-2</v>
      </c>
    </row>
    <row r="15" spans="1:42" x14ac:dyDescent="0.25">
      <c r="A15" t="str">
        <f>'Emissions summary'!C14</f>
        <v>3A2d Goats</v>
      </c>
      <c r="B15" t="str">
        <f t="shared" si="1"/>
        <v>A3A2d</v>
      </c>
      <c r="C15" t="str">
        <f>'Emissions summary'!D14</f>
        <v>CH4</v>
      </c>
      <c r="D15" s="94">
        <f>'Emissions summary'!AB14</f>
        <v>4.2379104176597231E-2</v>
      </c>
      <c r="E15" s="94">
        <f>'Emissions summary'!AC14</f>
        <v>4.249073117373052E-2</v>
      </c>
      <c r="F15" s="94">
        <f>'Emissions summary'!AD14</f>
        <v>4.263841761766024E-2</v>
      </c>
      <c r="G15" s="94">
        <f>'Emissions summary'!AE14</f>
        <v>4.2820635858143656E-2</v>
      </c>
      <c r="H15" s="94">
        <f>'Emissions summary'!AF14</f>
        <v>4.3036683543092605E-2</v>
      </c>
      <c r="I15" s="94">
        <f>'Emissions summary'!AG14</f>
        <v>4.3288361266623158E-2</v>
      </c>
      <c r="J15" s="94">
        <f>'Emissions summary'!AH14</f>
        <v>4.3557742807259041E-2</v>
      </c>
      <c r="K15" s="94">
        <f>'Emissions summary'!AI14</f>
        <v>4.3844586630110538E-2</v>
      </c>
      <c r="L15" s="94">
        <f>'Emissions summary'!AJ14</f>
        <v>4.4106598811169143E-2</v>
      </c>
      <c r="M15" s="94">
        <f>'Emissions summary'!AK14</f>
        <v>4.430646461596506E-2</v>
      </c>
      <c r="N15" s="94">
        <f>'Emissions summary'!AL14</f>
        <v>4.4479335476974649E-2</v>
      </c>
      <c r="O15" s="94">
        <f>'Emissions summary'!AM14</f>
        <v>4.4624785821003689E-2</v>
      </c>
      <c r="P15" s="94">
        <f>'Emissions summary'!AN14</f>
        <v>4.4767587500774572E-2</v>
      </c>
      <c r="Q15" s="94">
        <f>'Emissions summary'!AO14</f>
        <v>4.4906202402871423E-2</v>
      </c>
      <c r="R15" s="94">
        <f>'Emissions summary'!AP14</f>
        <v>4.5041525653718308E-2</v>
      </c>
      <c r="S15" s="94">
        <f>'Emissions summary'!AQ14</f>
        <v>4.5171822209770326E-2</v>
      </c>
      <c r="T15" s="94">
        <f>'Emissions summary'!AR14</f>
        <v>4.5296705752505349E-2</v>
      </c>
      <c r="U15" s="94">
        <f>'Emissions summary'!AS14</f>
        <v>4.5418549336973438E-2</v>
      </c>
      <c r="V15" s="94">
        <f>'Emissions summary'!AT14</f>
        <v>4.5534546552566932E-2</v>
      </c>
      <c r="W15" s="94">
        <f>'Emissions summary'!AU14</f>
        <v>4.5648908966173629E-2</v>
      </c>
      <c r="X15" s="94">
        <f>'Emissions summary'!AV14</f>
        <v>4.5758753449240117E-2</v>
      </c>
      <c r="Y15" s="94">
        <f>'Emissions summary'!AW14</f>
        <v>4.586377405437677E-2</v>
      </c>
      <c r="Z15" s="94">
        <f>'Emissions summary'!AX14</f>
        <v>4.5963576459697175E-2</v>
      </c>
      <c r="AA15" s="94">
        <f>'Emissions summary'!AY14</f>
        <v>4.6059123892469578E-2</v>
      </c>
      <c r="AB15" s="94">
        <f>'Emissions summary'!AZ14</f>
        <v>4.6150116494394974E-2</v>
      </c>
      <c r="AC15" s="94">
        <f>'Emissions summary'!BA14</f>
        <v>4.6236009701773953E-2</v>
      </c>
      <c r="AD15" s="94">
        <f>'Emissions summary'!BB14</f>
        <v>4.6315864993251077E-2</v>
      </c>
      <c r="AE15" s="94">
        <f>'Emissions summary'!BC14</f>
        <v>4.6391031193774523E-2</v>
      </c>
      <c r="AF15" s="94">
        <f>'Emissions summary'!BD14</f>
        <v>4.646167137245906E-2</v>
      </c>
      <c r="AG15" s="94">
        <f>'Emissions summary'!BE14</f>
        <v>4.6527373711341941E-2</v>
      </c>
      <c r="AH15" s="94">
        <f>'Emissions summary'!BF14</f>
        <v>4.6587869214767638E-2</v>
      </c>
      <c r="AI15" s="94">
        <f>'Emissions summary'!BG14</f>
        <v>4.6642987997709141E-2</v>
      </c>
      <c r="AJ15" s="94">
        <f>'Emissions summary'!BH14</f>
        <v>4.6692588127907067E-2</v>
      </c>
      <c r="AK15" s="94">
        <f>'Emissions summary'!BI14</f>
        <v>4.6736656196798995E-2</v>
      </c>
      <c r="AL15" s="94">
        <f>'Emissions summary'!BJ14</f>
        <v>4.6773085408572918E-2</v>
      </c>
      <c r="AM15" s="94">
        <f>'Emissions summary'!BK14</f>
        <v>4.6803597709168671E-2</v>
      </c>
      <c r="AN15" s="94">
        <f>'Emissions summary'!BL14</f>
        <v>4.6828199627087161E-2</v>
      </c>
      <c r="AO15" s="94">
        <f>'Emissions summary'!BM14</f>
        <v>4.6846713165729345E-2</v>
      </c>
      <c r="AP15" s="94">
        <f>'Emissions summary'!BN14</f>
        <v>4.68594732436277E-2</v>
      </c>
    </row>
    <row r="16" spans="1:42" x14ac:dyDescent="0.25">
      <c r="A16" t="str">
        <f>'Emissions summary'!C15</f>
        <v>3A2f Horses</v>
      </c>
      <c r="B16" t="str">
        <f t="shared" si="1"/>
        <v>A3A2f</v>
      </c>
      <c r="C16" t="str">
        <f>'Emissions summary'!D15</f>
        <v>CH4</v>
      </c>
      <c r="D16" s="94">
        <f>'Emissions summary'!AB15</f>
        <v>4.1413472520052744E-3</v>
      </c>
      <c r="E16" s="94">
        <f>'Emissions summary'!AC15</f>
        <v>4.1725962798212154E-3</v>
      </c>
      <c r="F16" s="94">
        <f>'Emissions summary'!AD15</f>
        <v>4.1809862559087727E-3</v>
      </c>
      <c r="G16" s="94">
        <f>'Emissions summary'!AE15</f>
        <v>4.170921583553441E-3</v>
      </c>
      <c r="H16" s="94">
        <f>'Emissions summary'!AF15</f>
        <v>4.1488169330690531E-3</v>
      </c>
      <c r="I16" s="94">
        <f>'Emissions summary'!AG15</f>
        <v>4.1334525003106437E-3</v>
      </c>
      <c r="J16" s="94">
        <f>'Emissions summary'!AH15</f>
        <v>4.1225744406130343E-3</v>
      </c>
      <c r="K16" s="94">
        <f>'Emissions summary'!AI15</f>
        <v>4.1103011987925799E-3</v>
      </c>
      <c r="L16" s="94">
        <f>'Emissions summary'!AJ15</f>
        <v>3.8577783743946425E-3</v>
      </c>
      <c r="M16" s="94">
        <f>'Emissions summary'!AK15</f>
        <v>3.8804022024825488E-3</v>
      </c>
      <c r="N16" s="94">
        <f>'Emissions summary'!AL15</f>
        <v>3.9048108667614624E-3</v>
      </c>
      <c r="O16" s="94">
        <f>'Emissions summary'!AM15</f>
        <v>3.9359278419030504E-3</v>
      </c>
      <c r="P16" s="94">
        <f>'Emissions summary'!AN15</f>
        <v>3.9705492162372168E-3</v>
      </c>
      <c r="Q16" s="94">
        <f>'Emissions summary'!AO15</f>
        <v>4.0043537221719581E-3</v>
      </c>
      <c r="R16" s="94">
        <f>'Emissions summary'!AP15</f>
        <v>4.0464885210042502E-3</v>
      </c>
      <c r="S16" s="94">
        <f>'Emissions summary'!AQ15</f>
        <v>4.090797550319894E-3</v>
      </c>
      <c r="T16" s="94">
        <f>'Emissions summary'!AR15</f>
        <v>4.138507626137676E-3</v>
      </c>
      <c r="U16" s="94">
        <f>'Emissions summary'!AS15</f>
        <v>4.1881005685404284E-3</v>
      </c>
      <c r="V16" s="94">
        <f>'Emissions summary'!AT15</f>
        <v>4.2265786483806789E-3</v>
      </c>
      <c r="W16" s="94">
        <f>'Emissions summary'!AU15</f>
        <v>4.2801614961300357E-3</v>
      </c>
      <c r="X16" s="94">
        <f>'Emissions summary'!AV15</f>
        <v>4.3350151300279331E-3</v>
      </c>
      <c r="Y16" s="94">
        <f>'Emissions summary'!AW15</f>
        <v>4.3916372985619168E-3</v>
      </c>
      <c r="Z16" s="94">
        <f>'Emissions summary'!AX15</f>
        <v>4.4448581704474247E-3</v>
      </c>
      <c r="AA16" s="94">
        <f>'Emissions summary'!AY15</f>
        <v>4.501935764721238E-3</v>
      </c>
      <c r="AB16" s="94">
        <f>'Emissions summary'!AZ15</f>
        <v>4.5629516677921887E-3</v>
      </c>
      <c r="AC16" s="94">
        <f>'Emissions summary'!BA15</f>
        <v>4.6265240012097163E-3</v>
      </c>
      <c r="AD16" s="94">
        <f>'Emissions summary'!BB15</f>
        <v>4.6890015203478429E-3</v>
      </c>
      <c r="AE16" s="94">
        <f>'Emissions summary'!BC15</f>
        <v>4.7540526942852499E-3</v>
      </c>
      <c r="AF16" s="94">
        <f>'Emissions summary'!BD15</f>
        <v>4.8239001890312281E-3</v>
      </c>
      <c r="AG16" s="94">
        <f>'Emissions summary'!BE15</f>
        <v>4.8975122976642454E-3</v>
      </c>
      <c r="AH16" s="94">
        <f>'Emissions summary'!BF15</f>
        <v>4.9745752195711869E-3</v>
      </c>
      <c r="AI16" s="94">
        <f>'Emissions summary'!BG15</f>
        <v>5.0552526925305265E-3</v>
      </c>
      <c r="AJ16" s="94">
        <f>'Emissions summary'!BH15</f>
        <v>5.1395858169488873E-3</v>
      </c>
      <c r="AK16" s="94">
        <f>'Emissions summary'!BI15</f>
        <v>5.2284700002295671E-3</v>
      </c>
      <c r="AL16" s="94">
        <f>'Emissions summary'!BJ15</f>
        <v>5.3112549848531266E-3</v>
      </c>
      <c r="AM16" s="94">
        <f>'Emissions summary'!BK15</f>
        <v>5.398250068279143E-3</v>
      </c>
      <c r="AN16" s="94">
        <f>'Emissions summary'!BL15</f>
        <v>5.4902884099429471E-3</v>
      </c>
      <c r="AO16" s="94">
        <f>'Emissions summary'!BM15</f>
        <v>5.5878308986497668E-3</v>
      </c>
      <c r="AP16" s="94">
        <f>'Emissions summary'!BN15</f>
        <v>5.6934142647654612E-3</v>
      </c>
    </row>
    <row r="17" spans="1:42" x14ac:dyDescent="0.25">
      <c r="A17" t="str">
        <f>'Emissions summary'!C16</f>
        <v>3A2g Mules &amp; asses</v>
      </c>
      <c r="B17" t="str">
        <f t="shared" si="1"/>
        <v>A3A2g</v>
      </c>
      <c r="C17" t="str">
        <f>'Emissions summary'!D16</f>
        <v>CH4</v>
      </c>
      <c r="D17" s="94">
        <f>'Emissions summary'!AB16</f>
        <v>7.515E-4</v>
      </c>
      <c r="E17" s="94">
        <f>'Emissions summary'!AC16</f>
        <v>7.515E-4</v>
      </c>
      <c r="F17" s="94">
        <f>'Emissions summary'!AD16</f>
        <v>7.515E-4</v>
      </c>
      <c r="G17" s="94">
        <f>'Emissions summary'!AE16</f>
        <v>7.515E-4</v>
      </c>
      <c r="H17" s="94">
        <f>'Emissions summary'!AF16</f>
        <v>7.515E-4</v>
      </c>
      <c r="I17" s="94">
        <f>'Emissions summary'!AG16</f>
        <v>7.515E-4</v>
      </c>
      <c r="J17" s="94">
        <f>'Emissions summary'!AH16</f>
        <v>7.515E-4</v>
      </c>
      <c r="K17" s="94">
        <f>'Emissions summary'!AI16</f>
        <v>7.515E-4</v>
      </c>
      <c r="L17" s="94">
        <f>'Emissions summary'!AJ16</f>
        <v>7.515E-4</v>
      </c>
      <c r="M17" s="94">
        <f>'Emissions summary'!AK16</f>
        <v>7.515E-4</v>
      </c>
      <c r="N17" s="94">
        <f>'Emissions summary'!AL16</f>
        <v>7.515E-4</v>
      </c>
      <c r="O17" s="94">
        <f>'Emissions summary'!AM16</f>
        <v>7.515E-4</v>
      </c>
      <c r="P17" s="94">
        <f>'Emissions summary'!AN16</f>
        <v>7.515E-4</v>
      </c>
      <c r="Q17" s="94">
        <f>'Emissions summary'!AO16</f>
        <v>7.515E-4</v>
      </c>
      <c r="R17" s="94">
        <f>'Emissions summary'!AP16</f>
        <v>7.515E-4</v>
      </c>
      <c r="S17" s="94">
        <f>'Emissions summary'!AQ16</f>
        <v>7.515E-4</v>
      </c>
      <c r="T17" s="94">
        <f>'Emissions summary'!AR16</f>
        <v>7.515E-4</v>
      </c>
      <c r="U17" s="94">
        <f>'Emissions summary'!AS16</f>
        <v>7.515E-4</v>
      </c>
      <c r="V17" s="94">
        <f>'Emissions summary'!AT16</f>
        <v>7.515E-4</v>
      </c>
      <c r="W17" s="94">
        <f>'Emissions summary'!AU16</f>
        <v>7.515E-4</v>
      </c>
      <c r="X17" s="94">
        <f>'Emissions summary'!AV16</f>
        <v>7.515E-4</v>
      </c>
      <c r="Y17" s="94">
        <f>'Emissions summary'!AW16</f>
        <v>7.515E-4</v>
      </c>
      <c r="Z17" s="94">
        <f>'Emissions summary'!AX16</f>
        <v>7.515E-4</v>
      </c>
      <c r="AA17" s="94">
        <f>'Emissions summary'!AY16</f>
        <v>7.515E-4</v>
      </c>
      <c r="AB17" s="94">
        <f>'Emissions summary'!AZ16</f>
        <v>7.515E-4</v>
      </c>
      <c r="AC17" s="94">
        <f>'Emissions summary'!BA16</f>
        <v>7.515E-4</v>
      </c>
      <c r="AD17" s="94">
        <f>'Emissions summary'!BB16</f>
        <v>7.515E-4</v>
      </c>
      <c r="AE17" s="94">
        <f>'Emissions summary'!BC16</f>
        <v>7.515E-4</v>
      </c>
      <c r="AF17" s="94">
        <f>'Emissions summary'!BD16</f>
        <v>7.515E-4</v>
      </c>
      <c r="AG17" s="94">
        <f>'Emissions summary'!BE16</f>
        <v>7.515E-4</v>
      </c>
      <c r="AH17" s="94">
        <f>'Emissions summary'!BF16</f>
        <v>7.515E-4</v>
      </c>
      <c r="AI17" s="94">
        <f>'Emissions summary'!BG16</f>
        <v>7.515E-4</v>
      </c>
      <c r="AJ17" s="94">
        <f>'Emissions summary'!BH16</f>
        <v>7.515E-4</v>
      </c>
      <c r="AK17" s="94">
        <f>'Emissions summary'!BI16</f>
        <v>7.515E-4</v>
      </c>
      <c r="AL17" s="94">
        <f>'Emissions summary'!BJ16</f>
        <v>7.515E-4</v>
      </c>
      <c r="AM17" s="94">
        <f>'Emissions summary'!BK16</f>
        <v>7.515E-4</v>
      </c>
      <c r="AN17" s="94">
        <f>'Emissions summary'!BL16</f>
        <v>7.515E-4</v>
      </c>
      <c r="AO17" s="94">
        <f>'Emissions summary'!BM16</f>
        <v>7.515E-4</v>
      </c>
      <c r="AP17" s="94">
        <f>'Emissions summary'!BN16</f>
        <v>7.515E-4</v>
      </c>
    </row>
    <row r="18" spans="1:42" x14ac:dyDescent="0.25">
      <c r="A18" t="str">
        <f>'Emissions summary'!C17</f>
        <v>3A2h Swine</v>
      </c>
      <c r="B18" t="str">
        <f t="shared" si="1"/>
        <v>A3A2h</v>
      </c>
      <c r="C18" t="str">
        <f>'Emissions summary'!D17</f>
        <v>CH4</v>
      </c>
      <c r="D18" s="94">
        <f>'Emissions summary'!AB17</f>
        <v>23.468707997590215</v>
      </c>
      <c r="E18" s="94">
        <f>'Emissions summary'!AC17</f>
        <v>23.467806419163871</v>
      </c>
      <c r="F18" s="94">
        <f>'Emissions summary'!AD17</f>
        <v>23.247119239409386</v>
      </c>
      <c r="G18" s="94">
        <f>'Emissions summary'!AE17</f>
        <v>22.859460940792768</v>
      </c>
      <c r="H18" s="94">
        <f>'Emissions summary'!AF17</f>
        <v>22.375558899664657</v>
      </c>
      <c r="I18" s="94">
        <f>'Emissions summary'!AG17</f>
        <v>21.991698213640504</v>
      </c>
      <c r="J18" s="94">
        <f>'Emissions summary'!AH17</f>
        <v>21.672254846379513</v>
      </c>
      <c r="K18" s="94">
        <f>'Emissions summary'!AI17</f>
        <v>21.354785713201665</v>
      </c>
      <c r="L18" s="94">
        <f>'Emissions summary'!AJ17</f>
        <v>18.607847522048822</v>
      </c>
      <c r="M18" s="94">
        <f>'Emissions summary'!AK17</f>
        <v>18.638735771310024</v>
      </c>
      <c r="N18" s="94">
        <f>'Emissions summary'!AL17</f>
        <v>18.677122812660709</v>
      </c>
      <c r="O18" s="94">
        <f>'Emissions summary'!AM17</f>
        <v>18.77025064463335</v>
      </c>
      <c r="P18" s="94">
        <f>'Emissions summary'!AN17</f>
        <v>18.894493085754085</v>
      </c>
      <c r="Q18" s="94">
        <f>'Emissions summary'!AO17</f>
        <v>19.006541127102654</v>
      </c>
      <c r="R18" s="94">
        <f>'Emissions summary'!AP17</f>
        <v>19.193550740233121</v>
      </c>
      <c r="S18" s="94">
        <f>'Emissions summary'!AQ17</f>
        <v>19.394382794963494</v>
      </c>
      <c r="T18" s="94">
        <f>'Emissions summary'!AR17</f>
        <v>19.619460512584645</v>
      </c>
      <c r="U18" s="94">
        <f>'Emissions summary'!AS17</f>
        <v>19.854697315184914</v>
      </c>
      <c r="V18" s="94">
        <f>'Emissions summary'!AT17</f>
        <v>19.980453989044328</v>
      </c>
      <c r="W18" s="94">
        <f>'Emissions summary'!AU17</f>
        <v>20.236828326559838</v>
      </c>
      <c r="X18" s="94">
        <f>'Emissions summary'!AV17</f>
        <v>20.495363074705949</v>
      </c>
      <c r="Y18" s="94">
        <f>'Emissions summary'!AW17</f>
        <v>20.759849939181162</v>
      </c>
      <c r="Z18" s="94">
        <f>'Emissions summary'!AX17</f>
        <v>20.984754611464538</v>
      </c>
      <c r="AA18" s="94">
        <f>'Emissions summary'!AY17</f>
        <v>21.233612344194192</v>
      </c>
      <c r="AB18" s="94">
        <f>'Emissions summary'!AZ17</f>
        <v>21.505790391541627</v>
      </c>
      <c r="AC18" s="94">
        <f>'Emissions summary'!BA17</f>
        <v>21.788278712785026</v>
      </c>
      <c r="AD18" s="94">
        <f>'Emissions summary'!BB17</f>
        <v>22.049682810534939</v>
      </c>
      <c r="AE18" s="94">
        <f>'Emissions summary'!BC17</f>
        <v>22.3208590021624</v>
      </c>
      <c r="AF18" s="94">
        <f>'Emissions summary'!BD17</f>
        <v>22.619023761652535</v>
      </c>
      <c r="AG18" s="94">
        <f>'Emissions summary'!BE17</f>
        <v>22.934328813539498</v>
      </c>
      <c r="AH18" s="94">
        <f>'Emissions summary'!BF17</f>
        <v>23.263047336160461</v>
      </c>
      <c r="AI18" s="94">
        <f>'Emissions summary'!BG17</f>
        <v>23.605332601825829</v>
      </c>
      <c r="AJ18" s="94">
        <f>'Emissions summary'!BH17</f>
        <v>23.960347055489621</v>
      </c>
      <c r="AK18" s="94">
        <f>'Emissions summary'!BI17</f>
        <v>24.333766530549092</v>
      </c>
      <c r="AL18" s="94">
        <f>'Emissions summary'!BJ17</f>
        <v>24.643634505497573</v>
      </c>
      <c r="AM18" s="94">
        <f>'Emissions summary'!BK17</f>
        <v>24.968582318417361</v>
      </c>
      <c r="AN18" s="94">
        <f>'Emissions summary'!BL17</f>
        <v>25.313417872222448</v>
      </c>
      <c r="AO18" s="94">
        <f>'Emissions summary'!BM17</f>
        <v>25.679854388035388</v>
      </c>
      <c r="AP18" s="94">
        <f>'Emissions summary'!BN17</f>
        <v>26.084367305884815</v>
      </c>
    </row>
    <row r="19" spans="1:42" x14ac:dyDescent="0.25">
      <c r="A19" t="str">
        <f>'Emissions summary'!C18</f>
        <v>3A2i Poultry</v>
      </c>
      <c r="B19" t="str">
        <f t="shared" si="1"/>
        <v>A3A2i</v>
      </c>
      <c r="C19" t="str">
        <f>'Emissions summary'!D18</f>
        <v>CH4</v>
      </c>
      <c r="D19" s="94">
        <f>'Emissions summary'!AB18</f>
        <v>2.9001320647926985</v>
      </c>
      <c r="E19" s="94">
        <f>'Emissions summary'!AC18</f>
        <v>2.9621654461275471</v>
      </c>
      <c r="F19" s="94">
        <f>'Emissions summary'!AD18</f>
        <v>2.9876241467198228</v>
      </c>
      <c r="G19" s="94">
        <f>'Emissions summary'!AE18</f>
        <v>2.9836285633071506</v>
      </c>
      <c r="H19" s="94">
        <f>'Emissions summary'!AF18</f>
        <v>2.9607923075327762</v>
      </c>
      <c r="I19" s="94">
        <f>'Emissions summary'!AG18</f>
        <v>2.9515766767200056</v>
      </c>
      <c r="J19" s="94">
        <f>'Emissions summary'!AH18</f>
        <v>2.9510673644839205</v>
      </c>
      <c r="K19" s="94">
        <f>'Emissions summary'!AI18</f>
        <v>2.9489802184905063</v>
      </c>
      <c r="L19" s="94">
        <f>'Emissions summary'!AJ18</f>
        <v>2.5172938559378748</v>
      </c>
      <c r="M19" s="94">
        <f>'Emissions summary'!AK18</f>
        <v>2.569904729849974</v>
      </c>
      <c r="N19" s="94">
        <f>'Emissions summary'!AL18</f>
        <v>2.624685300471457</v>
      </c>
      <c r="O19" s="94">
        <f>'Emissions summary'!AM18</f>
        <v>2.6904373150854455</v>
      </c>
      <c r="P19" s="94">
        <f>'Emissions summary'!AN18</f>
        <v>2.7627677253086773</v>
      </c>
      <c r="Q19" s="94">
        <f>'Emissions summary'!AO18</f>
        <v>2.833792950276969</v>
      </c>
      <c r="R19" s="94">
        <f>'Emissions summary'!AP18</f>
        <v>2.92017369802997</v>
      </c>
      <c r="S19" s="94">
        <f>'Emissions summary'!AQ18</f>
        <v>3.0106827677038162</v>
      </c>
      <c r="T19" s="94">
        <f>'Emissions summary'!AR18</f>
        <v>3.1075410865513722</v>
      </c>
      <c r="U19" s="94">
        <f>'Emissions summary'!AS18</f>
        <v>3.2081344911433716</v>
      </c>
      <c r="V19" s="94">
        <f>'Emissions summary'!AT18</f>
        <v>3.288396633262511</v>
      </c>
      <c r="W19" s="94">
        <f>'Emissions summary'!AU18</f>
        <v>3.3967287548263863</v>
      </c>
      <c r="X19" s="94">
        <f>'Emissions summary'!AV18</f>
        <v>3.5075674948514761</v>
      </c>
      <c r="Y19" s="94">
        <f>'Emissions summary'!AW18</f>
        <v>3.6217931592499983</v>
      </c>
      <c r="Z19" s="94">
        <f>'Emissions summary'!AX18</f>
        <v>3.7297830739620048</v>
      </c>
      <c r="AA19" s="94">
        <f>'Emissions summary'!AY18</f>
        <v>3.8450107801673492</v>
      </c>
      <c r="AB19" s="94">
        <f>'Emissions summary'!AZ18</f>
        <v>3.9676098718094677</v>
      </c>
      <c r="AC19" s="94">
        <f>'Emissions summary'!BA18</f>
        <v>4.0949623215044335</v>
      </c>
      <c r="AD19" s="94">
        <f>'Emissions summary'!BB18</f>
        <v>4.2201612359541434</v>
      </c>
      <c r="AE19" s="94">
        <f>'Emissions summary'!BC18</f>
        <v>4.3501171238830123</v>
      </c>
      <c r="AF19" s="94">
        <f>'Emissions summary'!BD18</f>
        <v>4.4889765851614944</v>
      </c>
      <c r="AG19" s="94">
        <f>'Emissions summary'!BE18</f>
        <v>4.6347604962489797</v>
      </c>
      <c r="AH19" s="94">
        <f>'Emissions summary'!BF18</f>
        <v>4.7868295426014456</v>
      </c>
      <c r="AI19" s="94">
        <f>'Emissions summary'!BG18</f>
        <v>4.9454385480490233</v>
      </c>
      <c r="AJ19" s="94">
        <f>'Emissions summary'!BH18</f>
        <v>5.1106089354949606</v>
      </c>
      <c r="AK19" s="94">
        <f>'Emissions summary'!BI18</f>
        <v>5.2839701901921474</v>
      </c>
      <c r="AL19" s="94">
        <f>'Emissions summary'!BJ18</f>
        <v>5.445267394797737</v>
      </c>
      <c r="AM19" s="94">
        <f>'Emissions summary'!BK18</f>
        <v>5.6139426244627275</v>
      </c>
      <c r="AN19" s="94">
        <f>'Emissions summary'!BL18</f>
        <v>5.7914968519839016</v>
      </c>
      <c r="AO19" s="94">
        <f>'Emissions summary'!BM18</f>
        <v>5.9787023546671652</v>
      </c>
      <c r="AP19" s="94">
        <f>'Emissions summary'!BN18</f>
        <v>6.1802730314244902</v>
      </c>
    </row>
    <row r="20" spans="1:42" x14ac:dyDescent="0.25">
      <c r="A20" t="str">
        <f>'Emissions summary'!C20</f>
        <v>3A2a Cattle</v>
      </c>
      <c r="B20" t="str">
        <f t="shared" si="1"/>
        <v>A3A2a</v>
      </c>
      <c r="C20" t="str">
        <f>'Emissions summary'!D20</f>
        <v>N2O</v>
      </c>
      <c r="D20" s="94">
        <f>'Emissions summary'!AB20</f>
        <v>2.6514097282204374</v>
      </c>
      <c r="E20" s="94">
        <f>'Emissions summary'!AC20</f>
        <v>2.6873100585070251</v>
      </c>
      <c r="F20" s="94">
        <f>'Emissions summary'!AD20</f>
        <v>2.7004133549191462</v>
      </c>
      <c r="G20" s="94">
        <f>'Emissions summary'!AE20</f>
        <v>2.6955266946619183</v>
      </c>
      <c r="H20" s="94">
        <f>'Emissions summary'!AF20</f>
        <v>2.6796050899783892</v>
      </c>
      <c r="I20" s="94">
        <f>'Emissions summary'!AG20</f>
        <v>2.6733529583379765</v>
      </c>
      <c r="J20" s="94">
        <f>'Emissions summary'!AH20</f>
        <v>2.6730850943272859</v>
      </c>
      <c r="K20" s="94">
        <f>'Emissions summary'!AI20</f>
        <v>2.6722939427870576</v>
      </c>
      <c r="L20" s="94">
        <f>'Emissions summary'!AJ20</f>
        <v>2.4025645698982476</v>
      </c>
      <c r="M20" s="94">
        <f>'Emissions summary'!AK20</f>
        <v>2.4421452674999795</v>
      </c>
      <c r="N20" s="94">
        <f>'Emissions summary'!AL20</f>
        <v>2.4822197577626008</v>
      </c>
      <c r="O20" s="94">
        <f>'Emissions summary'!AM20</f>
        <v>2.528285645007184</v>
      </c>
      <c r="P20" s="94">
        <f>'Emissions summary'!AN20</f>
        <v>2.5782832292464439</v>
      </c>
      <c r="Q20" s="94">
        <f>'Emissions summary'!AO20</f>
        <v>2.6272618250535196</v>
      </c>
      <c r="R20" s="94">
        <f>'Emissions summary'!AP20</f>
        <v>2.6856485933396401</v>
      </c>
      <c r="S20" s="94">
        <f>'Emissions summary'!AQ20</f>
        <v>2.7464001422675852</v>
      </c>
      <c r="T20" s="94">
        <f>'Emissions summary'!AR20</f>
        <v>2.8108993156015853</v>
      </c>
      <c r="U20" s="94">
        <f>'Emissions summary'!AS20</f>
        <v>2.8775874206214489</v>
      </c>
      <c r="V20" s="94">
        <f>'Emissions summary'!AT20</f>
        <v>2.9313946503873796</v>
      </c>
      <c r="W20" s="94">
        <f>'Emissions summary'!AU20</f>
        <v>2.9968835504357108</v>
      </c>
      <c r="X20" s="94">
        <f>'Emissions summary'!AV20</f>
        <v>3.0636056618859788</v>
      </c>
      <c r="Y20" s="94">
        <f>'Emissions summary'!AW20</f>
        <v>3.1321037153514002</v>
      </c>
      <c r="Z20" s="94">
        <f>'Emissions summary'!AX20</f>
        <v>3.196421656597944</v>
      </c>
      <c r="AA20" s="94">
        <f>'Emissions summary'!AY20</f>
        <v>3.2649348662735891</v>
      </c>
      <c r="AB20" s="94">
        <f>'Emissions summary'!AZ20</f>
        <v>3.3377058725226751</v>
      </c>
      <c r="AC20" s="94">
        <f>'Emissions summary'!BA20</f>
        <v>3.4131003398326394</v>
      </c>
      <c r="AD20" s="94">
        <f>'Emissions summary'!BB20</f>
        <v>3.486855651893503</v>
      </c>
      <c r="AE20" s="94">
        <f>'Emissions summary'!BC20</f>
        <v>3.5632610235379962</v>
      </c>
      <c r="AF20" s="94">
        <f>'Emissions summary'!BD20</f>
        <v>3.6448550338540606</v>
      </c>
      <c r="AG20" s="94">
        <f>'Emissions summary'!BE20</f>
        <v>3.7337231755923623</v>
      </c>
      <c r="AH20" s="94">
        <f>'Emissions summary'!BF20</f>
        <v>3.8262550960603416</v>
      </c>
      <c r="AI20" s="94">
        <f>'Emissions summary'!BG20</f>
        <v>3.9226055617596107</v>
      </c>
      <c r="AJ20" s="94">
        <f>'Emissions summary'!BH20</f>
        <v>4.0227880108012171</v>
      </c>
      <c r="AK20" s="94">
        <f>'Emissions summary'!BI20</f>
        <v>4.1277996878605201</v>
      </c>
      <c r="AL20" s="94">
        <f>'Emissions summary'!BJ20</f>
        <v>4.2252546696810009</v>
      </c>
      <c r="AM20" s="94">
        <f>'Emissions summary'!BK20</f>
        <v>4.3270553038682467</v>
      </c>
      <c r="AN20" s="94">
        <f>'Emissions summary'!BL20</f>
        <v>4.434119869411477</v>
      </c>
      <c r="AO20" s="94">
        <f>'Emissions summary'!BM20</f>
        <v>4.5469179050996349</v>
      </c>
      <c r="AP20" s="94">
        <f>'Emissions summary'!BN20</f>
        <v>4.668328314747864</v>
      </c>
    </row>
    <row r="21" spans="1:42" x14ac:dyDescent="0.25">
      <c r="A21" t="str">
        <f>'Emissions summary'!C21</f>
        <v>3A2c Sheep</v>
      </c>
      <c r="B21" t="str">
        <f t="shared" si="1"/>
        <v>A3A2c</v>
      </c>
      <c r="C21" t="str">
        <f>'Emissions summary'!D21</f>
        <v>N2O</v>
      </c>
      <c r="D21" s="94">
        <f>'Emissions summary'!AB21</f>
        <v>0.17984632083656066</v>
      </c>
      <c r="E21" s="94">
        <f>'Emissions summary'!AC21</f>
        <v>0.17994744189680767</v>
      </c>
      <c r="F21" s="94">
        <f>'Emissions summary'!AD21</f>
        <v>0.18016839446896027</v>
      </c>
      <c r="G21" s="94">
        <f>'Emissions summary'!AE21</f>
        <v>0.18050327438407321</v>
      </c>
      <c r="H21" s="94">
        <f>'Emissions summary'!AF21</f>
        <v>0.18094875373186742</v>
      </c>
      <c r="I21" s="94">
        <f>'Emissions summary'!AG21</f>
        <v>0.18150858616707685</v>
      </c>
      <c r="J21" s="94">
        <f>'Emissions summary'!AH21</f>
        <v>0.18213311648933883</v>
      </c>
      <c r="K21" s="94">
        <f>'Emissions summary'!AI21</f>
        <v>0.18282062654500728</v>
      </c>
      <c r="L21" s="94">
        <f>'Emissions summary'!AJ21</f>
        <v>0.18345445085602496</v>
      </c>
      <c r="M21" s="94">
        <f>'Emissions summary'!AK21</f>
        <v>0.18393053016560987</v>
      </c>
      <c r="N21" s="94">
        <f>'Emissions summary'!AL21</f>
        <v>0.18434332661634623</v>
      </c>
      <c r="O21" s="94">
        <f>'Emissions summary'!AM21</f>
        <v>0.18469029868878128</v>
      </c>
      <c r="P21" s="94">
        <f>'Emissions summary'!AN21</f>
        <v>0.18503868371102158</v>
      </c>
      <c r="Q21" s="94">
        <f>'Emissions summary'!AO21</f>
        <v>0.18538354828847958</v>
      </c>
      <c r="R21" s="94">
        <f>'Emissions summary'!AP21</f>
        <v>0.18572674863266325</v>
      </c>
      <c r="S21" s="94">
        <f>'Emissions summary'!AQ21</f>
        <v>0.18606290172031137</v>
      </c>
      <c r="T21" s="94">
        <f>'Emissions summary'!AR21</f>
        <v>0.18639039764063417</v>
      </c>
      <c r="U21" s="94">
        <f>'Emissions summary'!AS21</f>
        <v>0.18671537994573928</v>
      </c>
      <c r="V21" s="94">
        <f>'Emissions summary'!AT21</f>
        <v>0.18702957569182374</v>
      </c>
      <c r="W21" s="94">
        <f>'Emissions summary'!AU21</f>
        <v>0.1873443881065561</v>
      </c>
      <c r="X21" s="94">
        <f>'Emissions summary'!AV21</f>
        <v>0.18765138656387453</v>
      </c>
      <c r="Y21" s="94">
        <f>'Emissions summary'!AW21</f>
        <v>0.18794936795469813</v>
      </c>
      <c r="Z21" s="94">
        <f>'Emissions summary'!AX21</f>
        <v>0.18823689769426857</v>
      </c>
      <c r="AA21" s="94">
        <f>'Emissions summary'!AY21</f>
        <v>0.18851639742598617</v>
      </c>
      <c r="AB21" s="94">
        <f>'Emissions summary'!AZ21</f>
        <v>0.1887867480151228</v>
      </c>
      <c r="AC21" s="94">
        <f>'Emissions summary'!BA21</f>
        <v>0.18904614653200194</v>
      </c>
      <c r="AD21" s="94">
        <f>'Emissions summary'!BB21</f>
        <v>0.18929167345487569</v>
      </c>
      <c r="AE21" s="94">
        <f>'Emissions summary'!BC21</f>
        <v>0.18952692712551611</v>
      </c>
      <c r="AF21" s="94">
        <f>'Emissions summary'!BD21</f>
        <v>0.18975216001271561</v>
      </c>
      <c r="AG21" s="94">
        <f>'Emissions summary'!BE21</f>
        <v>0.1899659947917392</v>
      </c>
      <c r="AH21" s="94">
        <f>'Emissions summary'!BF21</f>
        <v>0.19016746627584105</v>
      </c>
      <c r="AI21" s="94">
        <f>'Emissions summary'!BG21</f>
        <v>0.19035589869878949</v>
      </c>
      <c r="AJ21" s="94">
        <f>'Emissions summary'!BH21</f>
        <v>0.19053070273498701</v>
      </c>
      <c r="AK21" s="94">
        <f>'Emissions summary'!BI21</f>
        <v>0.19069166526861098</v>
      </c>
      <c r="AL21" s="94">
        <f>'Emissions summary'!BJ21</f>
        <v>0.19083253915063778</v>
      </c>
      <c r="AM21" s="94">
        <f>'Emissions summary'!BK21</f>
        <v>0.19095811303708082</v>
      </c>
      <c r="AN21" s="94">
        <f>'Emissions summary'!BL21</f>
        <v>0.1910682481657861</v>
      </c>
      <c r="AO21" s="94">
        <f>'Emissions summary'!BM21</f>
        <v>0.19116227710663386</v>
      </c>
      <c r="AP21" s="94">
        <f>'Emissions summary'!BN21</f>
        <v>0.19124102493305772</v>
      </c>
    </row>
    <row r="22" spans="1:42" x14ac:dyDescent="0.25">
      <c r="A22" t="str">
        <f>'Emissions summary'!C22</f>
        <v>3A2d Goats</v>
      </c>
      <c r="B22" t="str">
        <f t="shared" si="1"/>
        <v>A3A2d</v>
      </c>
      <c r="C22" t="str">
        <f>'Emissions summary'!D22</f>
        <v>N2O</v>
      </c>
      <c r="D22" s="94">
        <f>'Emissions summary'!AB22</f>
        <v>0.12932201954336789</v>
      </c>
      <c r="E22" s="94">
        <f>'Emissions summary'!AC22</f>
        <v>0.12966265507555569</v>
      </c>
      <c r="F22" s="94">
        <f>'Emissions summary'!AD22</f>
        <v>0.13011332786723581</v>
      </c>
      <c r="G22" s="94">
        <f>'Emissions summary'!AE22</f>
        <v>0.13066937621499602</v>
      </c>
      <c r="H22" s="94">
        <f>'Emissions summary'!AF22</f>
        <v>0.13132865685525782</v>
      </c>
      <c r="I22" s="94">
        <f>'Emissions summary'!AG22</f>
        <v>0.13209666439372347</v>
      </c>
      <c r="J22" s="94">
        <f>'Emissions summary'!AH22</f>
        <v>0.13291869604209358</v>
      </c>
      <c r="K22" s="94">
        <f>'Emissions summary'!AI22</f>
        <v>0.13379401474420949</v>
      </c>
      <c r="L22" s="94">
        <f>'Emissions summary'!AJ22</f>
        <v>0.13459355841219892</v>
      </c>
      <c r="M22" s="94">
        <f>'Emissions summary'!AK22</f>
        <v>0.13520345921156837</v>
      </c>
      <c r="N22" s="94">
        <f>'Emissions summary'!AL22</f>
        <v>0.13573098354933635</v>
      </c>
      <c r="O22" s="94">
        <f>'Emissions summary'!AM22</f>
        <v>0.13617483276697748</v>
      </c>
      <c r="P22" s="94">
        <f>'Emissions summary'!AN22</f>
        <v>0.13661059944918955</v>
      </c>
      <c r="Q22" s="94">
        <f>'Emissions summary'!AO22</f>
        <v>0.13703358996364853</v>
      </c>
      <c r="R22" s="94">
        <f>'Emissions summary'!AP22</f>
        <v>0.13744653583474975</v>
      </c>
      <c r="S22" s="94">
        <f>'Emissions summary'!AQ22</f>
        <v>0.13784414248773552</v>
      </c>
      <c r="T22" s="94">
        <f>'Emissions summary'!AR22</f>
        <v>0.13822523105173457</v>
      </c>
      <c r="U22" s="94">
        <f>'Emissions summary'!AS22</f>
        <v>0.13859704302647935</v>
      </c>
      <c r="V22" s="94">
        <f>'Emissions summary'!AT22</f>
        <v>0.13895101450542915</v>
      </c>
      <c r="W22" s="94">
        <f>'Emissions summary'!AU22</f>
        <v>0.13929999730189985</v>
      </c>
      <c r="X22" s="94">
        <f>'Emissions summary'!AV22</f>
        <v>0.13963519340058711</v>
      </c>
      <c r="Y22" s="94">
        <f>'Emissions summary'!AW22</f>
        <v>0.13995566918727065</v>
      </c>
      <c r="Z22" s="94">
        <f>'Emissions summary'!AX22</f>
        <v>0.14026022136840069</v>
      </c>
      <c r="AA22" s="94">
        <f>'Emissions summary'!AY22</f>
        <v>0.14055178928160672</v>
      </c>
      <c r="AB22" s="94">
        <f>'Emissions summary'!AZ22</f>
        <v>0.14082945789384216</v>
      </c>
      <c r="AC22" s="94">
        <f>'Emissions summary'!BA22</f>
        <v>0.14109156544092533</v>
      </c>
      <c r="AD22" s="94">
        <f>'Emissions summary'!BB22</f>
        <v>0.14133524797659219</v>
      </c>
      <c r="AE22" s="94">
        <f>'Emissions summary'!BC22</f>
        <v>0.14156462150965668</v>
      </c>
      <c r="AF22" s="94">
        <f>'Emissions summary'!BD22</f>
        <v>0.14178018365392289</v>
      </c>
      <c r="AG22" s="94">
        <f>'Emissions summary'!BE22</f>
        <v>0.14198067772566286</v>
      </c>
      <c r="AH22" s="94">
        <f>'Emissions summary'!BF22</f>
        <v>0.1421652828707764</v>
      </c>
      <c r="AI22" s="94">
        <f>'Emissions summary'!BG22</f>
        <v>0.14233348067635213</v>
      </c>
      <c r="AJ22" s="94">
        <f>'Emissions summary'!BH22</f>
        <v>0.14248483802878883</v>
      </c>
      <c r="AK22" s="94">
        <f>'Emissions summary'!BI22</f>
        <v>0.14261931401116759</v>
      </c>
      <c r="AL22" s="94">
        <f>'Emissions summary'!BJ22</f>
        <v>0.14273047962753702</v>
      </c>
      <c r="AM22" s="94">
        <f>'Emissions summary'!BK22</f>
        <v>0.14282358948463814</v>
      </c>
      <c r="AN22" s="94">
        <f>'Emissions summary'!BL22</f>
        <v>0.14289866350452785</v>
      </c>
      <c r="AO22" s="94">
        <f>'Emissions summary'!BM22</f>
        <v>0.14295515852141458</v>
      </c>
      <c r="AP22" s="94">
        <f>'Emissions summary'!BN22</f>
        <v>0.14299409655645348</v>
      </c>
    </row>
    <row r="23" spans="1:42" x14ac:dyDescent="0.25">
      <c r="A23" t="str">
        <f>'Emissions summary'!C25</f>
        <v>3A2h Swine</v>
      </c>
      <c r="B23" t="str">
        <f t="shared" si="1"/>
        <v>A3A2h</v>
      </c>
      <c r="C23" t="str">
        <f>'Emissions summary'!D25</f>
        <v>N2O</v>
      </c>
      <c r="D23" s="94">
        <f>'Emissions summary'!AB25</f>
        <v>0.13624655115823153</v>
      </c>
      <c r="E23" s="94">
        <f>'Emissions summary'!AC25</f>
        <v>0.13624131708436601</v>
      </c>
      <c r="F23" s="94">
        <f>'Emissions summary'!AD25</f>
        <v>0.1349601273772261</v>
      </c>
      <c r="G23" s="94">
        <f>'Emissions summary'!AE25</f>
        <v>0.13270959418980879</v>
      </c>
      <c r="H23" s="94">
        <f>'Emissions summary'!AF25</f>
        <v>0.12990032219201059</v>
      </c>
      <c r="I23" s="94">
        <f>'Emissions summary'!AG25</f>
        <v>0.1276718358773232</v>
      </c>
      <c r="J23" s="94">
        <f>'Emissions summary'!AH25</f>
        <v>0.12581732147098471</v>
      </c>
      <c r="K23" s="94">
        <f>'Emissions summary'!AI25</f>
        <v>0.12397426839370768</v>
      </c>
      <c r="L23" s="94">
        <f>'Emissions summary'!AJ25</f>
        <v>0.10802703964861292</v>
      </c>
      <c r="M23" s="94">
        <f>'Emissions summary'!AK25</f>
        <v>0.10820636001995962</v>
      </c>
      <c r="N23" s="94">
        <f>'Emissions summary'!AL25</f>
        <v>0.10842921429867557</v>
      </c>
      <c r="O23" s="94">
        <f>'Emissions summary'!AM25</f>
        <v>0.1089698638275895</v>
      </c>
      <c r="P23" s="94">
        <f>'Emissions summary'!AN25</f>
        <v>0.10969114785020884</v>
      </c>
      <c r="Q23" s="94">
        <f>'Emissions summary'!AO25</f>
        <v>0.11034163782176352</v>
      </c>
      <c r="R23" s="94">
        <f>'Emissions summary'!AP25</f>
        <v>0.11142731389839616</v>
      </c>
      <c r="S23" s="94">
        <f>'Emissions summary'!AQ25</f>
        <v>0.11259323555125597</v>
      </c>
      <c r="T23" s="94">
        <f>'Emissions summary'!AR25</f>
        <v>0.11389991433270388</v>
      </c>
      <c r="U23" s="94">
        <f>'Emissions summary'!AS25</f>
        <v>0.11526557123478251</v>
      </c>
      <c r="V23" s="94">
        <f>'Emissions summary'!AT25</f>
        <v>0.11599564606890778</v>
      </c>
      <c r="W23" s="94">
        <f>'Emissions summary'!AU25</f>
        <v>0.11748401599943617</v>
      </c>
      <c r="X23" s="94">
        <f>'Emissions summary'!AV25</f>
        <v>0.11898492809877653</v>
      </c>
      <c r="Y23" s="94">
        <f>'Emissions summary'!AW25</f>
        <v>0.12052039494744596</v>
      </c>
      <c r="Z23" s="94">
        <f>'Emissions summary'!AX25</f>
        <v>0.12182606912180313</v>
      </c>
      <c r="AA23" s="94">
        <f>'Emissions summary'!AY25</f>
        <v>0.12327080173413751</v>
      </c>
      <c r="AB23" s="94">
        <f>'Emissions summary'!AZ25</f>
        <v>0.12485091940639614</v>
      </c>
      <c r="AC23" s="94">
        <f>'Emissions summary'!BA25</f>
        <v>0.12649089291988674</v>
      </c>
      <c r="AD23" s="94">
        <f>'Emissions summary'!BB25</f>
        <v>0.12800846290203965</v>
      </c>
      <c r="AE23" s="94">
        <f>'Emissions summary'!BC25</f>
        <v>0.12958276434501892</v>
      </c>
      <c r="AF23" s="94">
        <f>'Emissions summary'!BD25</f>
        <v>0.13131374673065452</v>
      </c>
      <c r="AG23" s="94">
        <f>'Emissions summary'!BE25</f>
        <v>0.13314423632926287</v>
      </c>
      <c r="AH23" s="94">
        <f>'Emissions summary'!BF25</f>
        <v>0.13505259724173979</v>
      </c>
      <c r="AI23" s="94">
        <f>'Emissions summary'!BG25</f>
        <v>0.13703971928373607</v>
      </c>
      <c r="AJ23" s="94">
        <f>'Emissions summary'!BH25</f>
        <v>0.13910074006630244</v>
      </c>
      <c r="AK23" s="94">
        <f>'Emissions summary'!BI25</f>
        <v>0.14126861039036945</v>
      </c>
      <c r="AL23" s="94">
        <f>'Emissions summary'!BJ25</f>
        <v>0.14306753527815838</v>
      </c>
      <c r="AM23" s="94">
        <f>'Emissions summary'!BK25</f>
        <v>0.14495400550145646</v>
      </c>
      <c r="AN23" s="94">
        <f>'Emissions summary'!BL25</f>
        <v>0.146955933128981</v>
      </c>
      <c r="AO23" s="94">
        <f>'Emissions summary'!BM25</f>
        <v>0.14908326419054083</v>
      </c>
      <c r="AP23" s="94">
        <f>'Emissions summary'!BN25</f>
        <v>0.15143164612795285</v>
      </c>
    </row>
    <row r="24" spans="1:42" x14ac:dyDescent="0.25">
      <c r="A24" t="str">
        <f>'Emissions summary'!C26</f>
        <v>3A2i Poultry</v>
      </c>
      <c r="B24" t="str">
        <f t="shared" si="1"/>
        <v>A3A2i</v>
      </c>
      <c r="C24" t="str">
        <f>'Emissions summary'!D26</f>
        <v>N2O</v>
      </c>
      <c r="D24" s="94">
        <f>'Emissions summary'!AB26</f>
        <v>2.1283820268021771</v>
      </c>
      <c r="E24" s="94">
        <f>'Emissions summary'!AC26</f>
        <v>2.1736932813501619</v>
      </c>
      <c r="F24" s="94">
        <f>'Emissions summary'!AD26</f>
        <v>2.1914001746857066</v>
      </c>
      <c r="G24" s="94">
        <f>'Emissions summary'!AE26</f>
        <v>2.1868858106266829</v>
      </c>
      <c r="H24" s="94">
        <f>'Emissions summary'!AF26</f>
        <v>2.1681587225690615</v>
      </c>
      <c r="I24" s="94">
        <f>'Emissions summary'!AG26</f>
        <v>2.1596748383106039</v>
      </c>
      <c r="J24" s="94">
        <f>'Emissions summary'!AH26</f>
        <v>2.1577504915499328</v>
      </c>
      <c r="K24" s="94">
        <f>'Emissions summary'!AI26</f>
        <v>2.1546343709574285</v>
      </c>
      <c r="L24" s="94">
        <f>'Emissions summary'!AJ26</f>
        <v>1.8281496088487141</v>
      </c>
      <c r="M24" s="94">
        <f>'Emissions summary'!AK26</f>
        <v>1.8664589030561474</v>
      </c>
      <c r="N24" s="94">
        <f>'Emissions summary'!AL26</f>
        <v>1.9064503240563322</v>
      </c>
      <c r="O24" s="94">
        <f>'Emissions summary'!AM26</f>
        <v>1.9547464698623886</v>
      </c>
      <c r="P24" s="94">
        <f>'Emissions summary'!AN26</f>
        <v>2.0079958569805987</v>
      </c>
      <c r="Q24" s="94">
        <f>'Emissions summary'!AO26</f>
        <v>2.0602681662028348</v>
      </c>
      <c r="R24" s="94">
        <f>'Emissions summary'!AP26</f>
        <v>2.1240912664769258</v>
      </c>
      <c r="S24" s="94">
        <f>'Emissions summary'!AQ26</f>
        <v>2.1910201051935569</v>
      </c>
      <c r="T24" s="94">
        <f>'Emissions summary'!AR26</f>
        <v>2.2627232371823864</v>
      </c>
      <c r="U24" s="94">
        <f>'Emissions summary'!AS26</f>
        <v>2.3372290921996259</v>
      </c>
      <c r="V24" s="94">
        <f>'Emissions summary'!AT26</f>
        <v>2.3964548686011362</v>
      </c>
      <c r="W24" s="94">
        <f>'Emissions summary'!AU26</f>
        <v>2.4767690422894098</v>
      </c>
      <c r="X24" s="94">
        <f>'Emissions summary'!AV26</f>
        <v>2.5589613542994809</v>
      </c>
      <c r="Y24" s="94">
        <f>'Emissions summary'!AW26</f>
        <v>2.643692796503299</v>
      </c>
      <c r="Z24" s="94">
        <f>'Emissions summary'!AX26</f>
        <v>2.7237359599750905</v>
      </c>
      <c r="AA24" s="94">
        <f>'Emissions summary'!AY26</f>
        <v>2.8092090484285936</v>
      </c>
      <c r="AB24" s="94">
        <f>'Emissions summary'!AZ26</f>
        <v>2.9002105598423409</v>
      </c>
      <c r="AC24" s="94">
        <f>'Emissions summary'!BA26</f>
        <v>2.994773807181403</v>
      </c>
      <c r="AD24" s="94">
        <f>'Emissions summary'!BB26</f>
        <v>3.0877148537472427</v>
      </c>
      <c r="AE24" s="94">
        <f>'Emissions summary'!BC26</f>
        <v>3.1842183809281175</v>
      </c>
      <c r="AF24" s="94">
        <f>'Emissions summary'!BD26</f>
        <v>3.2873942825116993</v>
      </c>
      <c r="AG24" s="94">
        <f>'Emissions summary'!BE26</f>
        <v>3.3957558223410329</v>
      </c>
      <c r="AH24" s="94">
        <f>'Emissions summary'!BF26</f>
        <v>3.5088219873122868</v>
      </c>
      <c r="AI24" s="94">
        <f>'Emissions summary'!BG26</f>
        <v>3.6267825622981973</v>
      </c>
      <c r="AJ24" s="94">
        <f>'Emissions summary'!BH26</f>
        <v>3.7496521760957862</v>
      </c>
      <c r="AK24" s="94">
        <f>'Emissions summary'!BI26</f>
        <v>3.8786510825524232</v>
      </c>
      <c r="AL24" s="94">
        <f>'Emissions summary'!BJ26</f>
        <v>3.9985946702110096</v>
      </c>
      <c r="AM24" s="94">
        <f>'Emissions summary'!BK26</f>
        <v>4.1240587392060446</v>
      </c>
      <c r="AN24" s="94">
        <f>'Emissions summary'!BL26</f>
        <v>4.2561665136669093</v>
      </c>
      <c r="AO24" s="94">
        <f>'Emissions summary'!BM26</f>
        <v>4.3954948934190483</v>
      </c>
      <c r="AP24" s="94">
        <f>'Emissions summary'!BN26</f>
        <v>4.5455733160831588</v>
      </c>
    </row>
    <row r="25" spans="1:42" x14ac:dyDescent="0.25">
      <c r="A25" t="str">
        <f>'Emissions summary'!C28</f>
        <v>3C1a Biomass burning in forest land</v>
      </c>
      <c r="B25" t="str">
        <f t="shared" si="1"/>
        <v>A3C1a</v>
      </c>
      <c r="C25" t="str">
        <f>'Emissions summary'!D28</f>
        <v>CH4</v>
      </c>
      <c r="D25" s="94">
        <f>'Emissions summary'!AB28</f>
        <v>11.204575160010251</v>
      </c>
      <c r="E25" s="94">
        <f>'Emissions summary'!AC28</f>
        <v>13.05690518017699</v>
      </c>
      <c r="F25" s="94">
        <f>'Emissions summary'!AD28</f>
        <v>12.302133920343731</v>
      </c>
      <c r="G25" s="94">
        <f>'Emissions summary'!AE28</f>
        <v>11.592685700510469</v>
      </c>
      <c r="H25" s="94">
        <f>'Emissions summary'!AF28</f>
        <v>11.954566760677208</v>
      </c>
      <c r="I25" s="94">
        <f>'Emissions summary'!AG28</f>
        <v>12.263228780843946</v>
      </c>
      <c r="J25" s="94">
        <f>'Emissions summary'!AH28</f>
        <v>12.268210641010684</v>
      </c>
      <c r="K25" s="94">
        <f>'Emissions summary'!AI28</f>
        <v>12.23948849988569</v>
      </c>
      <c r="L25" s="94">
        <f>'Emissions summary'!AJ28</f>
        <v>12.210766358760694</v>
      </c>
      <c r="M25" s="94">
        <f>'Emissions summary'!AK28</f>
        <v>12.182044217635699</v>
      </c>
      <c r="N25" s="94">
        <f>'Emissions summary'!AL28</f>
        <v>12.153322076510703</v>
      </c>
      <c r="O25" s="94">
        <f>'Emissions summary'!AM28</f>
        <v>12.124599935385708</v>
      </c>
      <c r="P25" s="94">
        <f>'Emissions summary'!AN28</f>
        <v>12.095877794260716</v>
      </c>
      <c r="Q25" s="94">
        <f>'Emissions summary'!AO28</f>
        <v>12.067155653135719</v>
      </c>
      <c r="R25" s="94">
        <f>'Emissions summary'!AP28</f>
        <v>12.038433512010723</v>
      </c>
      <c r="S25" s="94">
        <f>'Emissions summary'!AQ28</f>
        <v>12.009711370885729</v>
      </c>
      <c r="T25" s="94">
        <f>'Emissions summary'!AR28</f>
        <v>11.980989229760732</v>
      </c>
      <c r="U25" s="94">
        <f>'Emissions summary'!AS28</f>
        <v>11.952267088635738</v>
      </c>
      <c r="V25" s="94">
        <f>'Emissions summary'!AT28</f>
        <v>11.923544947510743</v>
      </c>
      <c r="W25" s="94">
        <f>'Emissions summary'!AU28</f>
        <v>11.881226167028043</v>
      </c>
      <c r="X25" s="94">
        <f>'Emissions summary'!AV28</f>
        <v>11.838907386545339</v>
      </c>
      <c r="Y25" s="94">
        <f>'Emissions summary'!AW28</f>
        <v>11.796588606062636</v>
      </c>
      <c r="Z25" s="94">
        <f>'Emissions summary'!AX28</f>
        <v>11.754269825579936</v>
      </c>
      <c r="AA25" s="94">
        <f>'Emissions summary'!AY28</f>
        <v>11.711951045097234</v>
      </c>
      <c r="AB25" s="94">
        <f>'Emissions summary'!AZ28</f>
        <v>11.669632264614533</v>
      </c>
      <c r="AC25" s="94">
        <f>'Emissions summary'!BA28</f>
        <v>11.627313484131829</v>
      </c>
      <c r="AD25" s="94">
        <f>'Emissions summary'!BB28</f>
        <v>11.584994703649127</v>
      </c>
      <c r="AE25" s="94">
        <f>'Emissions summary'!BC28</f>
        <v>11.52907928380872</v>
      </c>
      <c r="AF25" s="94">
        <f>'Emissions summary'!BD28</f>
        <v>11.473163863968312</v>
      </c>
      <c r="AG25" s="94">
        <f>'Emissions summary'!BE28</f>
        <v>11.4172484441279</v>
      </c>
      <c r="AH25" s="94">
        <f>'Emissions summary'!BF28</f>
        <v>11.361333024287493</v>
      </c>
      <c r="AI25" s="94">
        <f>'Emissions summary'!BG28</f>
        <v>11.305417604447085</v>
      </c>
      <c r="AJ25" s="94">
        <f>'Emissions summary'!BH28</f>
        <v>11.249502184606676</v>
      </c>
      <c r="AK25" s="94">
        <f>'Emissions summary'!BI28</f>
        <v>11.193586764766268</v>
      </c>
      <c r="AL25" s="94">
        <f>'Emissions summary'!BJ28</f>
        <v>11.13767134492586</v>
      </c>
      <c r="AM25" s="94">
        <f>'Emissions summary'!BK28</f>
        <v>11.081755925085453</v>
      </c>
      <c r="AN25" s="94">
        <f>'Emissions summary'!BL28</f>
        <v>11.025840505245043</v>
      </c>
      <c r="AO25" s="94">
        <f>'Emissions summary'!BM28</f>
        <v>10.969925085404636</v>
      </c>
      <c r="AP25" s="94">
        <f>'Emissions summary'!BN28</f>
        <v>10.914009665564226</v>
      </c>
    </row>
    <row r="26" spans="1:42" x14ac:dyDescent="0.25">
      <c r="A26" t="str">
        <f>'Emissions summary'!C29</f>
        <v>3C1b Biomass burning in Croplands</v>
      </c>
      <c r="B26" t="str">
        <f t="shared" si="1"/>
        <v>A3C1b</v>
      </c>
      <c r="C26" t="str">
        <f>'Emissions summary'!D29</f>
        <v>CH4</v>
      </c>
      <c r="D26" s="94">
        <f>'Emissions summary'!AB29</f>
        <v>8.929388994926228</v>
      </c>
      <c r="E26" s="94">
        <f>'Emissions summary'!AC29</f>
        <v>8.9289309923184508</v>
      </c>
      <c r="F26" s="94">
        <f>'Emissions summary'!AD29</f>
        <v>8.9284729897106754</v>
      </c>
      <c r="G26" s="94">
        <f>'Emissions summary'!AE29</f>
        <v>8.9280149871028947</v>
      </c>
      <c r="H26" s="94">
        <f>'Emissions summary'!AF29</f>
        <v>8.9275569844951157</v>
      </c>
      <c r="I26" s="94">
        <f>'Emissions summary'!AG29</f>
        <v>8.9270989818873403</v>
      </c>
      <c r="J26" s="94">
        <f>'Emissions summary'!AH29</f>
        <v>8.9266409792795596</v>
      </c>
      <c r="K26" s="94">
        <f>'Emissions summary'!AI29</f>
        <v>8.926182976671786</v>
      </c>
      <c r="L26" s="94">
        <f>'Emissions summary'!AJ29</f>
        <v>8.925724974064007</v>
      </c>
      <c r="M26" s="94">
        <f>'Emissions summary'!AK29</f>
        <v>8.925266971456228</v>
      </c>
      <c r="N26" s="94">
        <f>'Emissions summary'!AL29</f>
        <v>8.9248089688484491</v>
      </c>
      <c r="O26" s="94">
        <f>'Emissions summary'!AM29</f>
        <v>8.9243509662406719</v>
      </c>
      <c r="P26" s="94">
        <f>'Emissions summary'!AN29</f>
        <v>8.9238929636328947</v>
      </c>
      <c r="Q26" s="94">
        <f>'Emissions summary'!AO29</f>
        <v>8.9234349610251176</v>
      </c>
      <c r="R26" s="94">
        <f>'Emissions summary'!AP29</f>
        <v>8.9229769584173386</v>
      </c>
      <c r="S26" s="94">
        <f>'Emissions summary'!AQ29</f>
        <v>8.9225189558095614</v>
      </c>
      <c r="T26" s="94">
        <f>'Emissions summary'!AR29</f>
        <v>8.9220609532017825</v>
      </c>
      <c r="U26" s="94">
        <f>'Emissions summary'!AS29</f>
        <v>8.9216029505940071</v>
      </c>
      <c r="V26" s="94">
        <f>'Emissions summary'!AT29</f>
        <v>8.9211449479862281</v>
      </c>
      <c r="W26" s="94">
        <f>'Emissions summary'!AU29</f>
        <v>8.9206869453784492</v>
      </c>
      <c r="X26" s="94">
        <f>'Emissions summary'!AV29</f>
        <v>8.920228942770672</v>
      </c>
      <c r="Y26" s="94">
        <f>'Emissions summary'!AW29</f>
        <v>8.9197709401628948</v>
      </c>
      <c r="Z26" s="94">
        <f>'Emissions summary'!AX29</f>
        <v>8.9193129375551177</v>
      </c>
      <c r="AA26" s="94">
        <f>'Emissions summary'!AY29</f>
        <v>8.9188549349473387</v>
      </c>
      <c r="AB26" s="94">
        <f>'Emissions summary'!AZ29</f>
        <v>8.9183969323395598</v>
      </c>
      <c r="AC26" s="94">
        <f>'Emissions summary'!BA29</f>
        <v>8.9179389297317826</v>
      </c>
      <c r="AD26" s="94">
        <f>'Emissions summary'!BB29</f>
        <v>8.9174809271240072</v>
      </c>
      <c r="AE26" s="94">
        <f>'Emissions summary'!BC29</f>
        <v>8.9170229245162282</v>
      </c>
      <c r="AF26" s="94">
        <f>'Emissions summary'!BD29</f>
        <v>8.9165649219084475</v>
      </c>
      <c r="AG26" s="94">
        <f>'Emissions summary'!BE29</f>
        <v>8.9161069193006721</v>
      </c>
      <c r="AH26" s="94">
        <f>'Emissions summary'!BF29</f>
        <v>8.9156489166928932</v>
      </c>
      <c r="AI26" s="94">
        <f>'Emissions summary'!BG29</f>
        <v>8.915190914085116</v>
      </c>
      <c r="AJ26" s="94">
        <f>'Emissions summary'!BH29</f>
        <v>8.9147329114773388</v>
      </c>
      <c r="AK26" s="94">
        <f>'Emissions summary'!BI29</f>
        <v>8.9142749088695599</v>
      </c>
      <c r="AL26" s="94">
        <f>'Emissions summary'!BJ29</f>
        <v>8.9138169062617827</v>
      </c>
      <c r="AM26" s="94">
        <f>'Emissions summary'!BK29</f>
        <v>8.9133589036540037</v>
      </c>
      <c r="AN26" s="94">
        <f>'Emissions summary'!BL29</f>
        <v>8.9129009010462266</v>
      </c>
      <c r="AO26" s="94">
        <f>'Emissions summary'!BM29</f>
        <v>8.9124428984384494</v>
      </c>
      <c r="AP26" s="94">
        <f>'Emissions summary'!BN29</f>
        <v>8.9119848958306704</v>
      </c>
    </row>
    <row r="27" spans="1:42" x14ac:dyDescent="0.25">
      <c r="A27" t="str">
        <f>'Emissions summary'!C30</f>
        <v>3C1c Biomass burning in Grasslands</v>
      </c>
      <c r="B27" t="str">
        <f t="shared" si="1"/>
        <v>A3C1c</v>
      </c>
      <c r="C27" t="str">
        <f>'Emissions summary'!D30</f>
        <v>CH4</v>
      </c>
      <c r="D27" s="94">
        <f>'Emissions summary'!AB30</f>
        <v>22.211168240472922</v>
      </c>
      <c r="E27" s="94">
        <f>'Emissions summary'!AC30</f>
        <v>22.3255420719256</v>
      </c>
      <c r="F27" s="94">
        <f>'Emissions summary'!AD30</f>
        <v>22.439915903378274</v>
      </c>
      <c r="G27" s="94">
        <f>'Emissions summary'!AE30</f>
        <v>22.554289734830945</v>
      </c>
      <c r="H27" s="94">
        <f>'Emissions summary'!AF30</f>
        <v>22.668663566283627</v>
      </c>
      <c r="I27" s="94">
        <f>'Emissions summary'!AG30</f>
        <v>22.783037397736297</v>
      </c>
      <c r="J27" s="94">
        <f>'Emissions summary'!AH30</f>
        <v>22.897411229188972</v>
      </c>
      <c r="K27" s="94">
        <f>'Emissions summary'!AI30</f>
        <v>23.095209192169019</v>
      </c>
      <c r="L27" s="94">
        <f>'Emissions summary'!AJ30</f>
        <v>23.293007155149056</v>
      </c>
      <c r="M27" s="94">
        <f>'Emissions summary'!AK30</f>
        <v>23.490805118129099</v>
      </c>
      <c r="N27" s="94">
        <f>'Emissions summary'!AL30</f>
        <v>23.688603081109136</v>
      </c>
      <c r="O27" s="94">
        <f>'Emissions summary'!AM30</f>
        <v>23.886401044089183</v>
      </c>
      <c r="P27" s="94">
        <f>'Emissions summary'!AN30</f>
        <v>24.08419900706922</v>
      </c>
      <c r="Q27" s="94">
        <f>'Emissions summary'!AO30</f>
        <v>24.281996970049263</v>
      </c>
      <c r="R27" s="94">
        <f>'Emissions summary'!AP30</f>
        <v>24.479794933029304</v>
      </c>
      <c r="S27" s="94">
        <f>'Emissions summary'!AQ30</f>
        <v>24.677592896009344</v>
      </c>
      <c r="T27" s="94">
        <f>'Emissions summary'!AR30</f>
        <v>24.875390858989384</v>
      </c>
      <c r="U27" s="94">
        <f>'Emissions summary'!AS30</f>
        <v>25.073188821969428</v>
      </c>
      <c r="V27" s="94">
        <f>'Emissions summary'!AT30</f>
        <v>25.270986784949468</v>
      </c>
      <c r="W27" s="94">
        <f>'Emissions summary'!AU30</f>
        <v>25.472302246869535</v>
      </c>
      <c r="X27" s="94">
        <f>'Emissions summary'!AV30</f>
        <v>25.6736177087896</v>
      </c>
      <c r="Y27" s="94">
        <f>'Emissions summary'!AW30</f>
        <v>25.874933170709671</v>
      </c>
      <c r="Z27" s="94">
        <f>'Emissions summary'!AX30</f>
        <v>26.076248632629738</v>
      </c>
      <c r="AA27" s="94">
        <f>'Emissions summary'!AY30</f>
        <v>26.277564094549799</v>
      </c>
      <c r="AB27" s="94">
        <f>'Emissions summary'!AZ30</f>
        <v>26.47887955646987</v>
      </c>
      <c r="AC27" s="94">
        <f>'Emissions summary'!BA30</f>
        <v>26.680195018389934</v>
      </c>
      <c r="AD27" s="94">
        <f>'Emissions summary'!BB30</f>
        <v>26.881510480309998</v>
      </c>
      <c r="AE27" s="94">
        <f>'Emissions summary'!BC30</f>
        <v>27.082825942230066</v>
      </c>
      <c r="AF27" s="94">
        <f>'Emissions summary'!BD30</f>
        <v>27.28414140415013</v>
      </c>
      <c r="AG27" s="94">
        <f>'Emissions summary'!BE30</f>
        <v>27.485456866070198</v>
      </c>
      <c r="AH27" s="94">
        <f>'Emissions summary'!BF30</f>
        <v>27.686772327990262</v>
      </c>
      <c r="AI27" s="94">
        <f>'Emissions summary'!BG30</f>
        <v>27.88808778991033</v>
      </c>
      <c r="AJ27" s="94">
        <f>'Emissions summary'!BH30</f>
        <v>28.089403251830397</v>
      </c>
      <c r="AK27" s="94">
        <f>'Emissions summary'!BI30</f>
        <v>28.290718713750465</v>
      </c>
      <c r="AL27" s="94">
        <f>'Emissions summary'!BJ30</f>
        <v>28.492034175670533</v>
      </c>
      <c r="AM27" s="94">
        <f>'Emissions summary'!BK30</f>
        <v>28.6933496375906</v>
      </c>
      <c r="AN27" s="94">
        <f>'Emissions summary'!BL30</f>
        <v>28.894665099510664</v>
      </c>
      <c r="AO27" s="94">
        <f>'Emissions summary'!BM30</f>
        <v>29.095980561430732</v>
      </c>
      <c r="AP27" s="94">
        <f>'Emissions summary'!BN30</f>
        <v>29.2972960233508</v>
      </c>
    </row>
    <row r="28" spans="1:42" x14ac:dyDescent="0.25">
      <c r="A28" t="str">
        <f>'Emissions summary'!C31</f>
        <v>3C1d Biomass burning in Wetlands</v>
      </c>
      <c r="B28" t="str">
        <f t="shared" si="1"/>
        <v>A3C1d</v>
      </c>
      <c r="C28" t="str">
        <f>'Emissions summary'!D31</f>
        <v>CH4</v>
      </c>
      <c r="D28" s="94">
        <f>'Emissions summary'!AB31</f>
        <v>0.86319492850198365</v>
      </c>
      <c r="E28" s="94">
        <f>'Emissions summary'!AC31</f>
        <v>0.86319492850198365</v>
      </c>
      <c r="F28" s="94">
        <f>'Emissions summary'!AD31</f>
        <v>0.86319492850198365</v>
      </c>
      <c r="G28" s="94">
        <f>'Emissions summary'!AE31</f>
        <v>0.86319492850198365</v>
      </c>
      <c r="H28" s="94">
        <f>'Emissions summary'!AF31</f>
        <v>0.86319492850198365</v>
      </c>
      <c r="I28" s="94">
        <f>'Emissions summary'!AG31</f>
        <v>0.86319492850198365</v>
      </c>
      <c r="J28" s="94">
        <f>'Emissions summary'!AH31</f>
        <v>0.86319492850198365</v>
      </c>
      <c r="K28" s="94">
        <f>'Emissions summary'!AI31</f>
        <v>0.86319492850198365</v>
      </c>
      <c r="L28" s="94">
        <f>'Emissions summary'!AJ31</f>
        <v>0.86319492850198365</v>
      </c>
      <c r="M28" s="94">
        <f>'Emissions summary'!AK31</f>
        <v>0.86319492850198365</v>
      </c>
      <c r="N28" s="94">
        <f>'Emissions summary'!AL31</f>
        <v>0.86319492850198365</v>
      </c>
      <c r="O28" s="94">
        <f>'Emissions summary'!AM31</f>
        <v>0.86319492850198365</v>
      </c>
      <c r="P28" s="94">
        <f>'Emissions summary'!AN31</f>
        <v>0.86319492850198365</v>
      </c>
      <c r="Q28" s="94">
        <f>'Emissions summary'!AO31</f>
        <v>0.86319492850198365</v>
      </c>
      <c r="R28" s="94">
        <f>'Emissions summary'!AP31</f>
        <v>0.86319492850198365</v>
      </c>
      <c r="S28" s="94">
        <f>'Emissions summary'!AQ31</f>
        <v>0.86319492850198365</v>
      </c>
      <c r="T28" s="94">
        <f>'Emissions summary'!AR31</f>
        <v>0.86319492850198365</v>
      </c>
      <c r="U28" s="94">
        <f>'Emissions summary'!AS31</f>
        <v>0.86319492850198365</v>
      </c>
      <c r="V28" s="94">
        <f>'Emissions summary'!AT31</f>
        <v>0.86319492850198365</v>
      </c>
      <c r="W28" s="94">
        <f>'Emissions summary'!AU31</f>
        <v>0.86319492850198365</v>
      </c>
      <c r="X28" s="94">
        <f>'Emissions summary'!AV31</f>
        <v>0.86319492850198365</v>
      </c>
      <c r="Y28" s="94">
        <f>'Emissions summary'!AW31</f>
        <v>0.86319492850198365</v>
      </c>
      <c r="Z28" s="94">
        <f>'Emissions summary'!AX31</f>
        <v>0.86319492850198365</v>
      </c>
      <c r="AA28" s="94">
        <f>'Emissions summary'!AY31</f>
        <v>0.86319492850198365</v>
      </c>
      <c r="AB28" s="94">
        <f>'Emissions summary'!AZ31</f>
        <v>0.86319492850198365</v>
      </c>
      <c r="AC28" s="94">
        <f>'Emissions summary'!BA31</f>
        <v>0.86319492850198365</v>
      </c>
      <c r="AD28" s="94">
        <f>'Emissions summary'!BB31</f>
        <v>0.86319492850198365</v>
      </c>
      <c r="AE28" s="94">
        <f>'Emissions summary'!BC31</f>
        <v>0.86319492850198365</v>
      </c>
      <c r="AF28" s="94">
        <f>'Emissions summary'!BD31</f>
        <v>0.86319492850198365</v>
      </c>
      <c r="AG28" s="94">
        <f>'Emissions summary'!BE31</f>
        <v>0.86319492850198365</v>
      </c>
      <c r="AH28" s="94">
        <f>'Emissions summary'!BF31</f>
        <v>0.86319492850198365</v>
      </c>
      <c r="AI28" s="94">
        <f>'Emissions summary'!BG31</f>
        <v>0.86319492850198365</v>
      </c>
      <c r="AJ28" s="94">
        <f>'Emissions summary'!BH31</f>
        <v>0.86319492850198365</v>
      </c>
      <c r="AK28" s="94">
        <f>'Emissions summary'!BI31</f>
        <v>0.86319492850198365</v>
      </c>
      <c r="AL28" s="94">
        <f>'Emissions summary'!BJ31</f>
        <v>0.86319492850198365</v>
      </c>
      <c r="AM28" s="94">
        <f>'Emissions summary'!BK31</f>
        <v>0.86319492850198365</v>
      </c>
      <c r="AN28" s="94">
        <f>'Emissions summary'!BL31</f>
        <v>0.86319492850198365</v>
      </c>
      <c r="AO28" s="94">
        <f>'Emissions summary'!BM31</f>
        <v>0.86319492850198365</v>
      </c>
      <c r="AP28" s="94">
        <f>'Emissions summary'!BN31</f>
        <v>0.86319492850198365</v>
      </c>
    </row>
    <row r="29" spans="1:42" x14ac:dyDescent="0.25">
      <c r="A29" t="str">
        <f>'Emissions summary'!C32</f>
        <v>3C1e Biomass burning in Settlements</v>
      </c>
      <c r="B29" t="str">
        <f t="shared" si="1"/>
        <v>A3C1e</v>
      </c>
      <c r="C29" t="str">
        <f>'Emissions summary'!D32</f>
        <v>CH4</v>
      </c>
      <c r="D29" s="94">
        <f>'Emissions summary'!AB32</f>
        <v>0.42972240374246135</v>
      </c>
      <c r="E29" s="94">
        <f>'Emissions summary'!AC32</f>
        <v>0.43063058922924524</v>
      </c>
      <c r="F29" s="94">
        <f>'Emissions summary'!AD32</f>
        <v>0.43153877471602919</v>
      </c>
      <c r="G29" s="94">
        <f>'Emissions summary'!AE32</f>
        <v>0.43244696020281326</v>
      </c>
      <c r="H29" s="94">
        <f>'Emissions summary'!AF32</f>
        <v>0.43335514568959721</v>
      </c>
      <c r="I29" s="94">
        <f>'Emissions summary'!AG32</f>
        <v>0.43426333117638116</v>
      </c>
      <c r="J29" s="94">
        <f>'Emissions summary'!AH32</f>
        <v>0.43517151666316517</v>
      </c>
      <c r="K29" s="94">
        <f>'Emissions summary'!AI32</f>
        <v>0.43607970214994918</v>
      </c>
      <c r="L29" s="94">
        <f>'Emissions summary'!AJ32</f>
        <v>0.43698788763673319</v>
      </c>
      <c r="M29" s="94">
        <f>'Emissions summary'!AK32</f>
        <v>0.43789607312351719</v>
      </c>
      <c r="N29" s="94">
        <f>'Emissions summary'!AL32</f>
        <v>0.4388042586103012</v>
      </c>
      <c r="O29" s="94">
        <f>'Emissions summary'!AM32</f>
        <v>0.43971244409708521</v>
      </c>
      <c r="P29" s="94">
        <f>'Emissions summary'!AN32</f>
        <v>0.44062062958386911</v>
      </c>
      <c r="Q29" s="94">
        <f>'Emissions summary'!AO32</f>
        <v>0.44152881507065311</v>
      </c>
      <c r="R29" s="94">
        <f>'Emissions summary'!AP32</f>
        <v>0.44243700055743712</v>
      </c>
      <c r="S29" s="94">
        <f>'Emissions summary'!AQ32</f>
        <v>0.44334518604422107</v>
      </c>
      <c r="T29" s="94">
        <f>'Emissions summary'!AR32</f>
        <v>0.44425337153100508</v>
      </c>
      <c r="U29" s="94">
        <f>'Emissions summary'!AS32</f>
        <v>0.44516155701778909</v>
      </c>
      <c r="V29" s="94">
        <f>'Emissions summary'!AT32</f>
        <v>0.44606974250457304</v>
      </c>
      <c r="W29" s="94">
        <f>'Emissions summary'!AU32</f>
        <v>0.44697792799135705</v>
      </c>
      <c r="X29" s="94">
        <f>'Emissions summary'!AV32</f>
        <v>0.44788611347814106</v>
      </c>
      <c r="Y29" s="94">
        <f>'Emissions summary'!AW32</f>
        <v>0.44879429896492501</v>
      </c>
      <c r="Z29" s="94">
        <f>'Emissions summary'!AX32</f>
        <v>0.44970248445170896</v>
      </c>
      <c r="AA29" s="94">
        <f>'Emissions summary'!AY32</f>
        <v>0.45061066993849297</v>
      </c>
      <c r="AB29" s="94">
        <f>'Emissions summary'!AZ32</f>
        <v>0.45151885542527692</v>
      </c>
      <c r="AC29" s="94">
        <f>'Emissions summary'!BA32</f>
        <v>0.45242704091206093</v>
      </c>
      <c r="AD29" s="94">
        <f>'Emissions summary'!BB32</f>
        <v>0.45333522639884494</v>
      </c>
      <c r="AE29" s="94">
        <f>'Emissions summary'!BC32</f>
        <v>0.454243411885629</v>
      </c>
      <c r="AF29" s="94">
        <f>'Emissions summary'!BD32</f>
        <v>0.45515159737241295</v>
      </c>
      <c r="AG29" s="94">
        <f>'Emissions summary'!BE32</f>
        <v>0.4560597828591969</v>
      </c>
      <c r="AH29" s="94">
        <f>'Emissions summary'!BF32</f>
        <v>0.45696796834598097</v>
      </c>
      <c r="AI29" s="94">
        <f>'Emissions summary'!BG32</f>
        <v>0.45787615383276492</v>
      </c>
      <c r="AJ29" s="94">
        <f>'Emissions summary'!BH32</f>
        <v>0.45878433931954882</v>
      </c>
      <c r="AK29" s="94">
        <f>'Emissions summary'!BI32</f>
        <v>0.45969252480633288</v>
      </c>
      <c r="AL29" s="94">
        <f>'Emissions summary'!BJ32</f>
        <v>0.46060071029311683</v>
      </c>
      <c r="AM29" s="94">
        <f>'Emissions summary'!BK32</f>
        <v>0.46150889577990084</v>
      </c>
      <c r="AN29" s="94">
        <f>'Emissions summary'!BL32</f>
        <v>0.46241708126668479</v>
      </c>
      <c r="AO29" s="94">
        <f>'Emissions summary'!BM32</f>
        <v>0.4633252667534688</v>
      </c>
      <c r="AP29" s="94">
        <f>'Emissions summary'!BN32</f>
        <v>0.46423345224025281</v>
      </c>
    </row>
    <row r="30" spans="1:42" x14ac:dyDescent="0.25">
      <c r="A30" t="str">
        <f>'Emissions summary'!C33</f>
        <v>3C1f Biomass burning in Other lands</v>
      </c>
      <c r="B30" t="str">
        <f t="shared" si="1"/>
        <v>A3C1f</v>
      </c>
      <c r="C30" t="str">
        <f>'Emissions summary'!D33</f>
        <v>CH4</v>
      </c>
      <c r="D30" s="94">
        <f>'Emissions summary'!AB33</f>
        <v>0</v>
      </c>
      <c r="E30" s="94">
        <f>'Emissions summary'!AC33</f>
        <v>0</v>
      </c>
      <c r="F30" s="94">
        <f>'Emissions summary'!AD33</f>
        <v>0</v>
      </c>
      <c r="G30" s="94">
        <f>'Emissions summary'!AE33</f>
        <v>0</v>
      </c>
      <c r="H30" s="94">
        <f>'Emissions summary'!AF33</f>
        <v>0</v>
      </c>
      <c r="I30" s="94">
        <f>'Emissions summary'!AG33</f>
        <v>0</v>
      </c>
      <c r="J30" s="94">
        <f>'Emissions summary'!AH33</f>
        <v>0</v>
      </c>
      <c r="K30" s="94">
        <f>'Emissions summary'!AI33</f>
        <v>0</v>
      </c>
      <c r="L30" s="94">
        <f>'Emissions summary'!AJ33</f>
        <v>0</v>
      </c>
      <c r="M30" s="94">
        <f>'Emissions summary'!AK33</f>
        <v>0</v>
      </c>
      <c r="N30" s="94">
        <f>'Emissions summary'!AL33</f>
        <v>0</v>
      </c>
      <c r="O30" s="94">
        <f>'Emissions summary'!AM33</f>
        <v>0</v>
      </c>
      <c r="P30" s="94">
        <f>'Emissions summary'!AN33</f>
        <v>0</v>
      </c>
      <c r="Q30" s="94">
        <f>'Emissions summary'!AO33</f>
        <v>0</v>
      </c>
      <c r="R30" s="94">
        <f>'Emissions summary'!AP33</f>
        <v>0</v>
      </c>
      <c r="S30" s="94">
        <f>'Emissions summary'!AQ33</f>
        <v>0</v>
      </c>
      <c r="T30" s="94">
        <f>'Emissions summary'!AR33</f>
        <v>0</v>
      </c>
      <c r="U30" s="94">
        <f>'Emissions summary'!AS33</f>
        <v>0</v>
      </c>
      <c r="V30" s="94">
        <f>'Emissions summary'!AT33</f>
        <v>0</v>
      </c>
      <c r="W30" s="94">
        <f>'Emissions summary'!AU33</f>
        <v>0</v>
      </c>
      <c r="X30" s="94">
        <f>'Emissions summary'!AV33</f>
        <v>0</v>
      </c>
      <c r="Y30" s="94">
        <f>'Emissions summary'!AW33</f>
        <v>0</v>
      </c>
      <c r="Z30" s="94">
        <f>'Emissions summary'!AX33</f>
        <v>0</v>
      </c>
      <c r="AA30" s="94">
        <f>'Emissions summary'!AY33</f>
        <v>0</v>
      </c>
      <c r="AB30" s="94">
        <f>'Emissions summary'!AZ33</f>
        <v>0</v>
      </c>
      <c r="AC30" s="94">
        <f>'Emissions summary'!BA33</f>
        <v>0</v>
      </c>
      <c r="AD30" s="94">
        <f>'Emissions summary'!BB33</f>
        <v>0</v>
      </c>
      <c r="AE30" s="94">
        <f>'Emissions summary'!BC33</f>
        <v>0</v>
      </c>
      <c r="AF30" s="94">
        <f>'Emissions summary'!BD33</f>
        <v>0</v>
      </c>
      <c r="AG30" s="94">
        <f>'Emissions summary'!BE33</f>
        <v>0</v>
      </c>
      <c r="AH30" s="94">
        <f>'Emissions summary'!BF33</f>
        <v>0</v>
      </c>
      <c r="AI30" s="94">
        <f>'Emissions summary'!BG33</f>
        <v>0</v>
      </c>
      <c r="AJ30" s="94">
        <f>'Emissions summary'!BH33</f>
        <v>0</v>
      </c>
      <c r="AK30" s="94">
        <f>'Emissions summary'!BI33</f>
        <v>0</v>
      </c>
      <c r="AL30" s="94">
        <f>'Emissions summary'!BJ33</f>
        <v>0</v>
      </c>
      <c r="AM30" s="94">
        <f>'Emissions summary'!BK33</f>
        <v>0</v>
      </c>
      <c r="AN30" s="94">
        <f>'Emissions summary'!BL33</f>
        <v>0</v>
      </c>
      <c r="AO30" s="94">
        <f>'Emissions summary'!BM33</f>
        <v>0</v>
      </c>
      <c r="AP30" s="94">
        <f>'Emissions summary'!BN33</f>
        <v>0</v>
      </c>
    </row>
    <row r="31" spans="1:42" x14ac:dyDescent="0.25">
      <c r="A31" t="str">
        <f>'Emissions summary'!C35</f>
        <v>3C1a Biomass burning in forest land</v>
      </c>
      <c r="B31" t="str">
        <f t="shared" si="1"/>
        <v>A3C1a</v>
      </c>
      <c r="C31" t="str">
        <f>'Emissions summary'!D35</f>
        <v>N2O</v>
      </c>
      <c r="D31" s="94">
        <f>'Emissions summary'!AB35</f>
        <v>0.81337835040550022</v>
      </c>
      <c r="E31" s="94">
        <f>'Emissions summary'!AC35</f>
        <v>0.91618667449117541</v>
      </c>
      <c r="F31" s="94">
        <f>'Emissions summary'!AD35</f>
        <v>0.87477237457685053</v>
      </c>
      <c r="G31" s="94">
        <f>'Emissions summary'!AE35</f>
        <v>0.83586530666252568</v>
      </c>
      <c r="H31" s="94">
        <f>'Emissions summary'!AF35</f>
        <v>0.85622326274820093</v>
      </c>
      <c r="I31" s="94">
        <f>'Emissions summary'!AG35</f>
        <v>0.87363718683387614</v>
      </c>
      <c r="J31" s="94">
        <f>'Emissions summary'!AH35</f>
        <v>0.87425178291955141</v>
      </c>
      <c r="K31" s="94">
        <f>'Emissions summary'!AI35</f>
        <v>0.87129977937663372</v>
      </c>
      <c r="L31" s="94">
        <f>'Emissions summary'!AJ35</f>
        <v>0.86834777583371592</v>
      </c>
      <c r="M31" s="94">
        <f>'Emissions summary'!AK35</f>
        <v>0.86539577229079812</v>
      </c>
      <c r="N31" s="94">
        <f>'Emissions summary'!AL35</f>
        <v>0.86244376874788042</v>
      </c>
      <c r="O31" s="94">
        <f>'Emissions summary'!AM35</f>
        <v>0.85949176520496295</v>
      </c>
      <c r="P31" s="94">
        <f>'Emissions summary'!AN35</f>
        <v>0.85653976166204526</v>
      </c>
      <c r="Q31" s="94">
        <f>'Emissions summary'!AO35</f>
        <v>0.85358775811912746</v>
      </c>
      <c r="R31" s="94">
        <f>'Emissions summary'!AP35</f>
        <v>0.85063575457620977</v>
      </c>
      <c r="S31" s="94">
        <f>'Emissions summary'!AQ35</f>
        <v>0.84768375103329197</v>
      </c>
      <c r="T31" s="94">
        <f>'Emissions summary'!AR35</f>
        <v>0.84473174749037416</v>
      </c>
      <c r="U31" s="94">
        <f>'Emissions summary'!AS35</f>
        <v>0.84177974394745669</v>
      </c>
      <c r="V31" s="94">
        <f>'Emissions summary'!AT35</f>
        <v>0.838827740404539</v>
      </c>
      <c r="W31" s="94">
        <f>'Emissions summary'!AU35</f>
        <v>0.83512358234396089</v>
      </c>
      <c r="X31" s="94">
        <f>'Emissions summary'!AV35</f>
        <v>0.83141942428338278</v>
      </c>
      <c r="Y31" s="94">
        <f>'Emissions summary'!AW35</f>
        <v>0.82771526622280467</v>
      </c>
      <c r="Z31" s="94">
        <f>'Emissions summary'!AX35</f>
        <v>0.82401110816222667</v>
      </c>
      <c r="AA31" s="94">
        <f>'Emissions summary'!AY35</f>
        <v>0.82030695010164856</v>
      </c>
      <c r="AB31" s="94">
        <f>'Emissions summary'!AZ35</f>
        <v>0.81660279204107056</v>
      </c>
      <c r="AC31" s="94">
        <f>'Emissions summary'!BA35</f>
        <v>0.81289863398049245</v>
      </c>
      <c r="AD31" s="94">
        <f>'Emissions summary'!BB35</f>
        <v>0.80919447591991434</v>
      </c>
      <c r="AE31" s="94">
        <f>'Emissions summary'!BC35</f>
        <v>0.80473816334167581</v>
      </c>
      <c r="AF31" s="94">
        <f>'Emissions summary'!BD35</f>
        <v>0.80028185076343727</v>
      </c>
      <c r="AG31" s="94">
        <f>'Emissions summary'!BE35</f>
        <v>0.79582553818519886</v>
      </c>
      <c r="AH31" s="94">
        <f>'Emissions summary'!BF35</f>
        <v>0.79136922560696055</v>
      </c>
      <c r="AI31" s="94">
        <f>'Emissions summary'!BG35</f>
        <v>0.78691291302872202</v>
      </c>
      <c r="AJ31" s="94">
        <f>'Emissions summary'!BH35</f>
        <v>0.7824566004504836</v>
      </c>
      <c r="AK31" s="94">
        <f>'Emissions summary'!BI35</f>
        <v>0.77800028787224518</v>
      </c>
      <c r="AL31" s="94">
        <f>'Emissions summary'!BJ35</f>
        <v>0.77354397529400676</v>
      </c>
      <c r="AM31" s="94">
        <f>'Emissions summary'!BK35</f>
        <v>0.76908766271576834</v>
      </c>
      <c r="AN31" s="94">
        <f>'Emissions summary'!BL35</f>
        <v>0.76463135013752992</v>
      </c>
      <c r="AO31" s="94">
        <f>'Emissions summary'!BM35</f>
        <v>0.76017503755929161</v>
      </c>
      <c r="AP31" s="94">
        <f>'Emissions summary'!BN35</f>
        <v>0.75571872498105297</v>
      </c>
    </row>
    <row r="32" spans="1:42" x14ac:dyDescent="0.25">
      <c r="A32" t="str">
        <f>'Emissions summary'!C36</f>
        <v>3C1b Biomass burning in Croplands</v>
      </c>
      <c r="B32" t="str">
        <f t="shared" si="1"/>
        <v>A3C1b</v>
      </c>
      <c r="C32" t="str">
        <f>'Emissions summary'!D36</f>
        <v>N2O</v>
      </c>
      <c r="D32" s="94">
        <f>'Emissions summary'!AB36</f>
        <v>0.23150267764623561</v>
      </c>
      <c r="E32" s="94">
        <f>'Emissions summary'!AC36</f>
        <v>0.23149080350455245</v>
      </c>
      <c r="F32" s="94">
        <f>'Emissions summary'!AD36</f>
        <v>0.23147892936286932</v>
      </c>
      <c r="G32" s="94">
        <f>'Emissions summary'!AE36</f>
        <v>0.23146705522118621</v>
      </c>
      <c r="H32" s="94">
        <f>'Emissions summary'!AF36</f>
        <v>0.23145518107950305</v>
      </c>
      <c r="I32" s="94">
        <f>'Emissions summary'!AG36</f>
        <v>0.23144330693781995</v>
      </c>
      <c r="J32" s="94">
        <f>'Emissions summary'!AH36</f>
        <v>0.23143143279613676</v>
      </c>
      <c r="K32" s="94">
        <f>'Emissions summary'!AI36</f>
        <v>0.23141955865445368</v>
      </c>
      <c r="L32" s="94">
        <f>'Emissions summary'!AJ36</f>
        <v>0.23140768451277055</v>
      </c>
      <c r="M32" s="94">
        <f>'Emissions summary'!AK36</f>
        <v>0.23139581037108745</v>
      </c>
      <c r="N32" s="94">
        <f>'Emissions summary'!AL36</f>
        <v>0.23138393622940429</v>
      </c>
      <c r="O32" s="94">
        <f>'Emissions summary'!AM36</f>
        <v>0.23137206208772113</v>
      </c>
      <c r="P32" s="94">
        <f>'Emissions summary'!AN36</f>
        <v>0.23136018794603802</v>
      </c>
      <c r="Q32" s="94">
        <f>'Emissions summary'!AO36</f>
        <v>0.23134831380435489</v>
      </c>
      <c r="R32" s="94">
        <f>'Emissions summary'!AP36</f>
        <v>0.23133643966267178</v>
      </c>
      <c r="S32" s="94">
        <f>'Emissions summary'!AQ36</f>
        <v>0.23132456552098865</v>
      </c>
      <c r="T32" s="94">
        <f>'Emissions summary'!AR36</f>
        <v>0.23131269137930549</v>
      </c>
      <c r="U32" s="94">
        <f>'Emissions summary'!AS36</f>
        <v>0.23130081723762241</v>
      </c>
      <c r="V32" s="94">
        <f>'Emissions summary'!AT36</f>
        <v>0.23128894309593925</v>
      </c>
      <c r="W32" s="94">
        <f>'Emissions summary'!AU36</f>
        <v>0.23127706895425609</v>
      </c>
      <c r="X32" s="94">
        <f>'Emissions summary'!AV36</f>
        <v>0.23126519481257302</v>
      </c>
      <c r="Y32" s="94">
        <f>'Emissions summary'!AW36</f>
        <v>0.23125332067088986</v>
      </c>
      <c r="Z32" s="94">
        <f>'Emissions summary'!AX36</f>
        <v>0.23124144652920675</v>
      </c>
      <c r="AA32" s="94">
        <f>'Emissions summary'!AY36</f>
        <v>0.23122957238752362</v>
      </c>
      <c r="AB32" s="94">
        <f>'Emissions summary'!AZ36</f>
        <v>0.23121769824584049</v>
      </c>
      <c r="AC32" s="94">
        <f>'Emissions summary'!BA36</f>
        <v>0.2312058241041573</v>
      </c>
      <c r="AD32" s="94">
        <f>'Emissions summary'!BB36</f>
        <v>0.23119394996247425</v>
      </c>
      <c r="AE32" s="94">
        <f>'Emissions summary'!BC36</f>
        <v>0.23118207582079112</v>
      </c>
      <c r="AF32" s="94">
        <f>'Emissions summary'!BD36</f>
        <v>0.23117020167910793</v>
      </c>
      <c r="AG32" s="94">
        <f>'Emissions summary'!BE36</f>
        <v>0.23115832753742488</v>
      </c>
      <c r="AH32" s="94">
        <f>'Emissions summary'!BF36</f>
        <v>0.23114645339574169</v>
      </c>
      <c r="AI32" s="94">
        <f>'Emissions summary'!BG36</f>
        <v>0.23113457925405859</v>
      </c>
      <c r="AJ32" s="94">
        <f>'Emissions summary'!BH36</f>
        <v>0.23112270511237543</v>
      </c>
      <c r="AK32" s="94">
        <f>'Emissions summary'!BI36</f>
        <v>0.23111083097069229</v>
      </c>
      <c r="AL32" s="94">
        <f>'Emissions summary'!BJ36</f>
        <v>0.23109895682900922</v>
      </c>
      <c r="AM32" s="94">
        <f>'Emissions summary'!BK36</f>
        <v>0.23108708268732603</v>
      </c>
      <c r="AN32" s="94">
        <f>'Emissions summary'!BL36</f>
        <v>0.23107520854564292</v>
      </c>
      <c r="AO32" s="94">
        <f>'Emissions summary'!BM36</f>
        <v>0.23106333440395979</v>
      </c>
      <c r="AP32" s="94">
        <f>'Emissions summary'!BN36</f>
        <v>0.23105146026227666</v>
      </c>
    </row>
    <row r="33" spans="1:42" x14ac:dyDescent="0.25">
      <c r="A33" t="str">
        <f>'Emissions summary'!C37</f>
        <v>3C1c Biomass burning in Grasslands</v>
      </c>
      <c r="B33" t="str">
        <f t="shared" si="1"/>
        <v>A3C1c</v>
      </c>
      <c r="C33" t="str">
        <f>'Emissions summary'!D37</f>
        <v>N2O</v>
      </c>
      <c r="D33" s="94">
        <f>'Emissions summary'!AB37</f>
        <v>1.9270838146967177</v>
      </c>
      <c r="E33" s="94">
        <f>'Emissions summary'!AC37</f>
        <v>1.9378298037617634</v>
      </c>
      <c r="F33" s="94">
        <f>'Emissions summary'!AD37</f>
        <v>1.9485757928268084</v>
      </c>
      <c r="G33" s="94">
        <f>'Emissions summary'!AE37</f>
        <v>1.9593217818918536</v>
      </c>
      <c r="H33" s="94">
        <f>'Emissions summary'!AF37</f>
        <v>1.9700677709568992</v>
      </c>
      <c r="I33" s="94">
        <f>'Emissions summary'!AG37</f>
        <v>1.9808137600219442</v>
      </c>
      <c r="J33" s="94">
        <f>'Emissions summary'!AH37</f>
        <v>1.9915597490869896</v>
      </c>
      <c r="K33" s="94">
        <f>'Emissions summary'!AI37</f>
        <v>2.0099227240740993</v>
      </c>
      <c r="L33" s="94">
        <f>'Emissions summary'!AJ37</f>
        <v>2.0282856990612084</v>
      </c>
      <c r="M33" s="94">
        <f>'Emissions summary'!AK37</f>
        <v>2.0466486740483179</v>
      </c>
      <c r="N33" s="94">
        <f>'Emissions summary'!AL37</f>
        <v>2.065011649035426</v>
      </c>
      <c r="O33" s="94">
        <f>'Emissions summary'!AM37</f>
        <v>2.0833746240225359</v>
      </c>
      <c r="P33" s="94">
        <f>'Emissions summary'!AN37</f>
        <v>2.101737599009645</v>
      </c>
      <c r="Q33" s="94">
        <f>'Emissions summary'!AO37</f>
        <v>2.120100573996754</v>
      </c>
      <c r="R33" s="94">
        <f>'Emissions summary'!AP37</f>
        <v>2.138463548983863</v>
      </c>
      <c r="S33" s="94">
        <f>'Emissions summary'!AQ37</f>
        <v>2.1568265239709721</v>
      </c>
      <c r="T33" s="94">
        <f>'Emissions summary'!AR37</f>
        <v>2.1751894989580816</v>
      </c>
      <c r="U33" s="94">
        <f>'Emissions summary'!AS37</f>
        <v>2.1935524739451906</v>
      </c>
      <c r="V33" s="94">
        <f>'Emissions summary'!AT37</f>
        <v>2.2119154489322996</v>
      </c>
      <c r="W33" s="94">
        <f>'Emissions summary'!AU37</f>
        <v>2.230599586866107</v>
      </c>
      <c r="X33" s="94">
        <f>'Emissions summary'!AV37</f>
        <v>2.2492837247999136</v>
      </c>
      <c r="Y33" s="94">
        <f>'Emissions summary'!AW37</f>
        <v>2.267967862733721</v>
      </c>
      <c r="Z33" s="94">
        <f>'Emissions summary'!AX37</f>
        <v>2.2866520006675284</v>
      </c>
      <c r="AA33" s="94">
        <f>'Emissions summary'!AY37</f>
        <v>2.3053361386013353</v>
      </c>
      <c r="AB33" s="94">
        <f>'Emissions summary'!AZ37</f>
        <v>2.3240202765351423</v>
      </c>
      <c r="AC33" s="94">
        <f>'Emissions summary'!BA37</f>
        <v>2.3427044144689493</v>
      </c>
      <c r="AD33" s="94">
        <f>'Emissions summary'!BB37</f>
        <v>2.3613885524027567</v>
      </c>
      <c r="AE33" s="94">
        <f>'Emissions summary'!BC37</f>
        <v>2.3800726903365637</v>
      </c>
      <c r="AF33" s="94">
        <f>'Emissions summary'!BD37</f>
        <v>2.3987568282703706</v>
      </c>
      <c r="AG33" s="94">
        <f>'Emissions summary'!BE37</f>
        <v>2.4174409662041776</v>
      </c>
      <c r="AH33" s="94">
        <f>'Emissions summary'!BF37</f>
        <v>2.436125104137985</v>
      </c>
      <c r="AI33" s="94">
        <f>'Emissions summary'!BG37</f>
        <v>2.454809242071792</v>
      </c>
      <c r="AJ33" s="94">
        <f>'Emissions summary'!BH37</f>
        <v>2.4734933800055994</v>
      </c>
      <c r="AK33" s="94">
        <f>'Emissions summary'!BI37</f>
        <v>2.4921775179394063</v>
      </c>
      <c r="AL33" s="94">
        <f>'Emissions summary'!BJ37</f>
        <v>2.5108616558732133</v>
      </c>
      <c r="AM33" s="94">
        <f>'Emissions summary'!BK37</f>
        <v>2.5295457938070207</v>
      </c>
      <c r="AN33" s="94">
        <f>'Emissions summary'!BL37</f>
        <v>2.5482299317408281</v>
      </c>
      <c r="AO33" s="94">
        <f>'Emissions summary'!BM37</f>
        <v>2.5669140696746346</v>
      </c>
      <c r="AP33" s="94">
        <f>'Emissions summary'!BN37</f>
        <v>2.5855982076084416</v>
      </c>
    </row>
    <row r="34" spans="1:42" x14ac:dyDescent="0.25">
      <c r="A34" t="str">
        <f>'Emissions summary'!C38</f>
        <v>3C1d Biomass burning in Wetlands</v>
      </c>
      <c r="B34" t="str">
        <f t="shared" si="1"/>
        <v>A3C1d</v>
      </c>
      <c r="C34" t="str">
        <f>'Emissions summary'!D38</f>
        <v>N2O</v>
      </c>
      <c r="D34" s="94">
        <f>'Emissions summary'!AB38</f>
        <v>7.8813449993659371E-2</v>
      </c>
      <c r="E34" s="94">
        <f>'Emissions summary'!AC38</f>
        <v>7.8813449993659371E-2</v>
      </c>
      <c r="F34" s="94">
        <f>'Emissions summary'!AD38</f>
        <v>7.8813449993659371E-2</v>
      </c>
      <c r="G34" s="94">
        <f>'Emissions summary'!AE38</f>
        <v>7.8813449993659371E-2</v>
      </c>
      <c r="H34" s="94">
        <f>'Emissions summary'!AF38</f>
        <v>7.8813449993659371E-2</v>
      </c>
      <c r="I34" s="94">
        <f>'Emissions summary'!AG38</f>
        <v>7.8813449993659371E-2</v>
      </c>
      <c r="J34" s="94">
        <f>'Emissions summary'!AH38</f>
        <v>7.8813449993659371E-2</v>
      </c>
      <c r="K34" s="94">
        <f>'Emissions summary'!AI38</f>
        <v>7.8813449993659371E-2</v>
      </c>
      <c r="L34" s="94">
        <f>'Emissions summary'!AJ38</f>
        <v>7.8813449993659371E-2</v>
      </c>
      <c r="M34" s="94">
        <f>'Emissions summary'!AK38</f>
        <v>7.8813449993659371E-2</v>
      </c>
      <c r="N34" s="94">
        <f>'Emissions summary'!AL38</f>
        <v>7.8813449993659371E-2</v>
      </c>
      <c r="O34" s="94">
        <f>'Emissions summary'!AM38</f>
        <v>7.8813449993659371E-2</v>
      </c>
      <c r="P34" s="94">
        <f>'Emissions summary'!AN38</f>
        <v>7.8813449993659371E-2</v>
      </c>
      <c r="Q34" s="94">
        <f>'Emissions summary'!AO38</f>
        <v>7.8813449993659371E-2</v>
      </c>
      <c r="R34" s="94">
        <f>'Emissions summary'!AP38</f>
        <v>7.8813449993659371E-2</v>
      </c>
      <c r="S34" s="94">
        <f>'Emissions summary'!AQ38</f>
        <v>7.8813449993659371E-2</v>
      </c>
      <c r="T34" s="94">
        <f>'Emissions summary'!AR38</f>
        <v>7.8813449993659371E-2</v>
      </c>
      <c r="U34" s="94">
        <f>'Emissions summary'!AS38</f>
        <v>7.8813449993659371E-2</v>
      </c>
      <c r="V34" s="94">
        <f>'Emissions summary'!AT38</f>
        <v>7.8813449993659371E-2</v>
      </c>
      <c r="W34" s="94">
        <f>'Emissions summary'!AU38</f>
        <v>7.8813449993659371E-2</v>
      </c>
      <c r="X34" s="94">
        <f>'Emissions summary'!AV38</f>
        <v>7.8813449993659371E-2</v>
      </c>
      <c r="Y34" s="94">
        <f>'Emissions summary'!AW38</f>
        <v>7.8813449993659371E-2</v>
      </c>
      <c r="Z34" s="94">
        <f>'Emissions summary'!AX38</f>
        <v>7.8813449993659371E-2</v>
      </c>
      <c r="AA34" s="94">
        <f>'Emissions summary'!AY38</f>
        <v>7.8813449993659371E-2</v>
      </c>
      <c r="AB34" s="94">
        <f>'Emissions summary'!AZ38</f>
        <v>7.8813449993659371E-2</v>
      </c>
      <c r="AC34" s="94">
        <f>'Emissions summary'!BA38</f>
        <v>7.8813449993659371E-2</v>
      </c>
      <c r="AD34" s="94">
        <f>'Emissions summary'!BB38</f>
        <v>7.8813449993659371E-2</v>
      </c>
      <c r="AE34" s="94">
        <f>'Emissions summary'!BC38</f>
        <v>7.8813449993659371E-2</v>
      </c>
      <c r="AF34" s="94">
        <f>'Emissions summary'!BD38</f>
        <v>7.8813449993659371E-2</v>
      </c>
      <c r="AG34" s="94">
        <f>'Emissions summary'!BE38</f>
        <v>7.8813449993659371E-2</v>
      </c>
      <c r="AH34" s="94">
        <f>'Emissions summary'!BF38</f>
        <v>7.8813449993659371E-2</v>
      </c>
      <c r="AI34" s="94">
        <f>'Emissions summary'!BG38</f>
        <v>7.8813449993659371E-2</v>
      </c>
      <c r="AJ34" s="94">
        <f>'Emissions summary'!BH38</f>
        <v>7.8813449993659371E-2</v>
      </c>
      <c r="AK34" s="94">
        <f>'Emissions summary'!BI38</f>
        <v>7.8813449993659371E-2</v>
      </c>
      <c r="AL34" s="94">
        <f>'Emissions summary'!BJ38</f>
        <v>7.8813449993659371E-2</v>
      </c>
      <c r="AM34" s="94">
        <f>'Emissions summary'!BK38</f>
        <v>7.8813449993659371E-2</v>
      </c>
      <c r="AN34" s="94">
        <f>'Emissions summary'!BL38</f>
        <v>7.8813449993659371E-2</v>
      </c>
      <c r="AO34" s="94">
        <f>'Emissions summary'!BM38</f>
        <v>7.8813449993659371E-2</v>
      </c>
      <c r="AP34" s="94">
        <f>'Emissions summary'!BN38</f>
        <v>7.8813449993659371E-2</v>
      </c>
    </row>
    <row r="35" spans="1:42" x14ac:dyDescent="0.25">
      <c r="A35" t="str">
        <f>'Emissions summary'!C39</f>
        <v>3C1e Biomass burning in Settlements</v>
      </c>
      <c r="B35" t="str">
        <f t="shared" si="1"/>
        <v>A3C1e</v>
      </c>
      <c r="C35" t="str">
        <f>'Emissions summary'!D39</f>
        <v>N2O</v>
      </c>
      <c r="D35" s="94">
        <f>'Emissions summary'!AB39</f>
        <v>3.9235523819963862E-2</v>
      </c>
      <c r="E35" s="94">
        <f>'Emissions summary'!AC39</f>
        <v>3.9318445103539788E-2</v>
      </c>
      <c r="F35" s="94">
        <f>'Emissions summary'!AD39</f>
        <v>3.9401366387115715E-2</v>
      </c>
      <c r="G35" s="94">
        <f>'Emissions summary'!AE39</f>
        <v>3.9484287670691648E-2</v>
      </c>
      <c r="H35" s="94">
        <f>'Emissions summary'!AF39</f>
        <v>3.9567208954267574E-2</v>
      </c>
      <c r="I35" s="94">
        <f>'Emissions summary'!AG39</f>
        <v>3.9650130237843507E-2</v>
      </c>
      <c r="J35" s="94">
        <f>'Emissions summary'!AH39</f>
        <v>3.9733051521419427E-2</v>
      </c>
      <c r="K35" s="94">
        <f>'Emissions summary'!AI39</f>
        <v>3.981597280499536E-2</v>
      </c>
      <c r="L35" s="94">
        <f>'Emissions summary'!AJ39</f>
        <v>3.9898894088571286E-2</v>
      </c>
      <c r="M35" s="94">
        <f>'Emissions summary'!AK39</f>
        <v>3.9981815372147227E-2</v>
      </c>
      <c r="N35" s="94">
        <f>'Emissions summary'!AL39</f>
        <v>4.0064736655723153E-2</v>
      </c>
      <c r="O35" s="94">
        <f>'Emissions summary'!AM39</f>
        <v>4.0147657939299079E-2</v>
      </c>
      <c r="P35" s="94">
        <f>'Emissions summary'!AN39</f>
        <v>4.0230579222875013E-2</v>
      </c>
      <c r="Q35" s="94">
        <f>'Emissions summary'!AO39</f>
        <v>4.0313500506450946E-2</v>
      </c>
      <c r="R35" s="94">
        <f>'Emissions summary'!AP39</f>
        <v>4.0396421790026865E-2</v>
      </c>
      <c r="S35" s="94">
        <f>'Emissions summary'!AQ39</f>
        <v>4.0479343073602798E-2</v>
      </c>
      <c r="T35" s="94">
        <f>'Emissions summary'!AR39</f>
        <v>4.0562264357178725E-2</v>
      </c>
      <c r="U35" s="94">
        <f>'Emissions summary'!AS39</f>
        <v>4.0645185640754658E-2</v>
      </c>
      <c r="V35" s="94">
        <f>'Emissions summary'!AT39</f>
        <v>4.0728106924330584E-2</v>
      </c>
      <c r="W35" s="94">
        <f>'Emissions summary'!AU39</f>
        <v>4.0811028207906511E-2</v>
      </c>
      <c r="X35" s="94">
        <f>'Emissions summary'!AV39</f>
        <v>4.0893949491482444E-2</v>
      </c>
      <c r="Y35" s="94">
        <f>'Emissions summary'!AW39</f>
        <v>4.097687077505837E-2</v>
      </c>
      <c r="Z35" s="94">
        <f>'Emissions summary'!AX39</f>
        <v>4.1059792058634303E-2</v>
      </c>
      <c r="AA35" s="94">
        <f>'Emissions summary'!AY39</f>
        <v>4.114271334221023E-2</v>
      </c>
      <c r="AB35" s="94">
        <f>'Emissions summary'!AZ39</f>
        <v>4.1225634625786156E-2</v>
      </c>
      <c r="AC35" s="94">
        <f>'Emissions summary'!BA39</f>
        <v>4.1308555909362089E-2</v>
      </c>
      <c r="AD35" s="94">
        <f>'Emissions summary'!BB39</f>
        <v>4.1391477192938023E-2</v>
      </c>
      <c r="AE35" s="94">
        <f>'Emissions summary'!BC39</f>
        <v>4.1474398476513949E-2</v>
      </c>
      <c r="AF35" s="94">
        <f>'Emissions summary'!BD39</f>
        <v>4.1557319760089875E-2</v>
      </c>
      <c r="AG35" s="94">
        <f>'Emissions summary'!BE39</f>
        <v>4.1640241043665809E-2</v>
      </c>
      <c r="AH35" s="94">
        <f>'Emissions summary'!BF39</f>
        <v>4.1723162327241742E-2</v>
      </c>
      <c r="AI35" s="94">
        <f>'Emissions summary'!BG39</f>
        <v>4.1806083610817661E-2</v>
      </c>
      <c r="AJ35" s="94">
        <f>'Emissions summary'!BH39</f>
        <v>4.1889004894393594E-2</v>
      </c>
      <c r="AK35" s="94">
        <f>'Emissions summary'!BI39</f>
        <v>4.1971926177969528E-2</v>
      </c>
      <c r="AL35" s="94">
        <f>'Emissions summary'!BJ39</f>
        <v>4.2054847461545454E-2</v>
      </c>
      <c r="AM35" s="94">
        <f>'Emissions summary'!BK39</f>
        <v>4.2137768745121387E-2</v>
      </c>
      <c r="AN35" s="94">
        <f>'Emissions summary'!BL39</f>
        <v>4.2220690028697307E-2</v>
      </c>
      <c r="AO35" s="94">
        <f>'Emissions summary'!BM39</f>
        <v>4.230361131227324E-2</v>
      </c>
      <c r="AP35" s="94">
        <f>'Emissions summary'!BN39</f>
        <v>4.2386532595849173E-2</v>
      </c>
    </row>
    <row r="36" spans="1:42" x14ac:dyDescent="0.25">
      <c r="A36" t="str">
        <f>'Emissions summary'!C40</f>
        <v>3C1f Biomass burning in Other lands</v>
      </c>
      <c r="B36" t="str">
        <f t="shared" si="1"/>
        <v>A3C1f</v>
      </c>
      <c r="C36" t="str">
        <f>'Emissions summary'!D40</f>
        <v>N2O</v>
      </c>
      <c r="D36" s="94">
        <f>'Emissions summary'!AB40</f>
        <v>0</v>
      </c>
      <c r="E36" s="94">
        <f>'Emissions summary'!AC40</f>
        <v>0</v>
      </c>
      <c r="F36" s="94">
        <f>'Emissions summary'!AD40</f>
        <v>0</v>
      </c>
      <c r="G36" s="94">
        <f>'Emissions summary'!AE40</f>
        <v>0</v>
      </c>
      <c r="H36" s="94">
        <f>'Emissions summary'!AF40</f>
        <v>0</v>
      </c>
      <c r="I36" s="94">
        <f>'Emissions summary'!AG40</f>
        <v>0</v>
      </c>
      <c r="J36" s="94">
        <f>'Emissions summary'!AH40</f>
        <v>0</v>
      </c>
      <c r="K36" s="94">
        <f>'Emissions summary'!AI40</f>
        <v>0</v>
      </c>
      <c r="L36" s="94">
        <f>'Emissions summary'!AJ40</f>
        <v>0</v>
      </c>
      <c r="M36" s="94">
        <f>'Emissions summary'!AK40</f>
        <v>0</v>
      </c>
      <c r="N36" s="94">
        <f>'Emissions summary'!AL40</f>
        <v>0</v>
      </c>
      <c r="O36" s="94">
        <f>'Emissions summary'!AM40</f>
        <v>0</v>
      </c>
      <c r="P36" s="94">
        <f>'Emissions summary'!AN40</f>
        <v>0</v>
      </c>
      <c r="Q36" s="94">
        <f>'Emissions summary'!AO40</f>
        <v>0</v>
      </c>
      <c r="R36" s="94">
        <f>'Emissions summary'!AP40</f>
        <v>0</v>
      </c>
      <c r="S36" s="94">
        <f>'Emissions summary'!AQ40</f>
        <v>0</v>
      </c>
      <c r="T36" s="94">
        <f>'Emissions summary'!AR40</f>
        <v>0</v>
      </c>
      <c r="U36" s="94">
        <f>'Emissions summary'!AS40</f>
        <v>0</v>
      </c>
      <c r="V36" s="94">
        <f>'Emissions summary'!AT40</f>
        <v>0</v>
      </c>
      <c r="W36" s="94">
        <f>'Emissions summary'!AU40</f>
        <v>0</v>
      </c>
      <c r="X36" s="94">
        <f>'Emissions summary'!AV40</f>
        <v>0</v>
      </c>
      <c r="Y36" s="94">
        <f>'Emissions summary'!AW40</f>
        <v>0</v>
      </c>
      <c r="Z36" s="94">
        <f>'Emissions summary'!AX40</f>
        <v>0</v>
      </c>
      <c r="AA36" s="94">
        <f>'Emissions summary'!AY40</f>
        <v>0</v>
      </c>
      <c r="AB36" s="94">
        <f>'Emissions summary'!AZ40</f>
        <v>0</v>
      </c>
      <c r="AC36" s="94">
        <f>'Emissions summary'!BA40</f>
        <v>0</v>
      </c>
      <c r="AD36" s="94">
        <f>'Emissions summary'!BB40</f>
        <v>0</v>
      </c>
      <c r="AE36" s="94">
        <f>'Emissions summary'!BC40</f>
        <v>0</v>
      </c>
      <c r="AF36" s="94">
        <f>'Emissions summary'!BD40</f>
        <v>0</v>
      </c>
      <c r="AG36" s="94">
        <f>'Emissions summary'!BE40</f>
        <v>0</v>
      </c>
      <c r="AH36" s="94">
        <f>'Emissions summary'!BF40</f>
        <v>0</v>
      </c>
      <c r="AI36" s="94">
        <f>'Emissions summary'!BG40</f>
        <v>0</v>
      </c>
      <c r="AJ36" s="94">
        <f>'Emissions summary'!BH40</f>
        <v>0</v>
      </c>
      <c r="AK36" s="94">
        <f>'Emissions summary'!BI40</f>
        <v>0</v>
      </c>
      <c r="AL36" s="94">
        <f>'Emissions summary'!BJ40</f>
        <v>0</v>
      </c>
      <c r="AM36" s="94">
        <f>'Emissions summary'!BK40</f>
        <v>0</v>
      </c>
      <c r="AN36" s="94">
        <f>'Emissions summary'!BL40</f>
        <v>0</v>
      </c>
      <c r="AO36" s="94">
        <f>'Emissions summary'!BM40</f>
        <v>0</v>
      </c>
      <c r="AP36" s="94">
        <f>'Emissions summary'!BN40</f>
        <v>0</v>
      </c>
    </row>
    <row r="37" spans="1:42" x14ac:dyDescent="0.25">
      <c r="A37" t="str">
        <f>'Emissions summary'!B41</f>
        <v>3C2 Liming (CO2)</v>
      </c>
      <c r="B37" t="str">
        <f>"A"&amp;LEFT(A37,3)</f>
        <v>A3C2</v>
      </c>
      <c r="C37" t="str">
        <f>'Emissions summary'!D41</f>
        <v>CO2</v>
      </c>
      <c r="D37" s="94">
        <f>'Emissions summary'!AB41</f>
        <v>886.46691832724639</v>
      </c>
      <c r="E37" s="94">
        <f>'Emissions summary'!AC41</f>
        <v>888.57220041675475</v>
      </c>
      <c r="F37" s="94">
        <f>'Emissions summary'!AD41</f>
        <v>892.19156964654962</v>
      </c>
      <c r="G37" s="94">
        <f>'Emissions summary'!AE41</f>
        <v>894.68344635299957</v>
      </c>
      <c r="H37" s="94">
        <f>'Emissions summary'!AF41</f>
        <v>896.27078676473502</v>
      </c>
      <c r="I37" s="94">
        <f>'Emissions summary'!AG41</f>
        <v>897.27224451810355</v>
      </c>
      <c r="J37" s="94">
        <f>'Emissions summary'!AH41</f>
        <v>898.67094870860296</v>
      </c>
      <c r="K37" s="94">
        <f>'Emissions summary'!AI41</f>
        <v>900.30367420709717</v>
      </c>
      <c r="L37" s="94">
        <f>'Emissions summary'!AJ41</f>
        <v>901.86406343716328</v>
      </c>
      <c r="M37" s="94">
        <f>'Emissions summary'!AK41</f>
        <v>889.86106938580019</v>
      </c>
      <c r="N37" s="94">
        <f>'Emissions summary'!AL41</f>
        <v>892.97507388479505</v>
      </c>
      <c r="O37" s="94">
        <f>'Emissions summary'!AM41</f>
        <v>896.07553395869502</v>
      </c>
      <c r="P37" s="94">
        <f>'Emissions summary'!AN41</f>
        <v>899.44305778392913</v>
      </c>
      <c r="Q37" s="94">
        <f>'Emissions summary'!AO41</f>
        <v>902.96637712116114</v>
      </c>
      <c r="R37" s="94">
        <f>'Emissions summary'!AP41</f>
        <v>906.3941358876524</v>
      </c>
      <c r="S37" s="94">
        <f>'Emissions summary'!AQ41</f>
        <v>910.24311454774499</v>
      </c>
      <c r="T37" s="94">
        <f>'Emissions summary'!AR41</f>
        <v>914.15546308071282</v>
      </c>
      <c r="U37" s="94">
        <f>'Emissions summary'!AS41</f>
        <v>918.19441534035502</v>
      </c>
      <c r="V37" s="94">
        <f>'Emissions summary'!AT41</f>
        <v>922.28021422526683</v>
      </c>
      <c r="W37" s="94">
        <f>'Emissions summary'!AU41</f>
        <v>925.70605472938325</v>
      </c>
      <c r="X37" s="94">
        <f>'Emissions summary'!AV41</f>
        <v>929.89417531547485</v>
      </c>
      <c r="Y37" s="94">
        <f>'Emissions summary'!AW41</f>
        <v>934.08462665778677</v>
      </c>
      <c r="Z37" s="94">
        <f>'Emissions summary'!AX41</f>
        <v>938.30058756617461</v>
      </c>
      <c r="AA37" s="94">
        <f>'Emissions summary'!AY41</f>
        <v>942.27527137080324</v>
      </c>
      <c r="AB37" s="94">
        <f>'Emissions summary'!AZ41</f>
        <v>946.3841630491163</v>
      </c>
      <c r="AC37" s="94">
        <f>'Emissions summary'!BA41</f>
        <v>950.62363015955998</v>
      </c>
      <c r="AD37" s="94">
        <f>'Emissions summary'!BB41</f>
        <v>954.91732759988372</v>
      </c>
      <c r="AE37" s="94">
        <f>'Emissions summary'!BC41</f>
        <v>959.08241762760497</v>
      </c>
      <c r="AF37" s="94">
        <f>'Emissions summary'!BD41</f>
        <v>963.30072797715457</v>
      </c>
      <c r="AG37" s="94">
        <f>'Emissions summary'!BE41</f>
        <v>967.67231460968992</v>
      </c>
      <c r="AH37" s="94">
        <f>'Emissions summary'!BF41</f>
        <v>972.13931979124197</v>
      </c>
      <c r="AI37" s="94">
        <f>'Emissions summary'!BG41</f>
        <v>976.67976000342844</v>
      </c>
      <c r="AJ37" s="94">
        <f>'Emissions summary'!BH41</f>
        <v>981.29410526182983</v>
      </c>
      <c r="AK37" s="94">
        <f>'Emissions summary'!BI41</f>
        <v>985.97710395450372</v>
      </c>
      <c r="AL37" s="94">
        <f>'Emissions summary'!BJ41</f>
        <v>990.76029770884224</v>
      </c>
      <c r="AM37" s="94">
        <f>'Emissions summary'!BK41</f>
        <v>995.1821554033088</v>
      </c>
      <c r="AN37" s="94">
        <f>'Emissions summary'!BL41</f>
        <v>999.68860839302522</v>
      </c>
      <c r="AO37" s="94">
        <f>'Emissions summary'!BM41</f>
        <v>1004.3059319994804</v>
      </c>
      <c r="AP37" s="94">
        <f>'Emissions summary'!BN41</f>
        <v>1009.0424822129</v>
      </c>
    </row>
    <row r="38" spans="1:42" x14ac:dyDescent="0.25">
      <c r="A38" t="str">
        <f>'Emissions summary'!B42</f>
        <v>3C3 Urea application (CO2)</v>
      </c>
      <c r="B38" t="str">
        <f>"A"&amp;LEFT(A38,3)</f>
        <v>A3C3</v>
      </c>
      <c r="C38" t="str">
        <f>'Emissions summary'!D42</f>
        <v>CO2</v>
      </c>
      <c r="D38" s="94">
        <f>'Emissions summary'!AB42</f>
        <v>470.0955092083982</v>
      </c>
      <c r="E38" s="94">
        <f>'Emissions summary'!AC42</f>
        <v>470.04246487127125</v>
      </c>
      <c r="F38" s="94">
        <f>'Emissions summary'!AD42</f>
        <v>469.95127184656036</v>
      </c>
      <c r="G38" s="94">
        <f>'Emissions summary'!AE42</f>
        <v>469.8884869358094</v>
      </c>
      <c r="H38" s="94">
        <f>'Emissions summary'!AF42</f>
        <v>469.84849257099012</v>
      </c>
      <c r="I38" s="94">
        <f>'Emissions summary'!AG42</f>
        <v>469.82326000811753</v>
      </c>
      <c r="J38" s="94">
        <f>'Emissions summary'!AH42</f>
        <v>469.78801849013212</v>
      </c>
      <c r="K38" s="94">
        <f>'Emissions summary'!AI42</f>
        <v>469.74688061022079</v>
      </c>
      <c r="L38" s="94">
        <f>'Emissions summary'!AJ42</f>
        <v>469.70756530288918</v>
      </c>
      <c r="M38" s="94">
        <f>'Emissions summary'!AK42</f>
        <v>470.00999074324488</v>
      </c>
      <c r="N38" s="94">
        <f>'Emissions summary'!AL42</f>
        <v>469.93153080417898</v>
      </c>
      <c r="O38" s="94">
        <f>'Emissions summary'!AM42</f>
        <v>469.8534121281935</v>
      </c>
      <c r="P38" s="94">
        <f>'Emissions summary'!AN42</f>
        <v>469.76856455837913</v>
      </c>
      <c r="Q38" s="94">
        <f>'Emissions summary'!AO42</f>
        <v>469.67979159077481</v>
      </c>
      <c r="R38" s="94">
        <f>'Emissions summary'!AP42</f>
        <v>469.59342635140592</v>
      </c>
      <c r="S38" s="94">
        <f>'Emissions summary'!AQ42</f>
        <v>469.49644812570511</v>
      </c>
      <c r="T38" s="94">
        <f>'Emissions summary'!AR42</f>
        <v>469.39787324323459</v>
      </c>
      <c r="U38" s="94">
        <f>'Emissions summary'!AS42</f>
        <v>469.29610847433844</v>
      </c>
      <c r="V38" s="94">
        <f>'Emissions summary'!AT42</f>
        <v>469.19316336566925</v>
      </c>
      <c r="W38" s="94">
        <f>'Emissions summary'!AU42</f>
        <v>469.10684645851984</v>
      </c>
      <c r="X38" s="94">
        <f>'Emissions summary'!AV42</f>
        <v>469.00132326929798</v>
      </c>
      <c r="Y38" s="94">
        <f>'Emissions summary'!AW42</f>
        <v>468.89574135473009</v>
      </c>
      <c r="Z38" s="94">
        <f>'Emissions summary'!AX42</f>
        <v>468.78951670538135</v>
      </c>
      <c r="AA38" s="94">
        <f>'Emissions summary'!AY42</f>
        <v>468.68937123378112</v>
      </c>
      <c r="AB38" s="94">
        <f>'Emissions summary'!AZ42</f>
        <v>468.5858442829329</v>
      </c>
      <c r="AC38" s="94">
        <f>'Emissions summary'!BA42</f>
        <v>468.47902737522929</v>
      </c>
      <c r="AD38" s="94">
        <f>'Emissions summary'!BB42</f>
        <v>468.3708440891603</v>
      </c>
      <c r="AE38" s="94">
        <f>'Emissions summary'!BC42</f>
        <v>468.26590117405385</v>
      </c>
      <c r="AF38" s="94">
        <f>'Emissions summary'!BD42</f>
        <v>468.15961732857664</v>
      </c>
      <c r="AG38" s="94">
        <f>'Emissions summary'!BE42</f>
        <v>468.0494715593843</v>
      </c>
      <c r="AH38" s="94">
        <f>'Emissions summary'!BF42</f>
        <v>467.93692164031239</v>
      </c>
      <c r="AI38" s="94">
        <f>'Emissions summary'!BG42</f>
        <v>467.82252146443096</v>
      </c>
      <c r="AJ38" s="94">
        <f>'Emissions summary'!BH42</f>
        <v>467.70625918930585</v>
      </c>
      <c r="AK38" s="94">
        <f>'Emissions summary'!BI42</f>
        <v>467.58826713367728</v>
      </c>
      <c r="AL38" s="94">
        <f>'Emissions summary'!BJ42</f>
        <v>467.46775057995154</v>
      </c>
      <c r="AM38" s="94">
        <f>'Emissions summary'!BK42</f>
        <v>467.35633818944979</v>
      </c>
      <c r="AN38" s="94">
        <f>'Emissions summary'!BL42</f>
        <v>467.24279434996896</v>
      </c>
      <c r="AO38" s="94">
        <f>'Emissions summary'!BM42</f>
        <v>467.12645703288194</v>
      </c>
      <c r="AP38" s="94">
        <f>'Emissions summary'!BN42</f>
        <v>467.00711570204976</v>
      </c>
    </row>
    <row r="39" spans="1:42" x14ac:dyDescent="0.25">
      <c r="A39" t="str">
        <f>'Emissions summary'!B44</f>
        <v>3C4 Direct N2O from managed soils (N2O)</v>
      </c>
      <c r="B39" t="str">
        <f>"A"&amp;LEFT(A39,3)</f>
        <v>A3C4</v>
      </c>
      <c r="C39" t="str">
        <f>'Emissions summary'!D44</f>
        <v>N2O</v>
      </c>
      <c r="D39" s="94">
        <f>'Emissions summary'!AB43</f>
        <v>55.493610708837807</v>
      </c>
      <c r="E39" s="94">
        <f>'Emissions summary'!AC43</f>
        <v>55.4667903164598</v>
      </c>
      <c r="F39" s="94">
        <f>'Emissions summary'!AD43</f>
        <v>55.155860662724521</v>
      </c>
      <c r="G39" s="94">
        <f>'Emissions summary'!AE43</f>
        <v>54.625723781642243</v>
      </c>
      <c r="H39" s="94">
        <f>'Emissions summary'!AF43</f>
        <v>53.970651092840995</v>
      </c>
      <c r="I39" s="94">
        <f>'Emissions summary'!AG43</f>
        <v>53.442464052098501</v>
      </c>
      <c r="J39" s="94">
        <f>'Emissions summary'!AH43</f>
        <v>52.992582890212383</v>
      </c>
      <c r="K39" s="94">
        <f>'Emissions summary'!AI43</f>
        <v>52.542349876246398</v>
      </c>
      <c r="L39" s="94">
        <f>'Emissions summary'!AJ43</f>
        <v>49.070750969680894</v>
      </c>
      <c r="M39" s="94">
        <f>'Emissions summary'!AK43</f>
        <v>49.245405072739374</v>
      </c>
      <c r="N39" s="94">
        <f>'Emissions summary'!AL43</f>
        <v>49.455912122228128</v>
      </c>
      <c r="O39" s="94">
        <f>'Emissions summary'!AM43</f>
        <v>49.722926379724278</v>
      </c>
      <c r="P39" s="94">
        <f>'Emissions summary'!AN43</f>
        <v>50.025968613005446</v>
      </c>
      <c r="Q39" s="94">
        <f>'Emissions summary'!AO43</f>
        <v>50.310435674192199</v>
      </c>
      <c r="R39" s="94">
        <f>'Emissions summary'!AP43</f>
        <v>50.686084659625763</v>
      </c>
      <c r="S39" s="94">
        <f>'Emissions summary'!AQ43</f>
        <v>51.077402627595312</v>
      </c>
      <c r="T39" s="94">
        <f>'Emissions summary'!AR43</f>
        <v>51.496957603019844</v>
      </c>
      <c r="U39" s="94">
        <f>'Emissions summary'!AS43</f>
        <v>51.928115083516097</v>
      </c>
      <c r="V39" s="94">
        <f>'Emissions summary'!AT43</f>
        <v>52.217230964368213</v>
      </c>
      <c r="W39" s="94">
        <f>'Emissions summary'!AU43</f>
        <v>52.468221142721802</v>
      </c>
      <c r="X39" s="94">
        <f>'Emissions summary'!AV43</f>
        <v>52.713578545061836</v>
      </c>
      <c r="Y39" s="94">
        <f>'Emissions summary'!AW43</f>
        <v>52.955982072846787</v>
      </c>
      <c r="Z39" s="94">
        <f>'Emissions summary'!AX43</f>
        <v>53.138121148229949</v>
      </c>
      <c r="AA39" s="94">
        <f>'Emissions summary'!AY43</f>
        <v>53.339573061864357</v>
      </c>
      <c r="AB39" s="94">
        <f>'Emissions summary'!AZ43</f>
        <v>53.559904860827572</v>
      </c>
      <c r="AC39" s="94">
        <f>'Emissions summary'!BA43</f>
        <v>53.782346215970705</v>
      </c>
      <c r="AD39" s="94">
        <f>'Emissions summary'!BB43</f>
        <v>53.967609676513213</v>
      </c>
      <c r="AE39" s="94">
        <f>'Emissions summary'!BC43</f>
        <v>54.153584194860272</v>
      </c>
      <c r="AF39" s="94">
        <f>'Emissions summary'!BD43</f>
        <v>54.361312679117674</v>
      </c>
      <c r="AG39" s="94">
        <f>'Emissions summary'!BE43</f>
        <v>54.703780207096948</v>
      </c>
      <c r="AH39" s="94">
        <f>'Emissions summary'!BF43</f>
        <v>55.056161546749991</v>
      </c>
      <c r="AI39" s="94">
        <f>'Emissions summary'!BG43</f>
        <v>55.418382559331612</v>
      </c>
      <c r="AJ39" s="94">
        <f>'Emissions summary'!BH43</f>
        <v>55.789228735973992</v>
      </c>
      <c r="AK39" s="94">
        <f>'Emissions summary'!BI43</f>
        <v>56.175302135247087</v>
      </c>
      <c r="AL39" s="94">
        <f>'Emissions summary'!BJ43</f>
        <v>56.477988228466224</v>
      </c>
      <c r="AM39" s="94">
        <f>'Emissions summary'!BK43</f>
        <v>56.790774533885156</v>
      </c>
      <c r="AN39" s="94">
        <f>'Emissions summary'!BL43</f>
        <v>57.120296879417538</v>
      </c>
      <c r="AO39" s="94">
        <f>'Emissions summary'!BM43</f>
        <v>57.468318006249916</v>
      </c>
      <c r="AP39" s="94">
        <f>'Emissions summary'!BN43</f>
        <v>57.854069669599056</v>
      </c>
    </row>
    <row r="40" spans="1:42" x14ac:dyDescent="0.25">
      <c r="A40" t="str">
        <f>'Emissions summary'!B49</f>
        <v>3C5 Indirect N2O from managed soils (N2O)</v>
      </c>
      <c r="B40" t="str">
        <f t="shared" ref="B40:B41" si="2">"A"&amp;LEFT(A40,3)</f>
        <v>A3C5</v>
      </c>
      <c r="C40" t="str">
        <f>'Emissions summary'!D49</f>
        <v>N2O</v>
      </c>
      <c r="D40" s="94">
        <f>'Emissions summary'!AB49</f>
        <v>6.6360265965953262</v>
      </c>
      <c r="E40" s="94">
        <f>'Emissions summary'!AC49</f>
        <v>6.6382386799072028</v>
      </c>
      <c r="F40" s="94">
        <f>'Emissions summary'!AD49</f>
        <v>6.6055814803295032</v>
      </c>
      <c r="G40" s="94">
        <f>'Emissions summary'!AE49</f>
        <v>6.546565272953325</v>
      </c>
      <c r="H40" s="94">
        <f>'Emissions summary'!AF49</f>
        <v>6.4726661726979069</v>
      </c>
      <c r="I40" s="94">
        <f>'Emissions summary'!AG49</f>
        <v>6.4149840111914784</v>
      </c>
      <c r="J40" s="94">
        <f>'Emissions summary'!AH49</f>
        <v>6.3671163396272865</v>
      </c>
      <c r="K40" s="94">
        <f>'Emissions summary'!AI49</f>
        <v>6.3193527845598032</v>
      </c>
      <c r="L40" s="94">
        <f>'Emissions summary'!AJ49</f>
        <v>5.8944529981145619</v>
      </c>
      <c r="M40" s="94">
        <f>'Emissions summary'!AK49</f>
        <v>5.9239598007019501</v>
      </c>
      <c r="N40" s="94">
        <f>'Emissions summary'!AL49</f>
        <v>5.9538706514475424</v>
      </c>
      <c r="O40" s="94">
        <f>'Emissions summary'!AM49</f>
        <v>5.9906801564304226</v>
      </c>
      <c r="P40" s="94">
        <f>'Emissions summary'!AN49</f>
        <v>6.0320275673682495</v>
      </c>
      <c r="Q40" s="94">
        <f>'Emissions summary'!AO49</f>
        <v>6.0710930248290822</v>
      </c>
      <c r="R40" s="94">
        <f>'Emissions summary'!AP49</f>
        <v>6.1217189856269449</v>
      </c>
      <c r="S40" s="94">
        <f>'Emissions summary'!AQ49</f>
        <v>6.1743018189175762</v>
      </c>
      <c r="T40" s="94">
        <f>'Emissions summary'!AR49</f>
        <v>6.2305180448903448</v>
      </c>
      <c r="U40" s="94">
        <f>'Emissions summary'!AS49</f>
        <v>6.2882938853068477</v>
      </c>
      <c r="V40" s="94">
        <f>'Emissions summary'!AT49</f>
        <v>6.3282631803090839</v>
      </c>
      <c r="W40" s="94">
        <f>'Emissions summary'!AU49</f>
        <v>6.3661992763606854</v>
      </c>
      <c r="X40" s="94">
        <f>'Emissions summary'!AV49</f>
        <v>6.4034708191141245</v>
      </c>
      <c r="Y40" s="94">
        <f>'Emissions summary'!AW49</f>
        <v>6.4406200905119535</v>
      </c>
      <c r="Z40" s="94">
        <f>'Emissions summary'!AX49</f>
        <v>6.470370012551153</v>
      </c>
      <c r="AA40" s="94">
        <f>'Emissions summary'!AY49</f>
        <v>6.5028926097024842</v>
      </c>
      <c r="AB40" s="94">
        <f>'Emissions summary'!AZ49</f>
        <v>6.5380582383044175</v>
      </c>
      <c r="AC40" s="94">
        <f>'Emissions summary'!BA49</f>
        <v>6.5737486807459664</v>
      </c>
      <c r="AD40" s="94">
        <f>'Emissions summary'!BB49</f>
        <v>6.6049616271645055</v>
      </c>
      <c r="AE40" s="94">
        <f>'Emissions summary'!BC49</f>
        <v>6.6366060978530843</v>
      </c>
      <c r="AF40" s="94">
        <f>'Emissions summary'!BD49</f>
        <v>6.67135901616565</v>
      </c>
      <c r="AG40" s="94">
        <f>'Emissions summary'!BE49</f>
        <v>6.7218922906024705</v>
      </c>
      <c r="AH40" s="94">
        <f>'Emissions summary'!BF49</f>
        <v>6.7739626579261616</v>
      </c>
      <c r="AI40" s="94">
        <f>'Emissions summary'!BG49</f>
        <v>6.8275843841665926</v>
      </c>
      <c r="AJ40" s="94">
        <f>'Emissions summary'!BH49</f>
        <v>6.8826192051316566</v>
      </c>
      <c r="AK40" s="94">
        <f>'Emissions summary'!BI49</f>
        <v>6.9399466847968574</v>
      </c>
      <c r="AL40" s="94">
        <f>'Emissions summary'!BJ49</f>
        <v>6.9867308692080687</v>
      </c>
      <c r="AM40" s="94">
        <f>'Emissions summary'!BK49</f>
        <v>7.0352538892492928</v>
      </c>
      <c r="AN40" s="94">
        <f>'Emissions summary'!BL49</f>
        <v>7.0862862066090164</v>
      </c>
      <c r="AO40" s="94">
        <f>'Emissions summary'!BM49</f>
        <v>7.1400809195486845</v>
      </c>
      <c r="AP40" s="94">
        <f>'Emissions summary'!BN49</f>
        <v>7.1991985761742381</v>
      </c>
    </row>
    <row r="41" spans="1:42" x14ac:dyDescent="0.25">
      <c r="A41" t="str">
        <f>'Emissions summary'!B52</f>
        <v>3C6 Indirect N2O from manure management (N2O)</v>
      </c>
      <c r="B41" t="str">
        <f t="shared" si="2"/>
        <v>A3C6</v>
      </c>
      <c r="C41" t="str">
        <f>'Emissions summary'!D52</f>
        <v>N2O</v>
      </c>
      <c r="D41" s="94">
        <f>'Emissions summary'!AB52</f>
        <v>1.5023128232007985</v>
      </c>
      <c r="E41" s="94">
        <f>'Emissions summary'!AC52</f>
        <v>1.5238597227403841</v>
      </c>
      <c r="F41" s="94">
        <f>'Emissions summary'!AD52</f>
        <v>1.5335317904883414</v>
      </c>
      <c r="G41" s="94">
        <f>'Emissions summary'!AE52</f>
        <v>1.533723355947048</v>
      </c>
      <c r="H41" s="94">
        <f>'Emissions summary'!AF52</f>
        <v>1.5280100317369978</v>
      </c>
      <c r="I41" s="94">
        <f>'Emissions summary'!AG52</f>
        <v>1.5273539214020424</v>
      </c>
      <c r="J41" s="94">
        <f>'Emissions summary'!AH52</f>
        <v>1.5298969273489766</v>
      </c>
      <c r="K41" s="94">
        <f>'Emissions summary'!AI52</f>
        <v>1.5321662484347913</v>
      </c>
      <c r="L41" s="94">
        <f>'Emissions summary'!AJ52</f>
        <v>1.3894818729317224</v>
      </c>
      <c r="M41" s="94">
        <f>'Emissions summary'!AK52</f>
        <v>1.4092895832641181</v>
      </c>
      <c r="N41" s="94">
        <f>'Emissions summary'!AL52</f>
        <v>1.4295587502596625</v>
      </c>
      <c r="O41" s="94">
        <f>'Emissions summary'!AM52</f>
        <v>1.4532476647351109</v>
      </c>
      <c r="P41" s="94">
        <f>'Emissions summary'!AN52</f>
        <v>1.479145958913239</v>
      </c>
      <c r="Q41" s="94">
        <f>'Emissions summary'!AO52</f>
        <v>1.5045810961085115</v>
      </c>
      <c r="R41" s="94">
        <f>'Emissions summary'!AP52</f>
        <v>1.5351732575481849</v>
      </c>
      <c r="S41" s="94">
        <f>'Emissions summary'!AQ52</f>
        <v>1.56712205713046</v>
      </c>
      <c r="T41" s="94">
        <f>'Emissions summary'!AR52</f>
        <v>1.6011710631512801</v>
      </c>
      <c r="U41" s="94">
        <f>'Emissions summary'!AS52</f>
        <v>1.6364662256586797</v>
      </c>
      <c r="V41" s="94">
        <f>'Emissions summary'!AT52</f>
        <v>1.6648734366205706</v>
      </c>
      <c r="W41" s="94">
        <f>'Emissions summary'!AU52</f>
        <v>1.7028855540515979</v>
      </c>
      <c r="X41" s="94">
        <f>'Emissions summary'!AV52</f>
        <v>1.7417385421312619</v>
      </c>
      <c r="Y41" s="94">
        <f>'Emissions summary'!AW52</f>
        <v>1.7817271752685131</v>
      </c>
      <c r="Z41" s="94">
        <f>'Emissions summary'!AX52</f>
        <v>1.8196070330696918</v>
      </c>
      <c r="AA41" s="94">
        <f>'Emissions summary'!AY52</f>
        <v>1.8599290532709689</v>
      </c>
      <c r="AB41" s="94">
        <f>'Emissions summary'!AZ52</f>
        <v>1.9027376950637984</v>
      </c>
      <c r="AC41" s="94">
        <f>'Emissions summary'!BA52</f>
        <v>1.9471473800702745</v>
      </c>
      <c r="AD41" s="94">
        <f>'Emissions summary'!BB52</f>
        <v>1.9908212955877616</v>
      </c>
      <c r="AE41" s="94">
        <f>'Emissions summary'!BC52</f>
        <v>2.036106187117066</v>
      </c>
      <c r="AF41" s="94">
        <f>'Emissions summary'!BD52</f>
        <v>2.0844057229990716</v>
      </c>
      <c r="AG41" s="94">
        <f>'Emissions summary'!BE52</f>
        <v>2.134909718277882</v>
      </c>
      <c r="AH41" s="94">
        <f>'Emissions summary'!BF52</f>
        <v>2.1875286730330328</v>
      </c>
      <c r="AI41" s="94">
        <f>'Emissions summary'!BG52</f>
        <v>2.2423496052880814</v>
      </c>
      <c r="AJ41" s="94">
        <f>'Emissions summary'!BH52</f>
        <v>2.2993812481477942</v>
      </c>
      <c r="AK41" s="94">
        <f>'Emissions summary'!BI52</f>
        <v>2.3591771621575992</v>
      </c>
      <c r="AL41" s="94">
        <f>'Emissions summary'!BJ52</f>
        <v>2.414873005130163</v>
      </c>
      <c r="AM41" s="94">
        <f>'Emissions summary'!BK52</f>
        <v>2.4730576970904656</v>
      </c>
      <c r="AN41" s="94">
        <f>'Emissions summary'!BL52</f>
        <v>2.5342425365127572</v>
      </c>
      <c r="AO41" s="94">
        <f>'Emissions summary'!BM52</f>
        <v>2.5986910975055144</v>
      </c>
      <c r="AP41" s="94">
        <f>'Emissions summary'!BN52</f>
        <v>2.668006953550714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G82"/>
  <sheetViews>
    <sheetView topLeftCell="A50" workbookViewId="0">
      <selection activeCell="C73" sqref="C73"/>
    </sheetView>
  </sheetViews>
  <sheetFormatPr defaultRowHeight="15" x14ac:dyDescent="0.25"/>
  <cols>
    <col min="1" max="1" width="44.42578125" customWidth="1"/>
    <col min="2" max="2" width="46.42578125" customWidth="1"/>
    <col min="3" max="3" width="37.42578125" customWidth="1"/>
    <col min="4" max="4" width="41" customWidth="1"/>
    <col min="6" max="6" width="35.7109375" customWidth="1"/>
  </cols>
  <sheetData>
    <row r="1" spans="1:6" ht="18.75" x14ac:dyDescent="0.3">
      <c r="A1" s="1" t="s">
        <v>7</v>
      </c>
    </row>
    <row r="3" spans="1:6" ht="17.25" x14ac:dyDescent="0.3">
      <c r="A3" s="107" t="s">
        <v>11</v>
      </c>
      <c r="B3" s="108"/>
      <c r="C3" s="108"/>
      <c r="D3" s="109"/>
    </row>
    <row r="4" spans="1:6" ht="15.75" x14ac:dyDescent="0.25">
      <c r="A4" s="2" t="s">
        <v>12</v>
      </c>
      <c r="B4" s="2" t="s">
        <v>13</v>
      </c>
      <c r="C4" s="2" t="s">
        <v>14</v>
      </c>
      <c r="D4" s="2" t="s">
        <v>70</v>
      </c>
      <c r="F4" s="10" t="s">
        <v>96</v>
      </c>
    </row>
    <row r="5" spans="1:6" ht="15" customHeight="1" x14ac:dyDescent="0.25">
      <c r="A5" s="8" t="s">
        <v>15</v>
      </c>
      <c r="B5" s="4" t="s">
        <v>16</v>
      </c>
      <c r="C5" s="3" t="s">
        <v>17</v>
      </c>
      <c r="D5" s="3" t="s">
        <v>6</v>
      </c>
      <c r="F5" t="s">
        <v>97</v>
      </c>
    </row>
    <row r="6" spans="1:6" ht="15" customHeight="1" x14ac:dyDescent="0.25">
      <c r="A6" s="8"/>
      <c r="B6" s="4"/>
      <c r="C6" s="3"/>
      <c r="D6" s="3" t="s">
        <v>67</v>
      </c>
      <c r="F6" t="s">
        <v>98</v>
      </c>
    </row>
    <row r="7" spans="1:6" x14ac:dyDescent="0.25">
      <c r="A7" s="6"/>
      <c r="B7" s="4"/>
      <c r="C7" s="3" t="s">
        <v>18</v>
      </c>
      <c r="D7" s="3"/>
      <c r="F7" t="s">
        <v>99</v>
      </c>
    </row>
    <row r="8" spans="1:6" x14ac:dyDescent="0.25">
      <c r="A8" s="6"/>
      <c r="B8" s="4"/>
      <c r="C8" s="3" t="s">
        <v>19</v>
      </c>
      <c r="D8" s="3"/>
      <c r="F8" t="s">
        <v>100</v>
      </c>
    </row>
    <row r="9" spans="1:6" x14ac:dyDescent="0.25">
      <c r="A9" s="6"/>
      <c r="B9" s="4"/>
      <c r="C9" s="3" t="s">
        <v>20</v>
      </c>
      <c r="D9" s="3"/>
      <c r="F9" t="s">
        <v>101</v>
      </c>
    </row>
    <row r="10" spans="1:6" x14ac:dyDescent="0.25">
      <c r="A10" s="6"/>
      <c r="B10" s="4"/>
      <c r="C10" s="3" t="s">
        <v>140</v>
      </c>
      <c r="D10" s="3"/>
      <c r="F10" t="s">
        <v>102</v>
      </c>
    </row>
    <row r="11" spans="1:6" x14ac:dyDescent="0.25">
      <c r="A11" s="6"/>
      <c r="B11" s="4"/>
      <c r="C11" s="3" t="s">
        <v>21</v>
      </c>
      <c r="D11" s="3"/>
      <c r="F11" t="s">
        <v>103</v>
      </c>
    </row>
    <row r="12" spans="1:6" x14ac:dyDescent="0.25">
      <c r="A12" s="6"/>
      <c r="B12" s="4" t="s">
        <v>22</v>
      </c>
      <c r="C12" s="3" t="s">
        <v>23</v>
      </c>
      <c r="D12" s="3" t="s">
        <v>68</v>
      </c>
      <c r="F12" t="s">
        <v>104</v>
      </c>
    </row>
    <row r="13" spans="1:6" x14ac:dyDescent="0.25">
      <c r="A13" s="6"/>
      <c r="B13" s="4"/>
      <c r="C13" s="3"/>
      <c r="D13" s="3" t="s">
        <v>69</v>
      </c>
      <c r="F13" t="s">
        <v>105</v>
      </c>
    </row>
    <row r="14" spans="1:6" x14ac:dyDescent="0.25">
      <c r="A14" s="6"/>
      <c r="B14" s="4"/>
      <c r="C14" s="3" t="s">
        <v>24</v>
      </c>
      <c r="D14" s="3"/>
      <c r="F14" t="s">
        <v>106</v>
      </c>
    </row>
    <row r="15" spans="1:6" x14ac:dyDescent="0.25">
      <c r="A15" s="6"/>
      <c r="B15" s="4"/>
      <c r="C15" s="3" t="s">
        <v>25</v>
      </c>
      <c r="D15" s="3"/>
      <c r="F15" t="s">
        <v>107</v>
      </c>
    </row>
    <row r="16" spans="1:6" x14ac:dyDescent="0.25">
      <c r="A16" s="6"/>
      <c r="B16" s="4"/>
      <c r="C16" s="3" t="s">
        <v>26</v>
      </c>
      <c r="D16" s="3"/>
      <c r="F16" t="s">
        <v>108</v>
      </c>
    </row>
    <row r="17" spans="1:6" x14ac:dyDescent="0.25">
      <c r="A17" s="6"/>
      <c r="B17" s="4"/>
      <c r="C17" s="3" t="s">
        <v>141</v>
      </c>
      <c r="D17" s="3"/>
      <c r="F17" t="s">
        <v>110</v>
      </c>
    </row>
    <row r="18" spans="1:6" x14ac:dyDescent="0.25">
      <c r="A18" s="6"/>
      <c r="B18" s="4"/>
      <c r="C18" s="3" t="s">
        <v>27</v>
      </c>
      <c r="D18" s="3"/>
      <c r="F18" t="s">
        <v>111</v>
      </c>
    </row>
    <row r="19" spans="1:6" x14ac:dyDescent="0.25">
      <c r="A19" s="6"/>
      <c r="B19" s="4"/>
      <c r="C19" s="3" t="s">
        <v>28</v>
      </c>
      <c r="D19" s="3"/>
      <c r="F19" t="s">
        <v>112</v>
      </c>
    </row>
    <row r="20" spans="1:6" x14ac:dyDescent="0.25">
      <c r="A20" s="6"/>
      <c r="B20" s="4" t="s">
        <v>657</v>
      </c>
      <c r="C20" s="3" t="s">
        <v>23</v>
      </c>
      <c r="D20" s="3" t="s">
        <v>68</v>
      </c>
      <c r="F20" t="s">
        <v>113</v>
      </c>
    </row>
    <row r="21" spans="1:6" x14ac:dyDescent="0.25">
      <c r="A21" s="6"/>
      <c r="B21" s="4"/>
      <c r="C21" s="3"/>
      <c r="D21" s="3" t="s">
        <v>69</v>
      </c>
      <c r="F21" t="s">
        <v>114</v>
      </c>
    </row>
    <row r="22" spans="1:6" x14ac:dyDescent="0.25">
      <c r="A22" s="6"/>
      <c r="B22" s="4"/>
      <c r="C22" s="3" t="s">
        <v>24</v>
      </c>
      <c r="D22" s="3"/>
      <c r="F22" t="s">
        <v>115</v>
      </c>
    </row>
    <row r="23" spans="1:6" x14ac:dyDescent="0.25">
      <c r="A23" s="6"/>
      <c r="B23" s="4"/>
      <c r="C23" s="3" t="s">
        <v>25</v>
      </c>
      <c r="D23" s="3"/>
      <c r="F23" t="s">
        <v>116</v>
      </c>
    </row>
    <row r="24" spans="1:6" x14ac:dyDescent="0.25">
      <c r="A24" s="6"/>
      <c r="B24" s="4"/>
      <c r="C24" s="3" t="s">
        <v>26</v>
      </c>
      <c r="D24" s="3"/>
      <c r="F24" t="s">
        <v>117</v>
      </c>
    </row>
    <row r="25" spans="1:6" x14ac:dyDescent="0.25">
      <c r="A25" s="6"/>
      <c r="B25" s="4"/>
      <c r="C25" s="3" t="s">
        <v>141</v>
      </c>
      <c r="D25" s="3"/>
      <c r="F25" t="s">
        <v>118</v>
      </c>
    </row>
    <row r="26" spans="1:6" x14ac:dyDescent="0.25">
      <c r="A26" s="6"/>
      <c r="B26" s="4"/>
      <c r="C26" s="3" t="s">
        <v>27</v>
      </c>
      <c r="D26" s="3"/>
      <c r="F26" t="s">
        <v>119</v>
      </c>
    </row>
    <row r="27" spans="1:6" x14ac:dyDescent="0.25">
      <c r="A27" s="6"/>
      <c r="B27" s="4"/>
      <c r="C27" s="3" t="s">
        <v>28</v>
      </c>
      <c r="D27" s="3"/>
      <c r="F27" t="s">
        <v>62</v>
      </c>
    </row>
    <row r="28" spans="1:6" ht="16.5" customHeight="1" x14ac:dyDescent="0.25">
      <c r="A28" s="8" t="s">
        <v>29</v>
      </c>
      <c r="B28" s="4" t="s">
        <v>30</v>
      </c>
      <c r="C28" s="3" t="s">
        <v>31</v>
      </c>
      <c r="D28" s="3"/>
      <c r="F28" t="s">
        <v>63</v>
      </c>
    </row>
    <row r="29" spans="1:6" x14ac:dyDescent="0.25">
      <c r="A29" s="6"/>
      <c r="B29" s="4"/>
      <c r="C29" s="3" t="s">
        <v>32</v>
      </c>
      <c r="D29" s="3" t="s">
        <v>71</v>
      </c>
      <c r="F29" t="s">
        <v>120</v>
      </c>
    </row>
    <row r="30" spans="1:6" x14ac:dyDescent="0.25">
      <c r="A30" s="6"/>
      <c r="B30" s="4"/>
      <c r="C30" s="3"/>
      <c r="D30" s="3" t="s">
        <v>72</v>
      </c>
    </row>
    <row r="31" spans="1:6" x14ac:dyDescent="0.25">
      <c r="A31" s="6"/>
      <c r="B31" s="4"/>
      <c r="C31" s="3"/>
      <c r="D31" s="3" t="s">
        <v>73</v>
      </c>
      <c r="F31" t="s">
        <v>1</v>
      </c>
    </row>
    <row r="32" spans="1:6" x14ac:dyDescent="0.25">
      <c r="A32" s="6"/>
      <c r="B32" s="4"/>
      <c r="C32" s="3"/>
      <c r="D32" s="3" t="s">
        <v>74</v>
      </c>
      <c r="F32" t="s">
        <v>97</v>
      </c>
    </row>
    <row r="33" spans="1:6" x14ac:dyDescent="0.25">
      <c r="A33" s="6"/>
      <c r="B33" s="4"/>
      <c r="C33" s="3"/>
      <c r="D33" s="3" t="s">
        <v>75</v>
      </c>
      <c r="F33" t="s">
        <v>98</v>
      </c>
    </row>
    <row r="34" spans="1:6" x14ac:dyDescent="0.25">
      <c r="A34" s="6"/>
      <c r="B34" s="4" t="s">
        <v>33</v>
      </c>
      <c r="C34" s="3" t="s">
        <v>34</v>
      </c>
      <c r="D34" s="3"/>
    </row>
    <row r="35" spans="1:6" x14ac:dyDescent="0.25">
      <c r="A35" s="6"/>
      <c r="B35" s="4"/>
      <c r="C35" s="3" t="s">
        <v>35</v>
      </c>
      <c r="D35" s="3" t="s">
        <v>76</v>
      </c>
    </row>
    <row r="36" spans="1:6" x14ac:dyDescent="0.25">
      <c r="A36" s="6"/>
      <c r="B36" s="4"/>
      <c r="C36" s="3"/>
      <c r="D36" s="3" t="s">
        <v>77</v>
      </c>
      <c r="F36" t="s">
        <v>122</v>
      </c>
    </row>
    <row r="37" spans="1:6" x14ac:dyDescent="0.25">
      <c r="A37" s="6"/>
      <c r="B37" s="4"/>
      <c r="C37" s="3"/>
      <c r="D37" s="3" t="s">
        <v>78</v>
      </c>
      <c r="F37" t="s">
        <v>123</v>
      </c>
    </row>
    <row r="38" spans="1:6" x14ac:dyDescent="0.25">
      <c r="A38" s="6"/>
      <c r="B38" s="4"/>
      <c r="C38" s="3"/>
      <c r="D38" s="3" t="s">
        <v>79</v>
      </c>
      <c r="F38" t="s">
        <v>135</v>
      </c>
    </row>
    <row r="39" spans="1:6" x14ac:dyDescent="0.25">
      <c r="A39" s="6"/>
      <c r="B39" s="4"/>
      <c r="C39" s="3"/>
      <c r="D39" s="3" t="s">
        <v>80</v>
      </c>
      <c r="F39" t="s">
        <v>136</v>
      </c>
    </row>
    <row r="40" spans="1:6" x14ac:dyDescent="0.25">
      <c r="A40" s="6"/>
      <c r="B40" s="106" t="s">
        <v>36</v>
      </c>
      <c r="C40" s="3" t="s">
        <v>37</v>
      </c>
      <c r="D40" s="3"/>
      <c r="F40" t="s">
        <v>137</v>
      </c>
    </row>
    <row r="41" spans="1:6" x14ac:dyDescent="0.25">
      <c r="A41" s="6"/>
      <c r="B41" s="106"/>
      <c r="C41" s="3" t="s">
        <v>38</v>
      </c>
      <c r="D41" s="3" t="s">
        <v>81</v>
      </c>
      <c r="F41" t="s">
        <v>307</v>
      </c>
    </row>
    <row r="42" spans="1:6" x14ac:dyDescent="0.25">
      <c r="A42" s="6"/>
      <c r="B42" s="4"/>
      <c r="C42" s="3"/>
      <c r="D42" s="3" t="s">
        <v>82</v>
      </c>
      <c r="F42" t="s">
        <v>3</v>
      </c>
    </row>
    <row r="43" spans="1:6" x14ac:dyDescent="0.25">
      <c r="A43" s="6"/>
      <c r="B43" s="4"/>
      <c r="C43" s="3"/>
      <c r="D43" s="3" t="s">
        <v>83</v>
      </c>
      <c r="F43" t="s">
        <v>124</v>
      </c>
    </row>
    <row r="44" spans="1:6" x14ac:dyDescent="0.25">
      <c r="A44" s="6"/>
      <c r="B44" s="4"/>
      <c r="C44" s="3"/>
      <c r="D44" s="3" t="s">
        <v>84</v>
      </c>
      <c r="F44" t="s">
        <v>125</v>
      </c>
    </row>
    <row r="45" spans="1:6" x14ac:dyDescent="0.25">
      <c r="A45" s="6"/>
      <c r="B45" s="4"/>
      <c r="C45" s="3"/>
      <c r="D45" s="3" t="s">
        <v>85</v>
      </c>
      <c r="F45" t="s">
        <v>126</v>
      </c>
    </row>
    <row r="46" spans="1:6" x14ac:dyDescent="0.25">
      <c r="A46" s="6"/>
      <c r="B46" s="4" t="s">
        <v>39</v>
      </c>
      <c r="C46" s="5" t="s">
        <v>39</v>
      </c>
      <c r="D46" s="5"/>
      <c r="F46" t="s">
        <v>127</v>
      </c>
    </row>
    <row r="47" spans="1:6" ht="14.25" customHeight="1" x14ac:dyDescent="0.25">
      <c r="A47" s="6"/>
      <c r="B47" s="4" t="s">
        <v>40</v>
      </c>
      <c r="C47" s="3" t="s">
        <v>41</v>
      </c>
      <c r="D47" s="3"/>
      <c r="F47" t="s">
        <v>128</v>
      </c>
    </row>
    <row r="48" spans="1:6" x14ac:dyDescent="0.25">
      <c r="A48" s="6"/>
      <c r="B48" s="4"/>
      <c r="C48" s="3" t="s">
        <v>42</v>
      </c>
      <c r="D48" s="3" t="s">
        <v>86</v>
      </c>
      <c r="F48" t="s">
        <v>129</v>
      </c>
    </row>
    <row r="49" spans="1:7" x14ac:dyDescent="0.25">
      <c r="A49" s="6"/>
      <c r="B49" s="4"/>
      <c r="C49" s="3"/>
      <c r="D49" s="3" t="s">
        <v>87</v>
      </c>
      <c r="F49" t="s">
        <v>130</v>
      </c>
    </row>
    <row r="50" spans="1:7" x14ac:dyDescent="0.25">
      <c r="A50" s="6"/>
      <c r="B50" s="4"/>
      <c r="C50" s="3"/>
      <c r="D50" s="3" t="s">
        <v>88</v>
      </c>
      <c r="F50" t="s">
        <v>131</v>
      </c>
    </row>
    <row r="51" spans="1:7" x14ac:dyDescent="0.25">
      <c r="A51" s="6"/>
      <c r="B51" s="4"/>
      <c r="C51" s="3"/>
      <c r="D51" s="3" t="s">
        <v>89</v>
      </c>
      <c r="F51" t="s">
        <v>132</v>
      </c>
    </row>
    <row r="52" spans="1:7" x14ac:dyDescent="0.25">
      <c r="A52" s="6"/>
      <c r="B52" s="4"/>
      <c r="C52" s="3"/>
      <c r="D52" s="3" t="s">
        <v>90</v>
      </c>
      <c r="F52" t="s">
        <v>134</v>
      </c>
    </row>
    <row r="53" spans="1:7" x14ac:dyDescent="0.25">
      <c r="A53" s="6"/>
      <c r="B53" s="4" t="s">
        <v>43</v>
      </c>
      <c r="C53" s="3" t="s">
        <v>109</v>
      </c>
      <c r="D53" s="3"/>
      <c r="F53" t="s">
        <v>133</v>
      </c>
    </row>
    <row r="54" spans="1:7" x14ac:dyDescent="0.25">
      <c r="A54" s="6"/>
      <c r="B54" s="4"/>
      <c r="C54" s="3" t="s">
        <v>44</v>
      </c>
      <c r="D54" s="3" t="s">
        <v>91</v>
      </c>
    </row>
    <row r="55" spans="1:7" x14ac:dyDescent="0.25">
      <c r="A55" s="6"/>
      <c r="B55" s="4"/>
      <c r="C55" s="3"/>
      <c r="D55" s="3" t="s">
        <v>92</v>
      </c>
      <c r="F55" t="s">
        <v>294</v>
      </c>
    </row>
    <row r="56" spans="1:7" x14ac:dyDescent="0.25">
      <c r="A56" s="6"/>
      <c r="B56" s="4"/>
      <c r="C56" s="3"/>
      <c r="D56" s="3" t="s">
        <v>93</v>
      </c>
      <c r="F56" t="s">
        <v>295</v>
      </c>
    </row>
    <row r="57" spans="1:7" x14ac:dyDescent="0.25">
      <c r="A57" s="6"/>
      <c r="B57" s="4"/>
      <c r="C57" s="3"/>
      <c r="D57" s="3" t="s">
        <v>94</v>
      </c>
      <c r="F57" t="s">
        <v>296</v>
      </c>
    </row>
    <row r="58" spans="1:7" x14ac:dyDescent="0.25">
      <c r="A58" s="6"/>
      <c r="B58" s="4"/>
      <c r="C58" s="3"/>
      <c r="D58" s="3" t="s">
        <v>95</v>
      </c>
      <c r="F58" t="s">
        <v>297</v>
      </c>
    </row>
    <row r="59" spans="1:7" ht="15" customHeight="1" x14ac:dyDescent="0.25">
      <c r="A59" s="9" t="s">
        <v>369</v>
      </c>
      <c r="B59" s="4" t="s">
        <v>45</v>
      </c>
      <c r="C59" s="3" t="s">
        <v>46</v>
      </c>
      <c r="D59" s="3"/>
      <c r="F59" t="s">
        <v>303</v>
      </c>
    </row>
    <row r="60" spans="1:7" x14ac:dyDescent="0.25">
      <c r="A60" s="7"/>
      <c r="B60" s="4"/>
      <c r="C60" s="3" t="s">
        <v>47</v>
      </c>
      <c r="D60" s="3"/>
      <c r="F60" t="s">
        <v>299</v>
      </c>
    </row>
    <row r="61" spans="1:7" x14ac:dyDescent="0.25">
      <c r="A61" s="7"/>
      <c r="B61" s="4"/>
      <c r="C61" s="3" t="s">
        <v>48</v>
      </c>
      <c r="D61" s="3"/>
      <c r="F61" t="s">
        <v>300</v>
      </c>
    </row>
    <row r="62" spans="1:7" x14ac:dyDescent="0.25">
      <c r="A62" s="7"/>
      <c r="B62" s="4"/>
      <c r="C62" s="3" t="s">
        <v>49</v>
      </c>
      <c r="D62" s="3"/>
      <c r="F62" t="s">
        <v>301</v>
      </c>
    </row>
    <row r="63" spans="1:7" x14ac:dyDescent="0.25">
      <c r="A63" s="7"/>
      <c r="B63" s="4"/>
      <c r="C63" s="3" t="s">
        <v>50</v>
      </c>
      <c r="D63" s="3"/>
      <c r="F63" t="s">
        <v>302</v>
      </c>
    </row>
    <row r="64" spans="1:7" x14ac:dyDescent="0.25">
      <c r="A64" s="7"/>
      <c r="B64" s="4"/>
      <c r="C64" s="3" t="s">
        <v>51</v>
      </c>
      <c r="D64" s="3"/>
      <c r="F64" t="s">
        <v>304</v>
      </c>
      <c r="G64" t="s">
        <v>306</v>
      </c>
    </row>
    <row r="65" spans="1:6" x14ac:dyDescent="0.25">
      <c r="A65" s="7"/>
      <c r="B65" s="4" t="s">
        <v>52</v>
      </c>
      <c r="C65" s="3" t="s">
        <v>46</v>
      </c>
      <c r="D65" s="3"/>
      <c r="F65" t="s">
        <v>98</v>
      </c>
    </row>
    <row r="66" spans="1:6" x14ac:dyDescent="0.25">
      <c r="A66" s="7"/>
      <c r="B66" s="4"/>
      <c r="C66" s="3" t="s">
        <v>47</v>
      </c>
      <c r="D66" s="3"/>
    </row>
    <row r="67" spans="1:6" x14ac:dyDescent="0.25">
      <c r="A67" s="7"/>
      <c r="B67" s="4"/>
      <c r="C67" s="3" t="s">
        <v>48</v>
      </c>
      <c r="D67" s="3"/>
      <c r="F67" t="s">
        <v>786</v>
      </c>
    </row>
    <row r="68" spans="1:6" x14ac:dyDescent="0.25">
      <c r="A68" s="7"/>
      <c r="B68" s="4"/>
      <c r="C68" s="3" t="s">
        <v>49</v>
      </c>
      <c r="D68" s="3"/>
      <c r="F68" t="s">
        <v>787</v>
      </c>
    </row>
    <row r="69" spans="1:6" x14ac:dyDescent="0.25">
      <c r="A69" s="7"/>
      <c r="B69" s="4"/>
      <c r="C69" s="3" t="s">
        <v>50</v>
      </c>
      <c r="D69" s="3"/>
      <c r="F69" t="s">
        <v>788</v>
      </c>
    </row>
    <row r="70" spans="1:6" x14ac:dyDescent="0.25">
      <c r="A70" s="7"/>
      <c r="B70" s="4"/>
      <c r="C70" s="3" t="s">
        <v>51</v>
      </c>
      <c r="D70" s="3"/>
      <c r="F70" t="s">
        <v>789</v>
      </c>
    </row>
    <row r="71" spans="1:6" x14ac:dyDescent="0.25">
      <c r="A71" s="7"/>
      <c r="B71" s="3" t="s">
        <v>53</v>
      </c>
      <c r="C71" s="5" t="s">
        <v>53</v>
      </c>
      <c r="D71" s="5"/>
      <c r="F71" t="s">
        <v>790</v>
      </c>
    </row>
    <row r="72" spans="1:6" x14ac:dyDescent="0.25">
      <c r="A72" s="7"/>
      <c r="B72" s="3" t="s">
        <v>54</v>
      </c>
      <c r="C72" s="5" t="s">
        <v>54</v>
      </c>
      <c r="D72" s="5"/>
      <c r="F72" t="s">
        <v>791</v>
      </c>
    </row>
    <row r="73" spans="1:6" ht="24.75" customHeight="1" x14ac:dyDescent="0.25">
      <c r="A73" s="7"/>
      <c r="B73" s="4" t="s">
        <v>55</v>
      </c>
      <c r="C73" s="3" t="s">
        <v>56</v>
      </c>
      <c r="D73" s="3"/>
    </row>
    <row r="74" spans="1:6" x14ac:dyDescent="0.25">
      <c r="A74" s="7"/>
      <c r="B74" s="4"/>
      <c r="C74" s="3" t="s">
        <v>57</v>
      </c>
      <c r="D74" s="3"/>
    </row>
    <row r="75" spans="1:6" x14ac:dyDescent="0.25">
      <c r="A75" s="7"/>
      <c r="B75" s="4"/>
      <c r="C75" s="3" t="s">
        <v>58</v>
      </c>
      <c r="D75" s="3"/>
    </row>
    <row r="76" spans="1:6" x14ac:dyDescent="0.25">
      <c r="A76" s="7"/>
      <c r="B76" s="4"/>
      <c r="C76" s="3" t="s">
        <v>59</v>
      </c>
      <c r="D76" s="3"/>
    </row>
    <row r="77" spans="1:6" x14ac:dyDescent="0.25">
      <c r="A77" s="7"/>
      <c r="B77" s="4"/>
      <c r="C77" s="3" t="s">
        <v>60</v>
      </c>
      <c r="D77" s="3"/>
    </row>
    <row r="78" spans="1:6" ht="16.5" customHeight="1" x14ac:dyDescent="0.25">
      <c r="A78" s="7"/>
      <c r="B78" s="4" t="s">
        <v>61</v>
      </c>
      <c r="C78" s="3" t="s">
        <v>62</v>
      </c>
      <c r="D78" s="3"/>
    </row>
    <row r="79" spans="1:6" x14ac:dyDescent="0.25">
      <c r="A79" s="7"/>
      <c r="B79" s="4"/>
      <c r="C79" s="3" t="s">
        <v>63</v>
      </c>
      <c r="D79" s="3"/>
    </row>
    <row r="80" spans="1:6" x14ac:dyDescent="0.25">
      <c r="A80" s="7"/>
      <c r="B80" s="4" t="s">
        <v>64</v>
      </c>
      <c r="C80" s="3" t="s">
        <v>62</v>
      </c>
      <c r="D80" s="3"/>
    </row>
    <row r="81" spans="1:4" x14ac:dyDescent="0.25">
      <c r="A81" s="7"/>
      <c r="B81" s="4"/>
      <c r="C81" s="3" t="s">
        <v>63</v>
      </c>
      <c r="D81" s="3"/>
    </row>
    <row r="82" spans="1:4" x14ac:dyDescent="0.25">
      <c r="A82" s="3" t="s">
        <v>65</v>
      </c>
      <c r="B82" s="3" t="s">
        <v>66</v>
      </c>
      <c r="C82" s="5" t="s">
        <v>66</v>
      </c>
      <c r="D82" s="5"/>
    </row>
  </sheetData>
  <mergeCells count="2">
    <mergeCell ref="B40:B41"/>
    <mergeCell ref="A3:D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sheetPr>
  <dimension ref="A1:BP7"/>
  <sheetViews>
    <sheetView topLeftCell="H1" workbookViewId="0">
      <selection activeCell="Z4" sqref="Z4"/>
    </sheetView>
  </sheetViews>
  <sheetFormatPr defaultRowHeight="15" outlineLevelCol="1" x14ac:dyDescent="0.25"/>
  <cols>
    <col min="1" max="1" width="19.140625" customWidth="1"/>
    <col min="2" max="2" width="12.85546875" customWidth="1"/>
    <col min="3" max="3" width="28.5703125" customWidth="1"/>
    <col min="4" max="23" width="12.7109375" customWidth="1" outlineLevel="1"/>
    <col min="24" max="30" width="12.7109375" customWidth="1"/>
    <col min="31" max="31" width="13.85546875" customWidth="1"/>
    <col min="32" max="34" width="12.7109375" customWidth="1"/>
  </cols>
  <sheetData>
    <row r="1" spans="1:68" ht="18.75" x14ac:dyDescent="0.3">
      <c r="A1" s="1" t="s">
        <v>316</v>
      </c>
    </row>
    <row r="2" spans="1:68" x14ac:dyDescent="0.25">
      <c r="X2">
        <v>1</v>
      </c>
      <c r="Y2">
        <v>2</v>
      </c>
      <c r="Z2">
        <v>3</v>
      </c>
      <c r="AA2">
        <v>4</v>
      </c>
      <c r="AB2">
        <v>5</v>
      </c>
      <c r="AC2">
        <v>6</v>
      </c>
      <c r="AD2">
        <v>7</v>
      </c>
      <c r="AE2">
        <v>8</v>
      </c>
      <c r="AF2">
        <v>9</v>
      </c>
      <c r="AG2">
        <v>10</v>
      </c>
      <c r="AH2">
        <v>11</v>
      </c>
      <c r="AI2">
        <v>12</v>
      </c>
      <c r="AJ2">
        <v>13</v>
      </c>
      <c r="AK2">
        <v>14</v>
      </c>
      <c r="AL2">
        <v>15</v>
      </c>
      <c r="AM2">
        <v>16</v>
      </c>
      <c r="AN2">
        <v>17</v>
      </c>
      <c r="AO2">
        <v>18</v>
      </c>
      <c r="AP2">
        <v>19</v>
      </c>
      <c r="AQ2">
        <v>20</v>
      </c>
      <c r="AR2">
        <v>21</v>
      </c>
      <c r="AS2">
        <v>22</v>
      </c>
      <c r="AT2">
        <v>23</v>
      </c>
      <c r="AU2">
        <v>24</v>
      </c>
      <c r="AV2">
        <v>25</v>
      </c>
      <c r="AW2">
        <v>26</v>
      </c>
      <c r="AX2">
        <v>27</v>
      </c>
      <c r="AY2">
        <v>28</v>
      </c>
      <c r="AZ2">
        <v>29</v>
      </c>
      <c r="BA2">
        <v>30</v>
      </c>
      <c r="BB2">
        <v>31</v>
      </c>
      <c r="BC2">
        <v>32</v>
      </c>
      <c r="BD2">
        <v>33</v>
      </c>
      <c r="BE2">
        <v>34</v>
      </c>
      <c r="BF2">
        <v>35</v>
      </c>
      <c r="BG2">
        <v>36</v>
      </c>
      <c r="BH2">
        <v>37</v>
      </c>
      <c r="BI2">
        <v>38</v>
      </c>
      <c r="BJ2">
        <v>39</v>
      </c>
      <c r="BK2">
        <v>40</v>
      </c>
      <c r="BL2">
        <v>41</v>
      </c>
    </row>
    <row r="3" spans="1:68" s="19" customFormat="1" ht="29.25" customHeight="1" x14ac:dyDescent="0.25">
      <c r="A3" s="17" t="s">
        <v>317</v>
      </c>
      <c r="B3" s="17" t="s">
        <v>0</v>
      </c>
      <c r="C3" s="17" t="s">
        <v>283</v>
      </c>
      <c r="D3" s="17">
        <v>1990</v>
      </c>
      <c r="E3" s="17">
        <v>1991</v>
      </c>
      <c r="F3" s="17">
        <v>1992</v>
      </c>
      <c r="G3" s="17">
        <v>1993</v>
      </c>
      <c r="H3" s="17">
        <v>1994</v>
      </c>
      <c r="I3" s="17">
        <v>1995</v>
      </c>
      <c r="J3" s="17">
        <v>1996</v>
      </c>
      <c r="K3" s="17">
        <v>1997</v>
      </c>
      <c r="L3" s="17">
        <v>1998</v>
      </c>
      <c r="M3" s="17">
        <v>1999</v>
      </c>
      <c r="N3" s="17">
        <v>2000</v>
      </c>
      <c r="O3" s="17">
        <v>2001</v>
      </c>
      <c r="P3" s="17">
        <v>2002</v>
      </c>
      <c r="Q3" s="17">
        <v>2003</v>
      </c>
      <c r="R3" s="17">
        <v>2004</v>
      </c>
      <c r="S3" s="17">
        <v>2005</v>
      </c>
      <c r="T3" s="17">
        <v>2006</v>
      </c>
      <c r="U3" s="17">
        <v>2007</v>
      </c>
      <c r="V3" s="17">
        <v>2008</v>
      </c>
      <c r="W3" s="17">
        <v>2009</v>
      </c>
      <c r="X3" s="17">
        <v>2010</v>
      </c>
      <c r="Y3" s="17">
        <v>2011</v>
      </c>
      <c r="Z3" s="17">
        <v>2012</v>
      </c>
      <c r="AA3" s="17">
        <v>2013</v>
      </c>
      <c r="AB3" s="17">
        <v>2014</v>
      </c>
      <c r="AC3" s="17">
        <v>2015</v>
      </c>
      <c r="AD3" s="17">
        <v>2016</v>
      </c>
      <c r="AE3" s="17">
        <v>2017</v>
      </c>
      <c r="AF3" s="17">
        <v>2018</v>
      </c>
      <c r="AG3" s="17">
        <v>2019</v>
      </c>
      <c r="AH3" s="17">
        <v>2020</v>
      </c>
      <c r="AI3" s="17">
        <v>2021</v>
      </c>
      <c r="AJ3" s="17">
        <v>2022</v>
      </c>
      <c r="AK3" s="17">
        <v>2023</v>
      </c>
      <c r="AL3" s="17">
        <v>2024</v>
      </c>
      <c r="AM3" s="17">
        <v>2025</v>
      </c>
      <c r="AN3" s="17">
        <v>2026</v>
      </c>
      <c r="AO3" s="17">
        <v>2027</v>
      </c>
      <c r="AP3" s="17">
        <v>2028</v>
      </c>
      <c r="AQ3" s="17">
        <v>2029</v>
      </c>
      <c r="AR3" s="17">
        <v>2030</v>
      </c>
      <c r="AS3" s="17">
        <v>2031</v>
      </c>
      <c r="AT3" s="17">
        <v>2032</v>
      </c>
      <c r="AU3" s="17">
        <v>2033</v>
      </c>
      <c r="AV3" s="17">
        <v>2034</v>
      </c>
      <c r="AW3" s="17">
        <v>2035</v>
      </c>
      <c r="AX3" s="17">
        <v>2036</v>
      </c>
      <c r="AY3" s="17">
        <v>2037</v>
      </c>
      <c r="AZ3" s="17">
        <v>2038</v>
      </c>
      <c r="BA3" s="17">
        <v>2039</v>
      </c>
      <c r="BB3" s="17">
        <v>2040</v>
      </c>
      <c r="BC3" s="17">
        <v>2041</v>
      </c>
      <c r="BD3" s="17">
        <v>2042</v>
      </c>
      <c r="BE3" s="17">
        <v>2043</v>
      </c>
      <c r="BF3" s="17">
        <v>2044</v>
      </c>
      <c r="BG3" s="17">
        <v>2045</v>
      </c>
      <c r="BH3" s="17">
        <v>2046</v>
      </c>
      <c r="BI3" s="17">
        <v>2047</v>
      </c>
      <c r="BJ3" s="17">
        <v>2048</v>
      </c>
      <c r="BK3" s="17">
        <v>2049</v>
      </c>
      <c r="BL3" s="17">
        <v>2050</v>
      </c>
      <c r="BO3" s="18" t="s">
        <v>308</v>
      </c>
      <c r="BP3" s="17" t="s">
        <v>282</v>
      </c>
    </row>
    <row r="4" spans="1:68" x14ac:dyDescent="0.25">
      <c r="A4" t="s">
        <v>1</v>
      </c>
      <c r="B4" t="s">
        <v>323</v>
      </c>
      <c r="C4" t="s">
        <v>748</v>
      </c>
      <c r="D4" s="21">
        <v>36800509</v>
      </c>
      <c r="E4" s="21">
        <v>37718950</v>
      </c>
      <c r="F4" s="21">
        <v>38672607</v>
      </c>
      <c r="G4" s="21">
        <v>39633750</v>
      </c>
      <c r="H4" s="21">
        <v>40564059</v>
      </c>
      <c r="I4" s="21">
        <v>41435758</v>
      </c>
      <c r="J4" s="21">
        <v>42241011</v>
      </c>
      <c r="K4" s="21">
        <v>42987461</v>
      </c>
      <c r="L4" s="21">
        <v>43682260</v>
      </c>
      <c r="M4" s="21">
        <v>44338543</v>
      </c>
      <c r="N4" s="21">
        <v>44967708</v>
      </c>
      <c r="O4" s="21">
        <v>45571274</v>
      </c>
      <c r="P4" s="21">
        <v>46150913</v>
      </c>
      <c r="Q4" s="21">
        <v>46719196</v>
      </c>
      <c r="R4" s="21">
        <v>47291610</v>
      </c>
      <c r="S4" s="21">
        <v>47880601</v>
      </c>
      <c r="T4" s="21">
        <v>48489459</v>
      </c>
      <c r="U4" s="21">
        <v>49119759</v>
      </c>
      <c r="V4" s="21">
        <v>49779471</v>
      </c>
      <c r="W4" s="21">
        <v>50477011</v>
      </c>
      <c r="X4" s="21">
        <v>51216964</v>
      </c>
      <c r="Y4" s="21">
        <v>52004172</v>
      </c>
      <c r="Z4" s="22">
        <f>DriversCGE!A35*1000</f>
        <v>52325432.882070079</v>
      </c>
      <c r="AA4" s="22">
        <f>DriversCGE!B35*1000</f>
        <v>53104386.458423346</v>
      </c>
      <c r="AB4" s="22">
        <f>DriversCGE!C35*1000</f>
        <v>53912365.691429272</v>
      </c>
      <c r="AC4" s="22">
        <f>DriversCGE!D35*1000</f>
        <v>54750491.457321115</v>
      </c>
      <c r="AD4" s="22">
        <f>DriversCGE!E35*1000</f>
        <v>55619940.469824828</v>
      </c>
      <c r="AE4" s="22">
        <f>DriversCGE!F35*1000</f>
        <v>56521948.041648097</v>
      </c>
      <c r="AF4" s="22">
        <f>DriversCGE!G35*1000</f>
        <v>57436000.617299661</v>
      </c>
      <c r="AG4" s="22">
        <f>DriversCGE!H35*1000</f>
        <v>58364834.921819441</v>
      </c>
      <c r="AH4" s="22">
        <f>DriversCGE!I35*1000</f>
        <v>59308690</v>
      </c>
      <c r="AI4" s="22">
        <f>DriversCGE!J35*1000</f>
        <v>60097873.988486953</v>
      </c>
      <c r="AJ4" s="22">
        <f>DriversCGE!K35*1000</f>
        <v>60841582.286809362</v>
      </c>
      <c r="AK4" s="22">
        <f>DriversCGE!L35*1000</f>
        <v>61537824.355929829</v>
      </c>
      <c r="AL4" s="22">
        <f>DriversCGE!M35*1000</f>
        <v>62221509.70138637</v>
      </c>
      <c r="AM4" s="22">
        <f>DriversCGE!N35*1000</f>
        <v>62892038.582526088</v>
      </c>
      <c r="AN4" s="22">
        <f>DriversCGE!O35*1000</f>
        <v>63548817.559440099</v>
      </c>
      <c r="AO4" s="22">
        <f>DriversCGE!P35*1000</f>
        <v>64191260.35676612</v>
      </c>
      <c r="AP4" s="22">
        <f>DriversCGE!Q35*1000</f>
        <v>64818788.725428239</v>
      </c>
      <c r="AQ4" s="22">
        <f>DriversCGE!R35*1000</f>
        <v>65435442.210930109</v>
      </c>
      <c r="AR4" s="22">
        <f>DriversCGE!S35*1000</f>
        <v>66040790.860694058</v>
      </c>
      <c r="AS4" s="22">
        <f>DriversCGE!T35*1000</f>
        <v>66634409.418703102</v>
      </c>
      <c r="AT4" s="22">
        <f>DriversCGE!U35*1000</f>
        <v>67215877.817791685</v>
      </c>
      <c r="AU4" s="22">
        <f>DriversCGE!V35*1000</f>
        <v>67784781.669940755</v>
      </c>
      <c r="AV4" s="22">
        <f>DriversCGE!W35*1000</f>
        <v>68342055.626742408</v>
      </c>
      <c r="AW4" s="22">
        <f>DriversCGE!X35*1000</f>
        <v>68887330.858600348</v>
      </c>
      <c r="AX4" s="22">
        <f>DriversCGE!Y35*1000</f>
        <v>69420244.147098422</v>
      </c>
      <c r="AY4" s="22">
        <f>DriversCGE!Z35*1000</f>
        <v>69940438.284968704</v>
      </c>
      <c r="AZ4" s="22">
        <f>DriversCGE!AA35*1000</f>
        <v>70447562.472153157</v>
      </c>
      <c r="BA4" s="22">
        <f>DriversCGE!AB35*1000</f>
        <v>70942722.252264574</v>
      </c>
      <c r="BB4" s="22">
        <f>DriversCGE!AC35*1000</f>
        <v>71425610.993241414</v>
      </c>
      <c r="BC4" s="22">
        <f>DriversCGE!AD35*1000</f>
        <v>71895928.013305992</v>
      </c>
      <c r="BD4" s="22">
        <f>DriversCGE!AE35*1000</f>
        <v>72353378.891150236</v>
      </c>
      <c r="BE4" s="22">
        <f>DriversCGE!AF35*1000</f>
        <v>72797675.7714203</v>
      </c>
      <c r="BF4" s="22">
        <f>DriversCGE!AG35*1000</f>
        <v>73228597.899236783</v>
      </c>
      <c r="BG4" s="22">
        <f>DriversCGE!AH35*1000</f>
        <v>73645872.502840072</v>
      </c>
      <c r="BH4" s="22">
        <f>DriversCGE!AI35*1000</f>
        <v>74049234.19207181</v>
      </c>
      <c r="BI4" s="22">
        <f>DriversCGE!AJ35*1000</f>
        <v>74438425.238522783</v>
      </c>
      <c r="BJ4" s="22">
        <f>DriversCGE!AK35*1000</f>
        <v>74813195.848926663</v>
      </c>
      <c r="BK4" s="22">
        <f>DriversCGE!AL35*1000</f>
        <v>75173102.421925724</v>
      </c>
      <c r="BL4" s="22">
        <f>DriversCGE!AM35*1000</f>
        <v>75517908.954390198</v>
      </c>
    </row>
    <row r="5" spans="1:68" x14ac:dyDescent="0.25">
      <c r="A5" t="s">
        <v>809</v>
      </c>
      <c r="B5" t="s">
        <v>747</v>
      </c>
      <c r="C5" t="s">
        <v>810</v>
      </c>
      <c r="D5" s="21">
        <f t="shared" ref="D5:Y5" si="0">E5/(1+E7)</f>
        <v>1393.2673423568965</v>
      </c>
      <c r="E5" s="21">
        <f t="shared" si="0"/>
        <v>1435.0653626276035</v>
      </c>
      <c r="F5" s="21">
        <f t="shared" si="0"/>
        <v>1478.1173235064316</v>
      </c>
      <c r="G5" s="21">
        <f t="shared" si="0"/>
        <v>1522.4608432116247</v>
      </c>
      <c r="H5" s="21">
        <f t="shared" si="0"/>
        <v>1568.1346685079734</v>
      </c>
      <c r="I5" s="21">
        <f t="shared" si="0"/>
        <v>1615.1787085632127</v>
      </c>
      <c r="J5" s="21">
        <f t="shared" si="0"/>
        <v>1683.0162143228677</v>
      </c>
      <c r="K5" s="21">
        <f t="shared" si="0"/>
        <v>1726.7746358952622</v>
      </c>
      <c r="L5" s="21">
        <f t="shared" si="0"/>
        <v>1738.8620583465288</v>
      </c>
      <c r="M5" s="21">
        <f t="shared" si="0"/>
        <v>1785.8113339218849</v>
      </c>
      <c r="N5" s="21">
        <f t="shared" si="0"/>
        <v>1864.3870326144479</v>
      </c>
      <c r="O5" s="21">
        <f t="shared" si="0"/>
        <v>1918.4542565602667</v>
      </c>
      <c r="P5" s="21">
        <f t="shared" si="0"/>
        <v>1991.3635813018072</v>
      </c>
      <c r="Q5" s="21">
        <f t="shared" si="0"/>
        <v>2050.735481464294</v>
      </c>
      <c r="R5" s="21">
        <f t="shared" si="0"/>
        <v>2142.9709481645409</v>
      </c>
      <c r="S5" s="21">
        <f t="shared" si="0"/>
        <v>2256.8147670787025</v>
      </c>
      <c r="T5" s="21">
        <f t="shared" si="0"/>
        <v>2381.5302679041542</v>
      </c>
      <c r="U5" s="21">
        <f t="shared" si="0"/>
        <v>2514.5551394830222</v>
      </c>
      <c r="V5" s="21">
        <f t="shared" si="0"/>
        <v>2609.150312200285</v>
      </c>
      <c r="W5" s="21">
        <f t="shared" si="0"/>
        <v>2574.1286673664677</v>
      </c>
      <c r="X5" s="21">
        <f t="shared" si="0"/>
        <v>2653.4042504072081</v>
      </c>
      <c r="Y5" s="21">
        <f t="shared" si="0"/>
        <v>2744.4554467496027</v>
      </c>
      <c r="Z5" s="22">
        <f>SUM(DriversCGE!B8:B25)</f>
        <v>2811.3855087822149</v>
      </c>
      <c r="AA5" s="22">
        <f>SUM(DriversCGE!C8:C25)</f>
        <v>2884.688300695841</v>
      </c>
      <c r="AB5" s="22">
        <f>SUM(DriversCGE!D8:D25)</f>
        <v>2937.1511628455073</v>
      </c>
      <c r="AC5" s="22">
        <f>SUM(DriversCGE!E8:E25)</f>
        <v>2972.3687827492499</v>
      </c>
      <c r="AD5" s="22">
        <f>SUM(DriversCGE!F8:F25)</f>
        <v>2996.2695865368005</v>
      </c>
      <c r="AE5" s="22">
        <f>SUM(DriversCGE!G8:G25)</f>
        <v>3028.4024554203229</v>
      </c>
      <c r="AF5" s="22">
        <f>SUM(DriversCGE!H8:H25)</f>
        <v>3065.535469768959</v>
      </c>
      <c r="AG5" s="22">
        <f>SUM(DriversCGE!I8:I25)</f>
        <v>3101.5342202635034</v>
      </c>
      <c r="AH5" s="22">
        <f>SUM(DriversCGE!J8:J25)</f>
        <v>2867.8470944437254</v>
      </c>
      <c r="AI5" s="22">
        <f>SUM(DriversCGE!K8:K25)</f>
        <v>2931.7760712775198</v>
      </c>
      <c r="AJ5" s="22">
        <f>SUM(DriversCGE!L8:L25)</f>
        <v>2996.2019208704673</v>
      </c>
      <c r="AK5" s="22">
        <f>SUM(DriversCGE!M8:M25)</f>
        <v>3066.7801407431425</v>
      </c>
      <c r="AL5" s="22">
        <f>SUM(DriversCGE!N8:N25)</f>
        <v>3141.678900758016</v>
      </c>
      <c r="AM5" s="22">
        <f>SUM(DriversCGE!O8:O25)</f>
        <v>3215.8282755219175</v>
      </c>
      <c r="AN5" s="22">
        <f>SUM(DriversCGE!P8:P25)</f>
        <v>3300.1578984645098</v>
      </c>
      <c r="AO5" s="22">
        <f>SUM(DriversCGE!Q8:Q25)</f>
        <v>3387.4256218858077</v>
      </c>
      <c r="AP5" s="22">
        <f>SUM(DriversCGE!R8:R25)</f>
        <v>3479.1508203240919</v>
      </c>
      <c r="AQ5" s="22">
        <f>SUM(DriversCGE!S8:S25)</f>
        <v>3573.7523496426888</v>
      </c>
      <c r="AR5" s="22">
        <f>SUM(DriversCGE!T8:T25)</f>
        <v>3654.9734213873653</v>
      </c>
      <c r="AS5" s="22">
        <f>SUM(DriversCGE!U8:U25)</f>
        <v>3755.4950314311673</v>
      </c>
      <c r="AT5" s="22">
        <f>SUM(DriversCGE!V8:V25)</f>
        <v>3858.1440257412914</v>
      </c>
      <c r="AU5" s="22">
        <f>SUM(DriversCGE!W8:W25)</f>
        <v>3963.5397413620021</v>
      </c>
      <c r="AV5" s="22">
        <f>SUM(DriversCGE!X8:X25)</f>
        <v>4065.0584691060899</v>
      </c>
      <c r="AW5" s="22">
        <f>SUM(DriversCGE!Y8:Y25)</f>
        <v>4172.0108126780242</v>
      </c>
      <c r="AX5" s="22">
        <f>SUM(DriversCGE!Z8:Z25)</f>
        <v>4284.5623253788708</v>
      </c>
      <c r="AY5" s="22">
        <f>SUM(DriversCGE!AA8:AA25)</f>
        <v>4400.9352454237314</v>
      </c>
      <c r="AZ5" s="22">
        <f>SUM(DriversCGE!AB8:AB25)</f>
        <v>4516.2617741073618</v>
      </c>
      <c r="BA5" s="22">
        <f>SUM(DriversCGE!AC8:AC25)</f>
        <v>4635.4684221659136</v>
      </c>
      <c r="BB5" s="22">
        <f>SUM(DriversCGE!AD8:AD25)</f>
        <v>4761.5717357085377</v>
      </c>
      <c r="BC5" s="22">
        <f>SUM(DriversCGE!AE8:AE25)</f>
        <v>4893.2284046743898</v>
      </c>
      <c r="BD5" s="22">
        <f>SUM(DriversCGE!AF8:AF25)</f>
        <v>5030.0357084147518</v>
      </c>
      <c r="BE5" s="22">
        <f>SUM(DriversCGE!AG8:AG25)</f>
        <v>5172.2324807454788</v>
      </c>
      <c r="BF5" s="22">
        <f>SUM(DriversCGE!AH8:AH25)</f>
        <v>5319.8906955760103</v>
      </c>
      <c r="BG5" s="22">
        <f>SUM(DriversCGE!AI8:AI25)</f>
        <v>5474.2652869465383</v>
      </c>
      <c r="BH5" s="22">
        <f>SUM(DriversCGE!AJ8:AJ25)</f>
        <v>5620.4284939355166</v>
      </c>
      <c r="BI5" s="22">
        <f>SUM(DriversCGE!AK8:AK25)</f>
        <v>5772.6991213990168</v>
      </c>
      <c r="BJ5" s="22">
        <f>SUM(DriversCGE!AL8:AL25)</f>
        <v>5932.2617548550643</v>
      </c>
      <c r="BK5" s="22">
        <f>SUM(DriversCGE!AM8:AM25)</f>
        <v>6099.7690318624</v>
      </c>
      <c r="BL5" s="22">
        <f>SUM(DriversCGE!AN8:AN25)</f>
        <v>6278.8621938400847</v>
      </c>
    </row>
    <row r="6" spans="1:68" x14ac:dyDescent="0.25">
      <c r="Z6" s="93">
        <v>2893.5650000000001</v>
      </c>
      <c r="AA6" s="93">
        <v>2965.2651000000001</v>
      </c>
      <c r="AB6" s="93">
        <v>3020.9666999999999</v>
      </c>
      <c r="AC6" s="93">
        <v>3059.4472000000001</v>
      </c>
      <c r="AD6" s="93">
        <v>3083.9180999999999</v>
      </c>
      <c r="AE6" s="93">
        <v>3120.5392000000002</v>
      </c>
      <c r="AF6" s="93">
        <v>3152.2314999999999</v>
      </c>
      <c r="AG6" s="93">
        <v>3179.2959999999998</v>
      </c>
      <c r="AH6" s="93">
        <v>2948.9344000000001</v>
      </c>
      <c r="AI6" s="93">
        <v>3014.3775000000001</v>
      </c>
      <c r="AJ6" s="93">
        <v>3077.2037999999998</v>
      </c>
      <c r="AK6" s="93">
        <v>3140.6174999999998</v>
      </c>
      <c r="AL6" s="93">
        <v>3201.7784999999999</v>
      </c>
      <c r="AM6" s="93">
        <v>3265.5524</v>
      </c>
      <c r="AN6" s="93">
        <v>3341.2748999999999</v>
      </c>
      <c r="AO6" s="93">
        <v>3416.3045999999999</v>
      </c>
      <c r="AP6" s="93">
        <v>3494.8710999999998</v>
      </c>
      <c r="AQ6" s="93">
        <v>3576.0637999999999</v>
      </c>
      <c r="AR6" s="93">
        <v>3660.1224000000002</v>
      </c>
      <c r="AS6" s="93">
        <v>3761.0109000000002</v>
      </c>
      <c r="AT6" s="93">
        <v>3857.1878000000002</v>
      </c>
      <c r="AU6" s="93">
        <v>3963.9917</v>
      </c>
      <c r="AV6" s="93">
        <v>4078.2248</v>
      </c>
      <c r="AW6" s="93">
        <v>4200.2892000000002</v>
      </c>
      <c r="AX6" s="93">
        <v>4325.9525000000003</v>
      </c>
      <c r="AY6" s="93">
        <v>4457.0024000000003</v>
      </c>
      <c r="AZ6" s="93">
        <v>4590.0533999999998</v>
      </c>
      <c r="BA6" s="93">
        <v>4728.5418</v>
      </c>
      <c r="BB6" s="93">
        <v>4875.5102999999999</v>
      </c>
      <c r="BC6" s="93">
        <v>5028.5456999999997</v>
      </c>
      <c r="BD6" s="93">
        <v>5188.0910000000003</v>
      </c>
      <c r="BE6" s="93">
        <v>5353.7750999999998</v>
      </c>
      <c r="BF6" s="93">
        <v>5526.5140000000001</v>
      </c>
      <c r="BG6" s="93">
        <v>5709.9394000000002</v>
      </c>
      <c r="BH6" s="93">
        <v>5902.4267</v>
      </c>
      <c r="BI6" s="93">
        <v>6104.1282000000001</v>
      </c>
      <c r="BJ6" s="93">
        <v>6308.1403</v>
      </c>
      <c r="BK6" s="93">
        <v>6522.2016999999996</v>
      </c>
      <c r="BL6" s="93">
        <v>6747.1509999999998</v>
      </c>
    </row>
    <row r="7" spans="1:68" x14ac:dyDescent="0.25">
      <c r="C7" t="s">
        <v>805</v>
      </c>
      <c r="D7" s="86">
        <v>3.0000000000000027E-2</v>
      </c>
      <c r="E7" s="86">
        <v>3.0000000000000027E-2</v>
      </c>
      <c r="F7" s="86">
        <v>3.0000000000000027E-2</v>
      </c>
      <c r="G7" s="86">
        <v>3.0000000000000027E-2</v>
      </c>
      <c r="H7" s="86">
        <v>3.0000000000000027E-2</v>
      </c>
      <c r="I7" s="86">
        <v>3.0000000000000027E-2</v>
      </c>
      <c r="J7" s="86">
        <v>4.2000000000000037E-2</v>
      </c>
      <c r="K7" s="86">
        <v>2.6000000000000023E-2</v>
      </c>
      <c r="L7" s="86">
        <v>6.9999999999998952E-3</v>
      </c>
      <c r="M7" s="86">
        <v>2.6999999999999913E-2</v>
      </c>
      <c r="N7" s="86">
        <v>4.4000000000000039E-2</v>
      </c>
      <c r="O7" s="86">
        <v>2.8999999999999915E-2</v>
      </c>
      <c r="P7" s="86">
        <v>3.8004202858745728E-2</v>
      </c>
      <c r="Q7" s="86">
        <v>2.9814696181032829E-2</v>
      </c>
      <c r="R7" s="86">
        <v>4.4976774203169034E-2</v>
      </c>
      <c r="S7" s="86">
        <v>5.3124294107518955E-2</v>
      </c>
      <c r="T7" s="86">
        <v>5.5261735541941581E-2</v>
      </c>
      <c r="U7" s="86">
        <v>5.5856888896875345E-2</v>
      </c>
      <c r="V7" s="86">
        <v>3.7619048885406903E-2</v>
      </c>
      <c r="W7" s="86">
        <v>-1.3422624472824496E-2</v>
      </c>
      <c r="X7" s="86">
        <v>3.0797055347604463E-2</v>
      </c>
      <c r="Y7" s="86">
        <v>3.4314860364160982E-2</v>
      </c>
      <c r="Z7" s="86">
        <v>2.4387374228239223E-2</v>
      </c>
    </row>
  </sheetData>
  <pageMargins left="0.7" right="0.7" top="0.75" bottom="0.75" header="0.3" footer="0.3"/>
  <legacyDrawing r:id="rId1"/>
  <extLst>
    <ext xmlns:x14="http://schemas.microsoft.com/office/spreadsheetml/2009/9/main" uri="{05C60535-1F16-4fd2-B633-F4F36F0B64E0}">
      <x14:sparklineGroups xmlns:xm="http://schemas.microsoft.com/office/excel/2006/main">
        <x14:sparklineGroup displayEmptyCellsAs="gap" xr2:uid="{00000000-0003-0000-0600-000000000000}">
          <x14:colorSeries rgb="FF376092"/>
          <x14:colorNegative rgb="FFD00000"/>
          <x14:colorAxis rgb="FF000000"/>
          <x14:colorMarkers rgb="FFD00000"/>
          <x14:colorFirst rgb="FFD00000"/>
          <x14:colorLast rgb="FFD00000"/>
          <x14:colorHigh rgb="FFD00000"/>
          <x14:colorLow rgb="FFD00000"/>
          <x14:sparklines>
            <x14:sparkline>
              <xm:f>Drivers!D5:BL5</xm:f>
              <xm:sqref>BN5</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7030A0"/>
  </sheetPr>
  <dimension ref="A1:J135"/>
  <sheetViews>
    <sheetView workbookViewId="0">
      <selection activeCell="B6" sqref="B6"/>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7" width="12.85546875" customWidth="1"/>
    <col min="8" max="8" width="12.7109375" customWidth="1"/>
    <col min="9" max="9" width="11.42578125" customWidth="1"/>
    <col min="10" max="10" width="11.7109375" customWidth="1"/>
  </cols>
  <sheetData>
    <row r="1" spans="1:10" ht="18.75" x14ac:dyDescent="0.3">
      <c r="A1" s="1" t="s">
        <v>8</v>
      </c>
    </row>
    <row r="3" spans="1:10" x14ac:dyDescent="0.25">
      <c r="A3" t="s">
        <v>9</v>
      </c>
      <c r="B3" s="21">
        <v>21</v>
      </c>
    </row>
    <row r="4" spans="1:10" x14ac:dyDescent="0.25">
      <c r="A4" t="s">
        <v>10</v>
      </c>
      <c r="B4" s="21">
        <v>310</v>
      </c>
    </row>
    <row r="5" spans="1:10" x14ac:dyDescent="0.25">
      <c r="A5" t="s">
        <v>388</v>
      </c>
      <c r="B5" s="21">
        <f>44/12</f>
        <v>3.6666666666666665</v>
      </c>
    </row>
    <row r="6" spans="1:10" x14ac:dyDescent="0.25">
      <c r="A6" t="s">
        <v>794</v>
      </c>
      <c r="B6" s="21">
        <f>12/44</f>
        <v>0.27272727272727271</v>
      </c>
    </row>
    <row r="8" spans="1:10" x14ac:dyDescent="0.25">
      <c r="A8" t="s">
        <v>146</v>
      </c>
      <c r="B8" s="21">
        <f>44/28</f>
        <v>1.5714285714285714</v>
      </c>
    </row>
    <row r="9" spans="1:10" x14ac:dyDescent="0.25">
      <c r="A9" t="s">
        <v>147</v>
      </c>
      <c r="B9" s="21">
        <v>9.9999999999999995E-7</v>
      </c>
    </row>
    <row r="10" spans="1:10" x14ac:dyDescent="0.25">
      <c r="A10" t="s">
        <v>319</v>
      </c>
      <c r="B10" s="21">
        <v>1E-3</v>
      </c>
    </row>
    <row r="11" spans="1:10" x14ac:dyDescent="0.25">
      <c r="A11" t="s">
        <v>389</v>
      </c>
      <c r="B11" s="21">
        <v>1E-3</v>
      </c>
    </row>
    <row r="12" spans="1:10" x14ac:dyDescent="0.25">
      <c r="A12" t="s">
        <v>418</v>
      </c>
      <c r="B12" s="21">
        <v>1000</v>
      </c>
    </row>
    <row r="13" spans="1:10" x14ac:dyDescent="0.25">
      <c r="A13" t="s">
        <v>795</v>
      </c>
      <c r="B13" s="21">
        <v>1000</v>
      </c>
    </row>
    <row r="16" spans="1:10" s="19" customFormat="1" ht="29.25" customHeight="1" x14ac:dyDescent="0.25">
      <c r="A16" s="17" t="s">
        <v>4</v>
      </c>
      <c r="B16" s="17" t="s">
        <v>313</v>
      </c>
      <c r="C16" s="17" t="s">
        <v>315</v>
      </c>
      <c r="D16" s="17" t="s">
        <v>149</v>
      </c>
      <c r="E16" s="17" t="s">
        <v>150</v>
      </c>
      <c r="F16" s="17" t="s">
        <v>0</v>
      </c>
      <c r="G16" s="17" t="s">
        <v>283</v>
      </c>
      <c r="H16" s="17" t="s">
        <v>717</v>
      </c>
      <c r="I16" s="17" t="s">
        <v>717</v>
      </c>
      <c r="J16" s="17" t="s">
        <v>717</v>
      </c>
    </row>
    <row r="17" spans="1:10" ht="18.75" customHeight="1" x14ac:dyDescent="0.25">
      <c r="A17" s="20" t="s">
        <v>1</v>
      </c>
      <c r="B17" s="20"/>
      <c r="C17" s="20"/>
      <c r="D17" s="15"/>
      <c r="E17" s="15"/>
      <c r="F17" s="15"/>
      <c r="G17" s="15"/>
      <c r="H17" s="15"/>
      <c r="I17" s="15"/>
      <c r="J17" s="15"/>
    </row>
    <row r="18" spans="1:10" x14ac:dyDescent="0.25">
      <c r="A18" s="23" t="str">
        <f>'IPCC Categories'!A5</f>
        <v>3A Livestock</v>
      </c>
      <c r="B18" s="23"/>
      <c r="C18" s="23" t="str">
        <f>'IPCC Categories'!$D$5</f>
        <v>3A1ai Dairy cattle</v>
      </c>
      <c r="D18" t="str">
        <f>'IPCC Categories'!$F$39</f>
        <v>TMR</v>
      </c>
      <c r="E18" t="s">
        <v>330</v>
      </c>
      <c r="F18" t="s">
        <v>327</v>
      </c>
      <c r="G18" t="s">
        <v>331</v>
      </c>
      <c r="H18" s="56">
        <v>0.35</v>
      </c>
    </row>
    <row r="19" spans="1:10" x14ac:dyDescent="0.25">
      <c r="A19" s="23" t="str">
        <f>A18</f>
        <v>3A Livestock</v>
      </c>
      <c r="B19" s="23"/>
      <c r="C19" s="23" t="str">
        <f>C18</f>
        <v>3A1ai Dairy cattle</v>
      </c>
      <c r="E19" t="s">
        <v>841</v>
      </c>
      <c r="F19" t="s">
        <v>327</v>
      </c>
      <c r="H19" s="56">
        <v>0.28999999999999998</v>
      </c>
    </row>
    <row r="20" spans="1:10" x14ac:dyDescent="0.25">
      <c r="A20" s="23" t="str">
        <f>A19</f>
        <v>3A Livestock</v>
      </c>
      <c r="B20" s="23"/>
      <c r="C20" s="23" t="str">
        <f>'IPCC Categories'!D13</f>
        <v>3A2aii Other cattle</v>
      </c>
      <c r="E20" t="s">
        <v>844</v>
      </c>
      <c r="F20" t="s">
        <v>327</v>
      </c>
      <c r="H20" s="56">
        <v>0.53</v>
      </c>
    </row>
    <row r="21" spans="1:10" s="23" customFormat="1" x14ac:dyDescent="0.25">
      <c r="A21" s="23" t="str">
        <f>A20</f>
        <v>3A Livestock</v>
      </c>
      <c r="C21" s="23" t="str">
        <f>C20</f>
        <v>3A2aii Other cattle</v>
      </c>
      <c r="E21" s="23" t="s">
        <v>908</v>
      </c>
      <c r="F21" s="23" t="s">
        <v>909</v>
      </c>
      <c r="H21" s="56">
        <v>460</v>
      </c>
    </row>
    <row r="22" spans="1:10" x14ac:dyDescent="0.25">
      <c r="A22" t="str">
        <f>A18</f>
        <v>3A Livestock</v>
      </c>
      <c r="C22" t="str">
        <f>'IPCC Categories'!C7</f>
        <v>3A1c Sheep</v>
      </c>
      <c r="E22" t="s">
        <v>833</v>
      </c>
      <c r="F22" t="s">
        <v>327</v>
      </c>
      <c r="H22" s="56">
        <v>0.87</v>
      </c>
    </row>
    <row r="23" spans="1:10" x14ac:dyDescent="0.25">
      <c r="A23" t="str">
        <f t="shared" ref="A23:A27" si="0">A22</f>
        <v>3A Livestock</v>
      </c>
      <c r="C23" t="str">
        <f>'IPCC Categories'!C8</f>
        <v>3A1d Goats</v>
      </c>
      <c r="E23" t="s">
        <v>834</v>
      </c>
      <c r="F23" t="s">
        <v>327</v>
      </c>
      <c r="H23" s="56">
        <v>0.34</v>
      </c>
    </row>
    <row r="24" spans="1:10" x14ac:dyDescent="0.25">
      <c r="A24" t="str">
        <f t="shared" si="0"/>
        <v>3A Livestock</v>
      </c>
      <c r="C24" t="str">
        <f>'IPCC Categories'!C11</f>
        <v>3A1h Swine</v>
      </c>
      <c r="E24" t="s">
        <v>835</v>
      </c>
      <c r="F24" t="s">
        <v>327</v>
      </c>
      <c r="H24" s="56">
        <v>0.88</v>
      </c>
    </row>
    <row r="25" spans="1:10" x14ac:dyDescent="0.25">
      <c r="A25" t="str">
        <f t="shared" si="0"/>
        <v>3A Livestock</v>
      </c>
      <c r="C25" t="str">
        <f>'IPCC Categories'!C19</f>
        <v>3A2i Poultry</v>
      </c>
      <c r="E25" t="s">
        <v>837</v>
      </c>
      <c r="F25" t="s">
        <v>327</v>
      </c>
      <c r="H25" s="56">
        <v>0.96</v>
      </c>
    </row>
    <row r="26" spans="1:10" x14ac:dyDescent="0.25">
      <c r="A26" t="str">
        <f t="shared" si="0"/>
        <v>3A Livestock</v>
      </c>
      <c r="C26" t="str">
        <f>C25</f>
        <v>3A2i Poultry</v>
      </c>
      <c r="E26" t="s">
        <v>839</v>
      </c>
      <c r="F26" t="s">
        <v>327</v>
      </c>
      <c r="H26" s="56">
        <v>0.96</v>
      </c>
    </row>
    <row r="27" spans="1:10" x14ac:dyDescent="0.25">
      <c r="A27" t="str">
        <f t="shared" si="0"/>
        <v>3A Livestock</v>
      </c>
      <c r="C27" t="str">
        <f>C23</f>
        <v>3A1d Goats</v>
      </c>
      <c r="E27" t="s">
        <v>342</v>
      </c>
      <c r="F27" t="s">
        <v>327</v>
      </c>
      <c r="G27" t="s">
        <v>343</v>
      </c>
      <c r="H27" s="56">
        <v>0.06</v>
      </c>
    </row>
    <row r="28" spans="1:10" ht="18.75" customHeight="1" x14ac:dyDescent="0.25">
      <c r="A28" s="20" t="s">
        <v>629</v>
      </c>
      <c r="B28" s="20"/>
      <c r="C28" s="20"/>
      <c r="D28" s="15"/>
      <c r="E28" s="15"/>
      <c r="F28" s="15"/>
      <c r="G28" s="15"/>
      <c r="H28" s="15"/>
      <c r="I28" s="15"/>
      <c r="J28" s="15"/>
    </row>
    <row r="29" spans="1:10" x14ac:dyDescent="0.25">
      <c r="A29" t="str">
        <f>A41</f>
        <v>3C Aggregated and non-CO2 emissions on land</v>
      </c>
      <c r="B29" t="str">
        <f>B41</f>
        <v>3C4 Direct N2O from managed soils (N2O)</v>
      </c>
      <c r="C29" t="str">
        <f>'IPCC Categories'!B73</f>
        <v>3C4 Direct N2O from managed soils (N2O)</v>
      </c>
      <c r="E29" t="s">
        <v>852</v>
      </c>
      <c r="H29" s="56">
        <v>1.5</v>
      </c>
    </row>
    <row r="30" spans="1:10" x14ac:dyDescent="0.25">
      <c r="A30" t="str">
        <f>A29</f>
        <v>3C Aggregated and non-CO2 emissions on land</v>
      </c>
      <c r="B30" t="str">
        <f>B29</f>
        <v>3C4 Direct N2O from managed soils (N2O)</v>
      </c>
      <c r="C30" t="str">
        <f>C29</f>
        <v>3C4 Direct N2O from managed soils (N2O)</v>
      </c>
      <c r="E30" t="s">
        <v>853</v>
      </c>
      <c r="H30" s="56">
        <v>5.5</v>
      </c>
    </row>
    <row r="31" spans="1:10" x14ac:dyDescent="0.25">
      <c r="A31" t="str">
        <f t="shared" ref="A31:A34" si="1">A30</f>
        <v>3C Aggregated and non-CO2 emissions on land</v>
      </c>
      <c r="B31" t="str">
        <f t="shared" ref="B31:B34" si="2">B30</f>
        <v>3C4 Direct N2O from managed soils (N2O)</v>
      </c>
      <c r="C31" t="str">
        <f t="shared" ref="C31:C34" si="3">C30</f>
        <v>3C4 Direct N2O from managed soils (N2O)</v>
      </c>
      <c r="E31" t="s">
        <v>854</v>
      </c>
      <c r="H31" s="56">
        <v>5.5</v>
      </c>
    </row>
    <row r="32" spans="1:10" x14ac:dyDescent="0.25">
      <c r="A32" t="str">
        <f t="shared" si="1"/>
        <v>3C Aggregated and non-CO2 emissions on land</v>
      </c>
      <c r="B32" t="str">
        <f t="shared" si="2"/>
        <v>3C4 Direct N2O from managed soils (N2O)</v>
      </c>
      <c r="C32" t="str">
        <f t="shared" si="3"/>
        <v>3C4 Direct N2O from managed soils (N2O)</v>
      </c>
      <c r="E32" t="s">
        <v>855</v>
      </c>
      <c r="H32" s="56">
        <v>2</v>
      </c>
    </row>
    <row r="33" spans="1:8" x14ac:dyDescent="0.25">
      <c r="A33" t="str">
        <f t="shared" si="1"/>
        <v>3C Aggregated and non-CO2 emissions on land</v>
      </c>
      <c r="B33" t="str">
        <f t="shared" si="2"/>
        <v>3C4 Direct N2O from managed soils (N2O)</v>
      </c>
      <c r="C33" t="str">
        <f t="shared" si="3"/>
        <v>3C4 Direct N2O from managed soils (N2O)</v>
      </c>
      <c r="E33" t="s">
        <v>856</v>
      </c>
      <c r="H33" s="56">
        <v>2</v>
      </c>
    </row>
    <row r="34" spans="1:8" x14ac:dyDescent="0.25">
      <c r="A34" t="str">
        <f t="shared" si="1"/>
        <v>3C Aggregated and non-CO2 emissions on land</v>
      </c>
      <c r="B34" t="str">
        <f t="shared" si="2"/>
        <v>3C4 Direct N2O from managed soils (N2O)</v>
      </c>
      <c r="C34" t="str">
        <f t="shared" si="3"/>
        <v>3C4 Direct N2O from managed soils (N2O)</v>
      </c>
      <c r="E34" t="s">
        <v>857</v>
      </c>
      <c r="H34" s="56">
        <v>1.6</v>
      </c>
    </row>
    <row r="35" spans="1:8" x14ac:dyDescent="0.25">
      <c r="A35" t="str">
        <f>A68</f>
        <v>3C Aggregated and non-CO2 emissions on land</v>
      </c>
      <c r="B35" t="str">
        <f>B68</f>
        <v>3C4 Direct N2O from managed soils (N2O)</v>
      </c>
      <c r="C35" t="str">
        <f>C34</f>
        <v>3C4 Direct N2O from managed soils (N2O)</v>
      </c>
      <c r="E35" t="s">
        <v>864</v>
      </c>
      <c r="F35" t="s">
        <v>327</v>
      </c>
      <c r="H35" s="56">
        <v>0.6</v>
      </c>
    </row>
    <row r="36" spans="1:8" x14ac:dyDescent="0.25">
      <c r="A36" t="str">
        <f>A35</f>
        <v>3C Aggregated and non-CO2 emissions on land</v>
      </c>
      <c r="B36" t="str">
        <f>B35</f>
        <v>3C4 Direct N2O from managed soils (N2O)</v>
      </c>
      <c r="C36" t="str">
        <f>C35</f>
        <v>3C4 Direct N2O from managed soils (N2O)</v>
      </c>
      <c r="E36" t="s">
        <v>865</v>
      </c>
      <c r="F36" t="s">
        <v>327</v>
      </c>
      <c r="H36" s="56">
        <v>0.7</v>
      </c>
    </row>
    <row r="37" spans="1:8" x14ac:dyDescent="0.25">
      <c r="A37" t="str">
        <f t="shared" ref="A37:A40" si="4">A36</f>
        <v>3C Aggregated and non-CO2 emissions on land</v>
      </c>
      <c r="B37" t="str">
        <f t="shared" ref="B37:B40" si="5">B36</f>
        <v>3C4 Direct N2O from managed soils (N2O)</v>
      </c>
      <c r="C37" t="str">
        <f t="shared" ref="C37:C40" si="6">C36</f>
        <v>3C4 Direct N2O from managed soils (N2O)</v>
      </c>
      <c r="E37" t="s">
        <v>866</v>
      </c>
      <c r="F37" t="s">
        <v>327</v>
      </c>
      <c r="H37" s="56">
        <v>0.7</v>
      </c>
    </row>
    <row r="38" spans="1:8" x14ac:dyDescent="0.25">
      <c r="A38" t="str">
        <f t="shared" si="4"/>
        <v>3C Aggregated and non-CO2 emissions on land</v>
      </c>
      <c r="B38" t="str">
        <f t="shared" si="5"/>
        <v>3C4 Direct N2O from managed soils (N2O)</v>
      </c>
      <c r="C38" t="str">
        <f t="shared" si="6"/>
        <v>3C4 Direct N2O from managed soils (N2O)</v>
      </c>
      <c r="E38" t="s">
        <v>867</v>
      </c>
      <c r="F38" t="s">
        <v>327</v>
      </c>
      <c r="H38" s="56">
        <v>0.25</v>
      </c>
    </row>
    <row r="39" spans="1:8" x14ac:dyDescent="0.25">
      <c r="A39" t="str">
        <f t="shared" si="4"/>
        <v>3C Aggregated and non-CO2 emissions on land</v>
      </c>
      <c r="B39" t="str">
        <f t="shared" si="5"/>
        <v>3C4 Direct N2O from managed soils (N2O)</v>
      </c>
      <c r="C39" t="str">
        <f t="shared" si="6"/>
        <v>3C4 Direct N2O from managed soils (N2O)</v>
      </c>
      <c r="E39" t="s">
        <v>868</v>
      </c>
      <c r="F39" t="s">
        <v>327</v>
      </c>
      <c r="H39" s="56">
        <v>0.6</v>
      </c>
    </row>
    <row r="40" spans="1:8" x14ac:dyDescent="0.25">
      <c r="A40" t="str">
        <f t="shared" si="4"/>
        <v>3C Aggregated and non-CO2 emissions on land</v>
      </c>
      <c r="B40" t="str">
        <f t="shared" si="5"/>
        <v>3C4 Direct N2O from managed soils (N2O)</v>
      </c>
      <c r="C40" t="str">
        <f t="shared" si="6"/>
        <v>3C4 Direct N2O from managed soils (N2O)</v>
      </c>
      <c r="E40" t="s">
        <v>869</v>
      </c>
      <c r="F40" t="s">
        <v>327</v>
      </c>
      <c r="H40" s="56">
        <v>0.65</v>
      </c>
    </row>
    <row r="41" spans="1:8" x14ac:dyDescent="0.25">
      <c r="A41" t="str">
        <f>'IPCC Categories'!A59</f>
        <v>3C Aggregated and non-CO2 emissions on land</v>
      </c>
      <c r="B41" t="str">
        <f>'IPCC Categories'!B73</f>
        <v>3C4 Direct N2O from managed soils (N2O)</v>
      </c>
      <c r="C41" t="str">
        <f>'IPCC Categories'!C75</f>
        <v>Crop residues</v>
      </c>
      <c r="E41" t="s">
        <v>445</v>
      </c>
      <c r="F41" t="s">
        <v>377</v>
      </c>
      <c r="H41" s="56">
        <v>0.6</v>
      </c>
    </row>
    <row r="42" spans="1:8" x14ac:dyDescent="0.25">
      <c r="A42" t="str">
        <f>A41</f>
        <v>3C Aggregated and non-CO2 emissions on land</v>
      </c>
      <c r="B42" t="str">
        <f t="shared" ref="B42:C53" si="7">B41</f>
        <v>3C4 Direct N2O from managed soils (N2O)</v>
      </c>
      <c r="C42" t="str">
        <f t="shared" si="7"/>
        <v>Crop residues</v>
      </c>
      <c r="E42" t="s">
        <v>910</v>
      </c>
      <c r="F42" t="s">
        <v>377</v>
      </c>
      <c r="H42" s="56">
        <v>0.48</v>
      </c>
    </row>
    <row r="43" spans="1:8" x14ac:dyDescent="0.25">
      <c r="A43" t="str">
        <f t="shared" ref="A43:A53" si="8">A42</f>
        <v>3C Aggregated and non-CO2 emissions on land</v>
      </c>
      <c r="B43" t="str">
        <f t="shared" si="7"/>
        <v>3C4 Direct N2O from managed soils (N2O)</v>
      </c>
      <c r="C43" t="str">
        <f t="shared" si="7"/>
        <v>Crop residues</v>
      </c>
      <c r="E43" t="s">
        <v>911</v>
      </c>
      <c r="F43" t="s">
        <v>377</v>
      </c>
      <c r="H43" s="56">
        <v>0.12</v>
      </c>
    </row>
    <row r="44" spans="1:8" x14ac:dyDescent="0.25">
      <c r="A44" t="str">
        <f t="shared" si="8"/>
        <v>3C Aggregated and non-CO2 emissions on land</v>
      </c>
      <c r="B44" t="str">
        <f t="shared" si="7"/>
        <v>3C4 Direct N2O from managed soils (N2O)</v>
      </c>
      <c r="C44" t="str">
        <f t="shared" si="7"/>
        <v>Crop residues</v>
      </c>
      <c r="E44" t="s">
        <v>912</v>
      </c>
      <c r="F44" t="s">
        <v>377</v>
      </c>
      <c r="H44" s="56">
        <v>0.48</v>
      </c>
    </row>
    <row r="45" spans="1:8" x14ac:dyDescent="0.25">
      <c r="A45" t="str">
        <f t="shared" si="8"/>
        <v>3C Aggregated and non-CO2 emissions on land</v>
      </c>
      <c r="B45" t="str">
        <f t="shared" si="7"/>
        <v>3C4 Direct N2O from managed soils (N2O)</v>
      </c>
      <c r="C45" t="str">
        <f t="shared" si="7"/>
        <v>Crop residues</v>
      </c>
      <c r="E45" t="s">
        <v>913</v>
      </c>
      <c r="F45" t="s">
        <v>365</v>
      </c>
      <c r="H45" s="56">
        <v>4.2</v>
      </c>
    </row>
    <row r="46" spans="1:8" x14ac:dyDescent="0.25">
      <c r="A46" t="str">
        <f t="shared" si="8"/>
        <v>3C Aggregated and non-CO2 emissions on land</v>
      </c>
      <c r="B46" t="str">
        <f t="shared" si="7"/>
        <v>3C4 Direct N2O from managed soils (N2O)</v>
      </c>
      <c r="C46" t="str">
        <f t="shared" si="7"/>
        <v>Crop residues</v>
      </c>
      <c r="E46" t="s">
        <v>914</v>
      </c>
      <c r="F46" t="s">
        <v>365</v>
      </c>
      <c r="H46" s="56">
        <v>2.8</v>
      </c>
    </row>
    <row r="47" spans="1:8" x14ac:dyDescent="0.25">
      <c r="A47" t="str">
        <f t="shared" si="8"/>
        <v>3C Aggregated and non-CO2 emissions on land</v>
      </c>
      <c r="B47" t="str">
        <f t="shared" si="7"/>
        <v>3C4 Direct N2O from managed soils (N2O)</v>
      </c>
      <c r="C47" t="str">
        <f t="shared" si="7"/>
        <v>Crop residues</v>
      </c>
      <c r="E47" t="s">
        <v>915</v>
      </c>
      <c r="F47" t="s">
        <v>365</v>
      </c>
      <c r="H47" s="56">
        <v>3.7</v>
      </c>
    </row>
    <row r="48" spans="1:8" x14ac:dyDescent="0.25">
      <c r="A48" t="str">
        <f t="shared" si="8"/>
        <v>3C Aggregated and non-CO2 emissions on land</v>
      </c>
      <c r="B48" t="str">
        <f t="shared" si="7"/>
        <v>3C4 Direct N2O from managed soils (N2O)</v>
      </c>
      <c r="C48" t="str">
        <f t="shared" si="7"/>
        <v>Crop residues</v>
      </c>
      <c r="E48" t="s">
        <v>916</v>
      </c>
      <c r="H48" s="56">
        <v>1.5</v>
      </c>
    </row>
    <row r="49" spans="1:8" x14ac:dyDescent="0.25">
      <c r="A49" t="str">
        <f t="shared" si="8"/>
        <v>3C Aggregated and non-CO2 emissions on land</v>
      </c>
      <c r="B49" t="str">
        <f t="shared" si="7"/>
        <v>3C4 Direct N2O from managed soils (N2O)</v>
      </c>
      <c r="C49" t="str">
        <f t="shared" si="7"/>
        <v>Crop residues</v>
      </c>
      <c r="E49" t="s">
        <v>917</v>
      </c>
      <c r="H49" s="56">
        <v>1.4</v>
      </c>
    </row>
    <row r="50" spans="1:8" x14ac:dyDescent="0.25">
      <c r="A50" t="str">
        <f t="shared" si="8"/>
        <v>3C Aggregated and non-CO2 emissions on land</v>
      </c>
      <c r="B50" t="str">
        <f t="shared" si="7"/>
        <v>3C4 Direct N2O from managed soils (N2O)</v>
      </c>
      <c r="C50" t="str">
        <f t="shared" si="7"/>
        <v>Crop residues</v>
      </c>
      <c r="E50" t="s">
        <v>918</v>
      </c>
      <c r="H50" s="56">
        <v>1.3</v>
      </c>
    </row>
    <row r="51" spans="1:8" x14ac:dyDescent="0.25">
      <c r="A51" t="str">
        <f t="shared" si="8"/>
        <v>3C Aggregated and non-CO2 emissions on land</v>
      </c>
      <c r="B51" t="str">
        <f t="shared" si="7"/>
        <v>3C4 Direct N2O from managed soils (N2O)</v>
      </c>
      <c r="C51" t="str">
        <f t="shared" si="7"/>
        <v>Crop residues</v>
      </c>
      <c r="E51" t="s">
        <v>919</v>
      </c>
      <c r="H51" s="56">
        <v>0.45</v>
      </c>
    </row>
    <row r="52" spans="1:8" x14ac:dyDescent="0.25">
      <c r="A52" t="str">
        <f t="shared" si="8"/>
        <v>3C Aggregated and non-CO2 emissions on land</v>
      </c>
      <c r="B52" t="str">
        <f t="shared" si="7"/>
        <v>3C4 Direct N2O from managed soils (N2O)</v>
      </c>
      <c r="C52" t="str">
        <f t="shared" si="7"/>
        <v>Crop residues</v>
      </c>
      <c r="E52" t="s">
        <v>920</v>
      </c>
      <c r="H52" s="56">
        <v>0</v>
      </c>
    </row>
    <row r="53" spans="1:8" x14ac:dyDescent="0.25">
      <c r="A53" t="str">
        <f t="shared" si="8"/>
        <v>3C Aggregated and non-CO2 emissions on land</v>
      </c>
      <c r="B53" t="str">
        <f t="shared" si="7"/>
        <v>3C4 Direct N2O from managed soils (N2O)</v>
      </c>
      <c r="C53" t="str">
        <f t="shared" si="7"/>
        <v>Crop residues</v>
      </c>
      <c r="E53" t="s">
        <v>921</v>
      </c>
      <c r="H53" s="56">
        <v>0.6</v>
      </c>
    </row>
    <row r="54" spans="1:8" x14ac:dyDescent="0.25">
      <c r="A54" t="str">
        <f>A47</f>
        <v>3C Aggregated and non-CO2 emissions on land</v>
      </c>
      <c r="B54" t="str">
        <f>B47</f>
        <v>3C4 Direct N2O from managed soils (N2O)</v>
      </c>
      <c r="C54" t="str">
        <f>C47</f>
        <v>Crop residues</v>
      </c>
      <c r="E54" t="s">
        <v>922</v>
      </c>
      <c r="F54" t="s">
        <v>327</v>
      </c>
      <c r="H54" s="56">
        <v>0.87</v>
      </c>
    </row>
    <row r="55" spans="1:8" x14ac:dyDescent="0.25">
      <c r="A55" t="str">
        <f t="shared" ref="A55:C58" si="9">A54</f>
        <v>3C Aggregated and non-CO2 emissions on land</v>
      </c>
      <c r="B55" t="str">
        <f t="shared" si="9"/>
        <v>3C4 Direct N2O from managed soils (N2O)</v>
      </c>
      <c r="C55" t="str">
        <f t="shared" si="9"/>
        <v>Crop residues</v>
      </c>
      <c r="E55" t="s">
        <v>923</v>
      </c>
      <c r="F55" t="s">
        <v>327</v>
      </c>
      <c r="H55" s="56">
        <v>0.89</v>
      </c>
    </row>
    <row r="56" spans="1:8" x14ac:dyDescent="0.25">
      <c r="A56" t="str">
        <f t="shared" si="9"/>
        <v>3C Aggregated and non-CO2 emissions on land</v>
      </c>
      <c r="B56" t="str">
        <f t="shared" si="9"/>
        <v>3C4 Direct N2O from managed soils (N2O)</v>
      </c>
      <c r="C56" t="str">
        <f t="shared" si="9"/>
        <v>Crop residues</v>
      </c>
      <c r="E56" t="s">
        <v>924</v>
      </c>
      <c r="F56" t="s">
        <v>327</v>
      </c>
      <c r="H56" s="56">
        <v>0.89</v>
      </c>
    </row>
    <row r="57" spans="1:8" x14ac:dyDescent="0.25">
      <c r="A57" t="str">
        <f>A56</f>
        <v>3C Aggregated and non-CO2 emissions on land</v>
      </c>
      <c r="B57" t="str">
        <f>B56</f>
        <v>3C4 Direct N2O from managed soils (N2O)</v>
      </c>
      <c r="C57" t="str">
        <f>C56</f>
        <v>Crop residues</v>
      </c>
      <c r="E57" t="s">
        <v>925</v>
      </c>
      <c r="F57" t="s">
        <v>327</v>
      </c>
      <c r="H57" s="56">
        <v>0.5</v>
      </c>
    </row>
    <row r="58" spans="1:8" x14ac:dyDescent="0.25">
      <c r="A58" t="str">
        <f t="shared" si="9"/>
        <v>3C Aggregated and non-CO2 emissions on land</v>
      </c>
      <c r="B58" t="str">
        <f t="shared" si="9"/>
        <v>3C4 Direct N2O from managed soils (N2O)</v>
      </c>
      <c r="C58" t="str">
        <f t="shared" si="9"/>
        <v>Crop residues</v>
      </c>
      <c r="E58" t="s">
        <v>926</v>
      </c>
      <c r="F58" t="s">
        <v>284</v>
      </c>
      <c r="H58" s="56">
        <v>1.4999999999999999E-2</v>
      </c>
    </row>
    <row r="59" spans="1:8" x14ac:dyDescent="0.25">
      <c r="A59" t="str">
        <f>A41</f>
        <v>3C Aggregated and non-CO2 emissions on land</v>
      </c>
      <c r="B59" t="str">
        <f>B41</f>
        <v>3C4 Direct N2O from managed soils (N2O)</v>
      </c>
      <c r="C59" t="str">
        <f>'IPCC Categories'!B71</f>
        <v>3C2 Liming (CO2)</v>
      </c>
      <c r="E59" t="s">
        <v>883</v>
      </c>
      <c r="F59" t="s">
        <v>365</v>
      </c>
      <c r="H59" s="56">
        <v>0.5</v>
      </c>
    </row>
    <row r="60" spans="1:8" x14ac:dyDescent="0.25">
      <c r="A60" t="str">
        <f t="shared" ref="A60:B61" si="10">A59</f>
        <v>3C Aggregated and non-CO2 emissions on land</v>
      </c>
      <c r="B60" t="str">
        <f t="shared" si="10"/>
        <v>3C4 Direct N2O from managed soils (N2O)</v>
      </c>
      <c r="C60" t="str">
        <f>C59</f>
        <v>3C2 Liming (CO2)</v>
      </c>
      <c r="E60" t="s">
        <v>884</v>
      </c>
      <c r="F60" t="s">
        <v>365</v>
      </c>
      <c r="H60" s="56">
        <v>1.1499999999999999</v>
      </c>
    </row>
    <row r="61" spans="1:8" x14ac:dyDescent="0.25">
      <c r="A61" t="str">
        <f t="shared" si="10"/>
        <v>3C Aggregated and non-CO2 emissions on land</v>
      </c>
      <c r="B61" t="str">
        <f t="shared" si="10"/>
        <v>3C4 Direct N2O from managed soils (N2O)</v>
      </c>
      <c r="C61" t="str">
        <f>C60</f>
        <v>3C2 Liming (CO2)</v>
      </c>
      <c r="E61" t="s">
        <v>885</v>
      </c>
      <c r="F61" t="s">
        <v>365</v>
      </c>
      <c r="H61" s="56">
        <v>0.63</v>
      </c>
    </row>
    <row r="62" spans="1:8" x14ac:dyDescent="0.25">
      <c r="A62" t="str">
        <f>A41</f>
        <v>3C Aggregated and non-CO2 emissions on land</v>
      </c>
      <c r="B62" t="str">
        <f>B41</f>
        <v>3C4 Direct N2O from managed soils (N2O)</v>
      </c>
      <c r="C62" t="str">
        <f>C61</f>
        <v>3C2 Liming (CO2)</v>
      </c>
      <c r="E62" t="s">
        <v>882</v>
      </c>
      <c r="F62" t="s">
        <v>327</v>
      </c>
      <c r="H62" s="56">
        <v>0.55000000000000004</v>
      </c>
    </row>
    <row r="63" spans="1:8" x14ac:dyDescent="0.25">
      <c r="A63" t="str">
        <f>'IPCC Categories'!A59</f>
        <v>3C Aggregated and non-CO2 emissions on land</v>
      </c>
      <c r="B63" t="str">
        <f>'IPCC Categories'!B73</f>
        <v>3C4 Direct N2O from managed soils (N2O)</v>
      </c>
      <c r="C63" t="s">
        <v>310</v>
      </c>
      <c r="D63" t="str">
        <f>" - "&amp;'Activity data'!D5</f>
        <v xml:space="preserve"> - TMR</v>
      </c>
      <c r="E63" t="str">
        <f t="shared" ref="E63:E83" si="11">C63&amp;D63</f>
        <v>Excretion rate - TMR</v>
      </c>
      <c r="F63" t="s">
        <v>311</v>
      </c>
      <c r="H63" s="22">
        <f>SUM('Aggregated EF'!T8:T10)</f>
        <v>128.28236394776278</v>
      </c>
    </row>
    <row r="64" spans="1:8" x14ac:dyDescent="0.25">
      <c r="A64" t="str">
        <f t="shared" ref="A64:A80" si="12">A63</f>
        <v>3C Aggregated and non-CO2 emissions on land</v>
      </c>
      <c r="B64" t="str">
        <f t="shared" ref="B64:B80" si="13">B63</f>
        <v>3C4 Direct N2O from managed soils (N2O)</v>
      </c>
      <c r="C64" t="str">
        <f t="shared" ref="C64:C80" si="14">C63</f>
        <v>Excretion rate</v>
      </c>
      <c r="D64" t="str">
        <f>" - "&amp;'Activity data'!D6</f>
        <v xml:space="preserve"> - Pasture</v>
      </c>
      <c r="E64" t="str">
        <f t="shared" si="11"/>
        <v>Excretion rate - Pasture</v>
      </c>
      <c r="F64" t="str">
        <f t="shared" ref="F64:F80" si="15">F63</f>
        <v>kg N/head/yr</v>
      </c>
      <c r="H64" s="22">
        <f>SUM('Aggregated EF'!T5:T7)</f>
        <v>116.88195504174696</v>
      </c>
    </row>
    <row r="65" spans="1:8" x14ac:dyDescent="0.25">
      <c r="A65" t="str">
        <f t="shared" si="12"/>
        <v>3C Aggregated and non-CO2 emissions on land</v>
      </c>
      <c r="B65" t="str">
        <f t="shared" si="13"/>
        <v>3C4 Direct N2O from managed soils (N2O)</v>
      </c>
      <c r="C65" t="str">
        <f t="shared" si="14"/>
        <v>Excretion rate</v>
      </c>
      <c r="D65" t="str">
        <f>" - "&amp;'Activity data'!D7</f>
        <v xml:space="preserve"> - Non-lactating</v>
      </c>
      <c r="E65" t="str">
        <f t="shared" si="11"/>
        <v>Excretion rate - Non-lactating</v>
      </c>
      <c r="F65" t="str">
        <f t="shared" si="15"/>
        <v>kg N/head/yr</v>
      </c>
      <c r="H65" s="22">
        <f>SUM('Aggregated EF'!T12:T21)</f>
        <v>40.496928454397946</v>
      </c>
    </row>
    <row r="66" spans="1:8" x14ac:dyDescent="0.25">
      <c r="A66" t="str">
        <f t="shared" si="12"/>
        <v>3C Aggregated and non-CO2 emissions on land</v>
      </c>
      <c r="B66" t="str">
        <f t="shared" si="13"/>
        <v>3C4 Direct N2O from managed soils (N2O)</v>
      </c>
      <c r="C66" t="str">
        <f t="shared" si="14"/>
        <v>Excretion rate</v>
      </c>
      <c r="D66" t="str">
        <f>" - "&amp;'Activity data'!D8&amp;" cattle"</f>
        <v xml:space="preserve"> - Commercial cattle</v>
      </c>
      <c r="E66" t="str">
        <f t="shared" si="11"/>
        <v>Excretion rate - Commercial cattle</v>
      </c>
      <c r="F66" t="str">
        <f t="shared" si="15"/>
        <v>kg N/head/yr</v>
      </c>
      <c r="H66" s="22">
        <f>SUM('Aggregated EF'!T22:T24,'Aggregated EF'!T26:T28)</f>
        <v>86.354881619987609</v>
      </c>
    </row>
    <row r="67" spans="1:8" x14ac:dyDescent="0.25">
      <c r="A67" t="str">
        <f t="shared" si="12"/>
        <v>3C Aggregated and non-CO2 emissions on land</v>
      </c>
      <c r="B67" t="str">
        <f t="shared" si="13"/>
        <v>3C4 Direct N2O from managed soils (N2O)</v>
      </c>
      <c r="C67" t="str">
        <f t="shared" si="14"/>
        <v>Excretion rate</v>
      </c>
      <c r="D67" t="str">
        <f>" - "&amp;'Activity data'!D9&amp;" cattle"</f>
        <v xml:space="preserve"> - Subsistence cattle</v>
      </c>
      <c r="E67" t="str">
        <f t="shared" si="11"/>
        <v>Excretion rate - Subsistence cattle</v>
      </c>
      <c r="F67" t="str">
        <f t="shared" si="15"/>
        <v>kg N/head/yr</v>
      </c>
      <c r="H67" s="22">
        <f>SUM('Aggregated EF'!T29:T34)</f>
        <v>64.633710943402036</v>
      </c>
    </row>
    <row r="68" spans="1:8" x14ac:dyDescent="0.25">
      <c r="A68" t="str">
        <f t="shared" si="12"/>
        <v>3C Aggregated and non-CO2 emissions on land</v>
      </c>
      <c r="B68" t="str">
        <f t="shared" si="13"/>
        <v>3C4 Direct N2O from managed soils (N2O)</v>
      </c>
      <c r="C68" t="str">
        <f t="shared" si="14"/>
        <v>Excretion rate</v>
      </c>
      <c r="D68" t="str">
        <f>" - "&amp;'Activity data'!D10</f>
        <v xml:space="preserve"> - Feedlot</v>
      </c>
      <c r="E68" t="str">
        <f t="shared" si="11"/>
        <v>Excretion rate - Feedlot</v>
      </c>
      <c r="F68" t="str">
        <f t="shared" si="15"/>
        <v>kg N/head/yr</v>
      </c>
      <c r="H68" s="22">
        <f>'Aggregated EF'!T25</f>
        <v>65.765699999999995</v>
      </c>
    </row>
    <row r="69" spans="1:8" x14ac:dyDescent="0.25">
      <c r="A69" t="str">
        <f t="shared" si="12"/>
        <v>3C Aggregated and non-CO2 emissions on land</v>
      </c>
      <c r="B69" t="str">
        <f t="shared" si="13"/>
        <v>3C4 Direct N2O from managed soils (N2O)</v>
      </c>
      <c r="C69" t="str">
        <f t="shared" si="14"/>
        <v>Excretion rate</v>
      </c>
      <c r="D69" t="str">
        <f>" - "&amp;'Activity data'!D11&amp;" sheep"</f>
        <v xml:space="preserve"> - Commercial sheep</v>
      </c>
      <c r="E69" t="str">
        <f t="shared" si="11"/>
        <v>Excretion rate - Commercial sheep</v>
      </c>
      <c r="F69" t="str">
        <f t="shared" si="15"/>
        <v>kg N/head/yr</v>
      </c>
      <c r="H69" s="22">
        <f>SUM('Aggregated EF'!T36:T59)</f>
        <v>19.60551595998232</v>
      </c>
    </row>
    <row r="70" spans="1:8" x14ac:dyDescent="0.25">
      <c r="A70" t="str">
        <f t="shared" si="12"/>
        <v>3C Aggregated and non-CO2 emissions on land</v>
      </c>
      <c r="B70" t="str">
        <f t="shared" si="13"/>
        <v>3C4 Direct N2O from managed soils (N2O)</v>
      </c>
      <c r="C70" t="str">
        <f t="shared" si="14"/>
        <v>Excretion rate</v>
      </c>
      <c r="D70" t="str">
        <f>" - "&amp;'Activity data'!D12&amp;" sheep"</f>
        <v xml:space="preserve"> - Subsistence sheep</v>
      </c>
      <c r="E70" t="str">
        <f t="shared" si="11"/>
        <v>Excretion rate - Subsistence sheep</v>
      </c>
      <c r="F70" t="str">
        <f t="shared" si="15"/>
        <v>kg N/head/yr</v>
      </c>
      <c r="H70" s="22">
        <f>SUM('Aggregated EF'!T60:T83)</f>
        <v>15.591414113527657</v>
      </c>
    </row>
    <row r="71" spans="1:8" x14ac:dyDescent="0.25">
      <c r="A71" t="str">
        <f t="shared" si="12"/>
        <v>3C Aggregated and non-CO2 emissions on land</v>
      </c>
      <c r="B71" t="str">
        <f t="shared" si="13"/>
        <v>3C4 Direct N2O from managed soils (N2O)</v>
      </c>
      <c r="C71" t="str">
        <f t="shared" si="14"/>
        <v>Excretion rate</v>
      </c>
      <c r="D71" t="str">
        <f>" - "&amp;'Activity data'!D13&amp;" goats"</f>
        <v xml:space="preserve"> - Commercial goats</v>
      </c>
      <c r="E71" t="str">
        <f t="shared" si="11"/>
        <v>Excretion rate - Commercial goats</v>
      </c>
      <c r="F71" t="str">
        <f t="shared" si="15"/>
        <v>kg N/head/yr</v>
      </c>
      <c r="H71" s="22">
        <f>SUM('Aggregated EF'!T85:T102)</f>
        <v>22.287353637058541</v>
      </c>
    </row>
    <row r="72" spans="1:8" x14ac:dyDescent="0.25">
      <c r="A72" t="str">
        <f t="shared" si="12"/>
        <v>3C Aggregated and non-CO2 emissions on land</v>
      </c>
      <c r="B72" t="str">
        <f t="shared" si="13"/>
        <v>3C4 Direct N2O from managed soils (N2O)</v>
      </c>
      <c r="C72" t="str">
        <f t="shared" si="14"/>
        <v>Excretion rate</v>
      </c>
      <c r="D72" t="str">
        <f>" - "&amp;'Activity data'!D14&amp;" goats"</f>
        <v xml:space="preserve"> - Subsistence goats</v>
      </c>
      <c r="E72" t="str">
        <f t="shared" si="11"/>
        <v>Excretion rate - Subsistence goats</v>
      </c>
      <c r="F72" t="str">
        <f t="shared" si="15"/>
        <v>kg N/head/yr</v>
      </c>
      <c r="H72" s="22">
        <f>SUM('Aggregated EF'!T103:T108)</f>
        <v>20.227322529999995</v>
      </c>
    </row>
    <row r="73" spans="1:8" x14ac:dyDescent="0.25">
      <c r="A73" t="str">
        <f t="shared" si="12"/>
        <v>3C Aggregated and non-CO2 emissions on land</v>
      </c>
      <c r="B73" t="str">
        <f t="shared" si="13"/>
        <v>3C4 Direct N2O from managed soils (N2O)</v>
      </c>
      <c r="C73" t="str">
        <f t="shared" si="14"/>
        <v>Excretion rate</v>
      </c>
      <c r="D73" t="str">
        <f>" - "&amp;'Activity data'!D15</f>
        <v xml:space="preserve"> - Horses</v>
      </c>
      <c r="E73" t="str">
        <f t="shared" si="11"/>
        <v>Excretion rate - Horses</v>
      </c>
      <c r="F73" t="str">
        <f t="shared" si="15"/>
        <v>kg N/head/yr</v>
      </c>
      <c r="H73" s="22">
        <f>'Aggregated EF'!T110</f>
        <v>39.5</v>
      </c>
    </row>
    <row r="74" spans="1:8" x14ac:dyDescent="0.25">
      <c r="A74" t="str">
        <f t="shared" si="12"/>
        <v>3C Aggregated and non-CO2 emissions on land</v>
      </c>
      <c r="B74" t="str">
        <f t="shared" si="13"/>
        <v>3C4 Direct N2O from managed soils (N2O)</v>
      </c>
      <c r="C74" t="str">
        <f t="shared" si="14"/>
        <v>Excretion rate</v>
      </c>
      <c r="D74" t="str">
        <f>" - "&amp;'Activity data'!D16</f>
        <v xml:space="preserve"> - Mules &amp; Asses</v>
      </c>
      <c r="E74" t="str">
        <f t="shared" si="11"/>
        <v>Excretion rate - Mules &amp; Asses</v>
      </c>
      <c r="F74" t="str">
        <f t="shared" si="15"/>
        <v>kg N/head/yr</v>
      </c>
      <c r="H74" s="22">
        <f>'Aggregated EF'!T112</f>
        <v>13.2</v>
      </c>
    </row>
    <row r="75" spans="1:8" x14ac:dyDescent="0.25">
      <c r="A75" t="str">
        <f t="shared" si="12"/>
        <v>3C Aggregated and non-CO2 emissions on land</v>
      </c>
      <c r="B75" t="str">
        <f t="shared" si="13"/>
        <v>3C4 Direct N2O from managed soils (N2O)</v>
      </c>
      <c r="C75" t="str">
        <f t="shared" si="14"/>
        <v>Excretion rate</v>
      </c>
      <c r="D75" t="str">
        <f>" - "&amp;'Activity data'!D17&amp;" swine"</f>
        <v xml:space="preserve"> - Commercial swine</v>
      </c>
      <c r="E75" t="str">
        <f t="shared" si="11"/>
        <v>Excretion rate - Commercial swine</v>
      </c>
      <c r="F75" t="str">
        <f t="shared" si="15"/>
        <v>kg N/head/yr</v>
      </c>
      <c r="H75" s="22">
        <f>SUM('Aggregated EF'!T114:T123)</f>
        <v>13.769600000000001</v>
      </c>
    </row>
    <row r="76" spans="1:8" x14ac:dyDescent="0.25">
      <c r="A76" t="str">
        <f t="shared" si="12"/>
        <v>3C Aggregated and non-CO2 emissions on land</v>
      </c>
      <c r="B76" t="str">
        <f t="shared" si="13"/>
        <v>3C4 Direct N2O from managed soils (N2O)</v>
      </c>
      <c r="C76" t="str">
        <f t="shared" si="14"/>
        <v>Excretion rate</v>
      </c>
      <c r="D76" t="str">
        <f>" - "&amp;'Activity data'!D18&amp;" swine"</f>
        <v xml:space="preserve"> - Subsistence swine</v>
      </c>
      <c r="E76" t="str">
        <f t="shared" si="11"/>
        <v>Excretion rate - Subsistence swine</v>
      </c>
      <c r="F76" t="str">
        <f t="shared" si="15"/>
        <v>kg N/head/yr</v>
      </c>
      <c r="H76" s="22">
        <f>SUM('Aggregated EF'!T124:T133)</f>
        <v>15.091520000000001</v>
      </c>
    </row>
    <row r="77" spans="1:8" x14ac:dyDescent="0.25">
      <c r="A77" t="str">
        <f t="shared" si="12"/>
        <v>3C Aggregated and non-CO2 emissions on land</v>
      </c>
      <c r="B77" t="str">
        <f t="shared" si="13"/>
        <v>3C4 Direct N2O from managed soils (N2O)</v>
      </c>
      <c r="C77" t="str">
        <f t="shared" si="14"/>
        <v>Excretion rate</v>
      </c>
      <c r="D77" t="str">
        <f>" - "&amp;'Activity data'!D19</f>
        <v xml:space="preserve"> - Commercial layers</v>
      </c>
      <c r="E77" t="str">
        <f t="shared" si="11"/>
        <v>Excretion rate - Commercial layers</v>
      </c>
      <c r="F77" t="str">
        <f t="shared" si="15"/>
        <v>kg N/head/yr</v>
      </c>
      <c r="H77" s="22">
        <f>'Aggregated EF'!T136</f>
        <v>0.6</v>
      </c>
    </row>
    <row r="78" spans="1:8" x14ac:dyDescent="0.25">
      <c r="A78" t="str">
        <f t="shared" si="12"/>
        <v>3C Aggregated and non-CO2 emissions on land</v>
      </c>
      <c r="B78" t="str">
        <f t="shared" si="13"/>
        <v>3C4 Direct N2O from managed soils (N2O)</v>
      </c>
      <c r="C78" t="str">
        <f t="shared" si="14"/>
        <v>Excretion rate</v>
      </c>
      <c r="D78" t="str">
        <f>" - "&amp;'Activity data'!D20</f>
        <v xml:space="preserve"> - Commercial broilers</v>
      </c>
      <c r="E78" t="str">
        <f t="shared" si="11"/>
        <v>Excretion rate - Commercial broilers</v>
      </c>
      <c r="F78" t="str">
        <f t="shared" si="15"/>
        <v>kg N/head/yr</v>
      </c>
      <c r="H78" s="22">
        <f>'Aggregated EF'!T135</f>
        <v>0.7</v>
      </c>
    </row>
    <row r="79" spans="1:8" x14ac:dyDescent="0.25">
      <c r="A79" t="str">
        <f t="shared" si="12"/>
        <v>3C Aggregated and non-CO2 emissions on land</v>
      </c>
      <c r="B79" t="str">
        <f t="shared" si="13"/>
        <v>3C4 Direct N2O from managed soils (N2O)</v>
      </c>
      <c r="C79" t="str">
        <f t="shared" si="14"/>
        <v>Excretion rate</v>
      </c>
      <c r="D79" t="str">
        <f>" - "&amp;'Activity data'!D21</f>
        <v xml:space="preserve"> - Subsistence layers</v>
      </c>
      <c r="E79" t="str">
        <f t="shared" si="11"/>
        <v>Excretion rate - Subsistence layers</v>
      </c>
      <c r="F79" t="str">
        <f t="shared" si="15"/>
        <v>kg N/head/yr</v>
      </c>
      <c r="H79" s="22">
        <f>'Aggregated EF'!T138</f>
        <v>0.6</v>
      </c>
    </row>
    <row r="80" spans="1:8" x14ac:dyDescent="0.25">
      <c r="A80" t="str">
        <f t="shared" si="12"/>
        <v>3C Aggregated and non-CO2 emissions on land</v>
      </c>
      <c r="B80" t="str">
        <f t="shared" si="13"/>
        <v>3C4 Direct N2O from managed soils (N2O)</v>
      </c>
      <c r="C80" t="str">
        <f t="shared" si="14"/>
        <v>Excretion rate</v>
      </c>
      <c r="D80" t="str">
        <f>" - "&amp;'Activity data'!D22</f>
        <v xml:space="preserve"> - Subsistence broilers</v>
      </c>
      <c r="E80" t="str">
        <f t="shared" si="11"/>
        <v>Excretion rate - Subsistence broilers</v>
      </c>
      <c r="F80" t="str">
        <f t="shared" si="15"/>
        <v>kg N/head/yr</v>
      </c>
      <c r="H80" s="22">
        <f>'Aggregated EF'!T137</f>
        <v>0.7</v>
      </c>
    </row>
    <row r="81" spans="1:8" x14ac:dyDescent="0.25">
      <c r="A81" t="str">
        <f t="shared" ref="A81:A112" si="16">A80</f>
        <v>3C Aggregated and non-CO2 emissions on land</v>
      </c>
      <c r="B81" t="str">
        <f t="shared" ref="B81:B112" si="17">B80</f>
        <v>3C4 Direct N2O from managed soils (N2O)</v>
      </c>
      <c r="C81" t="s">
        <v>391</v>
      </c>
      <c r="D81" t="str">
        <f t="shared" ref="D81:D114" si="18">D63</f>
        <v xml:space="preserve"> - TMR</v>
      </c>
      <c r="E81" t="str">
        <f t="shared" si="11"/>
        <v>FracMM - TMR</v>
      </c>
      <c r="F81" t="s">
        <v>327</v>
      </c>
      <c r="H81" s="22">
        <v>1</v>
      </c>
    </row>
    <row r="82" spans="1:8" x14ac:dyDescent="0.25">
      <c r="A82" t="str">
        <f t="shared" si="16"/>
        <v>3C Aggregated and non-CO2 emissions on land</v>
      </c>
      <c r="B82" t="str">
        <f t="shared" si="17"/>
        <v>3C4 Direct N2O from managed soils (N2O)</v>
      </c>
      <c r="C82" t="s">
        <v>391</v>
      </c>
      <c r="D82" t="str">
        <f t="shared" si="18"/>
        <v xml:space="preserve"> - Pasture</v>
      </c>
      <c r="E82" t="str">
        <f t="shared" si="11"/>
        <v>FracMM - Pasture</v>
      </c>
      <c r="F82" t="s">
        <v>327</v>
      </c>
      <c r="H82" s="22">
        <v>0.4</v>
      </c>
    </row>
    <row r="83" spans="1:8" x14ac:dyDescent="0.25">
      <c r="A83" t="str">
        <f t="shared" si="16"/>
        <v>3C Aggregated and non-CO2 emissions on land</v>
      </c>
      <c r="B83" t="str">
        <f t="shared" si="17"/>
        <v>3C4 Direct N2O from managed soils (N2O)</v>
      </c>
      <c r="C83" t="s">
        <v>391</v>
      </c>
      <c r="D83" t="str">
        <f t="shared" si="18"/>
        <v xml:space="preserve"> - Non-lactating</v>
      </c>
      <c r="E83" t="str">
        <f t="shared" si="11"/>
        <v>FracMM - Non-lactating</v>
      </c>
      <c r="F83" t="s">
        <v>327</v>
      </c>
      <c r="H83" s="22">
        <v>0.05</v>
      </c>
    </row>
    <row r="84" spans="1:8" x14ac:dyDescent="0.25">
      <c r="A84" t="str">
        <f t="shared" si="16"/>
        <v>3C Aggregated and non-CO2 emissions on land</v>
      </c>
      <c r="B84" t="str">
        <f t="shared" si="17"/>
        <v>3C4 Direct N2O from managed soils (N2O)</v>
      </c>
      <c r="C84" t="s">
        <v>391</v>
      </c>
      <c r="D84" t="str">
        <f t="shared" si="18"/>
        <v xml:space="preserve"> - Commercial cattle</v>
      </c>
      <c r="E84" t="str">
        <f>C84&amp;D84&amp;" cattle"</f>
        <v>FracMM - Commercial cattle cattle</v>
      </c>
      <c r="F84" t="s">
        <v>327</v>
      </c>
      <c r="H84" s="22">
        <v>0.05</v>
      </c>
    </row>
    <row r="85" spans="1:8" x14ac:dyDescent="0.25">
      <c r="A85" t="str">
        <f t="shared" si="16"/>
        <v>3C Aggregated and non-CO2 emissions on land</v>
      </c>
      <c r="B85" t="str">
        <f t="shared" si="17"/>
        <v>3C4 Direct N2O from managed soils (N2O)</v>
      </c>
      <c r="C85" t="s">
        <v>391</v>
      </c>
      <c r="D85" t="str">
        <f t="shared" si="18"/>
        <v xml:space="preserve"> - Subsistence cattle</v>
      </c>
      <c r="E85" t="str">
        <f>C85&amp;D85&amp;" cattle"</f>
        <v>FracMM - Subsistence cattle cattle</v>
      </c>
      <c r="F85" t="s">
        <v>327</v>
      </c>
      <c r="H85" s="22">
        <v>0.1</v>
      </c>
    </row>
    <row r="86" spans="1:8" x14ac:dyDescent="0.25">
      <c r="A86" t="str">
        <f t="shared" si="16"/>
        <v>3C Aggregated and non-CO2 emissions on land</v>
      </c>
      <c r="B86" t="str">
        <f t="shared" si="17"/>
        <v>3C4 Direct N2O from managed soils (N2O)</v>
      </c>
      <c r="C86" t="s">
        <v>391</v>
      </c>
      <c r="D86" t="str">
        <f t="shared" si="18"/>
        <v xml:space="preserve"> - Feedlot</v>
      </c>
      <c r="E86" t="str">
        <f t="shared" ref="E86:E130" si="19">C86&amp;D86</f>
        <v>FracMM - Feedlot</v>
      </c>
      <c r="F86" t="s">
        <v>327</v>
      </c>
      <c r="H86" s="22">
        <v>1</v>
      </c>
    </row>
    <row r="87" spans="1:8" x14ac:dyDescent="0.25">
      <c r="A87" t="str">
        <f t="shared" si="16"/>
        <v>3C Aggregated and non-CO2 emissions on land</v>
      </c>
      <c r="B87" t="str">
        <f t="shared" si="17"/>
        <v>3C4 Direct N2O from managed soils (N2O)</v>
      </c>
      <c r="C87" t="s">
        <v>391</v>
      </c>
      <c r="D87" t="str">
        <f t="shared" si="18"/>
        <v xml:space="preserve"> - Commercial sheep</v>
      </c>
      <c r="E87" t="str">
        <f t="shared" si="19"/>
        <v>FracMM - Commercial sheep</v>
      </c>
      <c r="F87" t="s">
        <v>327</v>
      </c>
      <c r="H87" s="22">
        <v>0.01</v>
      </c>
    </row>
    <row r="88" spans="1:8" x14ac:dyDescent="0.25">
      <c r="A88" t="str">
        <f t="shared" si="16"/>
        <v>3C Aggregated and non-CO2 emissions on land</v>
      </c>
      <c r="B88" t="str">
        <f t="shared" si="17"/>
        <v>3C4 Direct N2O from managed soils (N2O)</v>
      </c>
      <c r="C88" t="s">
        <v>391</v>
      </c>
      <c r="D88" t="str">
        <f t="shared" si="18"/>
        <v xml:space="preserve"> - Subsistence sheep</v>
      </c>
      <c r="E88" t="str">
        <f t="shared" si="19"/>
        <v>FracMM - Subsistence sheep</v>
      </c>
      <c r="F88" t="s">
        <v>327</v>
      </c>
      <c r="H88" s="22">
        <v>7.0000000000000007E-2</v>
      </c>
    </row>
    <row r="89" spans="1:8" x14ac:dyDescent="0.25">
      <c r="A89" t="str">
        <f t="shared" si="16"/>
        <v>3C Aggregated and non-CO2 emissions on land</v>
      </c>
      <c r="B89" t="str">
        <f t="shared" si="17"/>
        <v>3C4 Direct N2O from managed soils (N2O)</v>
      </c>
      <c r="C89" t="s">
        <v>391</v>
      </c>
      <c r="D89" t="str">
        <f t="shared" si="18"/>
        <v xml:space="preserve"> - Commercial goats</v>
      </c>
      <c r="E89" t="str">
        <f t="shared" si="19"/>
        <v>FracMM - Commercial goats</v>
      </c>
      <c r="F89" t="s">
        <v>327</v>
      </c>
      <c r="H89" s="22">
        <v>0.01</v>
      </c>
    </row>
    <row r="90" spans="1:8" x14ac:dyDescent="0.25">
      <c r="A90" t="str">
        <f t="shared" si="16"/>
        <v>3C Aggregated and non-CO2 emissions on land</v>
      </c>
      <c r="B90" t="str">
        <f t="shared" si="17"/>
        <v>3C4 Direct N2O from managed soils (N2O)</v>
      </c>
      <c r="C90" t="s">
        <v>391</v>
      </c>
      <c r="D90" t="str">
        <f t="shared" si="18"/>
        <v xml:space="preserve"> - Subsistence goats</v>
      </c>
      <c r="E90" t="str">
        <f t="shared" si="19"/>
        <v>FracMM - Subsistence goats</v>
      </c>
      <c r="F90" t="s">
        <v>327</v>
      </c>
      <c r="H90" s="22">
        <v>7.0000000000000007E-2</v>
      </c>
    </row>
    <row r="91" spans="1:8" x14ac:dyDescent="0.25">
      <c r="A91" t="str">
        <f t="shared" si="16"/>
        <v>3C Aggregated and non-CO2 emissions on land</v>
      </c>
      <c r="B91" t="str">
        <f t="shared" si="17"/>
        <v>3C4 Direct N2O from managed soils (N2O)</v>
      </c>
      <c r="C91" t="s">
        <v>391</v>
      </c>
      <c r="D91" t="str">
        <f t="shared" si="18"/>
        <v xml:space="preserve"> - Horses</v>
      </c>
      <c r="E91" t="str">
        <f t="shared" si="19"/>
        <v>FracMM - Horses</v>
      </c>
      <c r="F91" t="s">
        <v>327</v>
      </c>
      <c r="H91" s="22">
        <v>0</v>
      </c>
    </row>
    <row r="92" spans="1:8" x14ac:dyDescent="0.25">
      <c r="A92" t="str">
        <f t="shared" si="16"/>
        <v>3C Aggregated and non-CO2 emissions on land</v>
      </c>
      <c r="B92" t="str">
        <f t="shared" si="17"/>
        <v>3C4 Direct N2O from managed soils (N2O)</v>
      </c>
      <c r="C92" t="s">
        <v>391</v>
      </c>
      <c r="D92" t="str">
        <f t="shared" si="18"/>
        <v xml:space="preserve"> - Mules &amp; Asses</v>
      </c>
      <c r="E92" t="str">
        <f t="shared" si="19"/>
        <v>FracMM - Mules &amp; Asses</v>
      </c>
      <c r="F92" t="s">
        <v>327</v>
      </c>
      <c r="H92" s="22">
        <v>0</v>
      </c>
    </row>
    <row r="93" spans="1:8" x14ac:dyDescent="0.25">
      <c r="A93" t="str">
        <f t="shared" si="16"/>
        <v>3C Aggregated and non-CO2 emissions on land</v>
      </c>
      <c r="B93" t="str">
        <f t="shared" si="17"/>
        <v>3C4 Direct N2O from managed soils (N2O)</v>
      </c>
      <c r="C93" t="s">
        <v>391</v>
      </c>
      <c r="D93" t="str">
        <f t="shared" si="18"/>
        <v xml:space="preserve"> - Commercial swine</v>
      </c>
      <c r="E93" t="str">
        <f t="shared" si="19"/>
        <v>FracMM - Commercial swine</v>
      </c>
      <c r="F93" t="s">
        <v>327</v>
      </c>
      <c r="H93" s="22">
        <v>1</v>
      </c>
    </row>
    <row r="94" spans="1:8" x14ac:dyDescent="0.25">
      <c r="A94" t="str">
        <f t="shared" si="16"/>
        <v>3C Aggregated and non-CO2 emissions on land</v>
      </c>
      <c r="B94" t="str">
        <f t="shared" si="17"/>
        <v>3C4 Direct N2O from managed soils (N2O)</v>
      </c>
      <c r="C94" t="s">
        <v>391</v>
      </c>
      <c r="D94" t="str">
        <f t="shared" si="18"/>
        <v xml:space="preserve"> - Subsistence swine</v>
      </c>
      <c r="E94" t="str">
        <f t="shared" si="19"/>
        <v>FracMM - Subsistence swine</v>
      </c>
      <c r="F94" t="s">
        <v>327</v>
      </c>
      <c r="H94" s="22">
        <v>1</v>
      </c>
    </row>
    <row r="95" spans="1:8" x14ac:dyDescent="0.25">
      <c r="A95" t="str">
        <f t="shared" si="16"/>
        <v>3C Aggregated and non-CO2 emissions on land</v>
      </c>
      <c r="B95" t="str">
        <f t="shared" si="17"/>
        <v>3C4 Direct N2O from managed soils (N2O)</v>
      </c>
      <c r="C95" t="s">
        <v>391</v>
      </c>
      <c r="D95" t="str">
        <f t="shared" si="18"/>
        <v xml:space="preserve"> - Commercial layers</v>
      </c>
      <c r="E95" t="str">
        <f t="shared" si="19"/>
        <v>FracMM - Commercial layers</v>
      </c>
      <c r="F95" t="s">
        <v>327</v>
      </c>
      <c r="H95" s="22">
        <v>1</v>
      </c>
    </row>
    <row r="96" spans="1:8" x14ac:dyDescent="0.25">
      <c r="A96" t="str">
        <f t="shared" si="16"/>
        <v>3C Aggregated and non-CO2 emissions on land</v>
      </c>
      <c r="B96" t="str">
        <f t="shared" si="17"/>
        <v>3C4 Direct N2O from managed soils (N2O)</v>
      </c>
      <c r="C96" t="s">
        <v>391</v>
      </c>
      <c r="D96" t="str">
        <f t="shared" si="18"/>
        <v xml:space="preserve"> - Commercial broilers</v>
      </c>
      <c r="E96" t="str">
        <f t="shared" si="19"/>
        <v>FracMM - Commercial broilers</v>
      </c>
      <c r="F96" t="s">
        <v>327</v>
      </c>
      <c r="H96" s="22">
        <v>1</v>
      </c>
    </row>
    <row r="97" spans="1:8" x14ac:dyDescent="0.25">
      <c r="A97" t="str">
        <f t="shared" si="16"/>
        <v>3C Aggregated and non-CO2 emissions on land</v>
      </c>
      <c r="B97" t="str">
        <f t="shared" si="17"/>
        <v>3C4 Direct N2O from managed soils (N2O)</v>
      </c>
      <c r="C97" t="s">
        <v>391</v>
      </c>
      <c r="D97" t="str">
        <f t="shared" si="18"/>
        <v xml:space="preserve"> - Subsistence layers</v>
      </c>
      <c r="E97" t="str">
        <f t="shared" si="19"/>
        <v>FracMM - Subsistence layers</v>
      </c>
      <c r="F97" t="s">
        <v>327</v>
      </c>
      <c r="H97" s="22">
        <v>1</v>
      </c>
    </row>
    <row r="98" spans="1:8" x14ac:dyDescent="0.25">
      <c r="A98" t="str">
        <f t="shared" si="16"/>
        <v>3C Aggregated and non-CO2 emissions on land</v>
      </c>
      <c r="B98" t="str">
        <f t="shared" si="17"/>
        <v>3C4 Direct N2O from managed soils (N2O)</v>
      </c>
      <c r="C98" t="s">
        <v>391</v>
      </c>
      <c r="D98" t="str">
        <f t="shared" si="18"/>
        <v xml:space="preserve"> - Subsistence broilers</v>
      </c>
      <c r="E98" t="str">
        <f t="shared" si="19"/>
        <v>FracMM - Subsistence broilers</v>
      </c>
      <c r="F98" t="s">
        <v>327</v>
      </c>
      <c r="H98" s="22">
        <v>1</v>
      </c>
    </row>
    <row r="99" spans="1:8" x14ac:dyDescent="0.25">
      <c r="A99" t="str">
        <f t="shared" si="16"/>
        <v>3C Aggregated and non-CO2 emissions on land</v>
      </c>
      <c r="B99" t="str">
        <f t="shared" si="17"/>
        <v>3C4 Direct N2O from managed soils (N2O)</v>
      </c>
      <c r="C99" t="s">
        <v>404</v>
      </c>
      <c r="D99" t="str">
        <f t="shared" si="18"/>
        <v xml:space="preserve"> - TMR</v>
      </c>
      <c r="E99" t="str">
        <f t="shared" si="19"/>
        <v>FracLoss - TMR</v>
      </c>
      <c r="F99" t="s">
        <v>327</v>
      </c>
      <c r="H99" s="22">
        <v>0.73199999999999998</v>
      </c>
    </row>
    <row r="100" spans="1:8" x14ac:dyDescent="0.25">
      <c r="A100" t="str">
        <f t="shared" si="16"/>
        <v>3C Aggregated and non-CO2 emissions on land</v>
      </c>
      <c r="B100" t="str">
        <f t="shared" si="17"/>
        <v>3C4 Direct N2O from managed soils (N2O)</v>
      </c>
      <c r="C100" t="s">
        <v>404</v>
      </c>
      <c r="D100" t="str">
        <f t="shared" si="18"/>
        <v xml:space="preserve"> - Pasture</v>
      </c>
      <c r="E100" t="str">
        <f t="shared" si="19"/>
        <v>FracLoss - Pasture</v>
      </c>
      <c r="F100" t="s">
        <v>327</v>
      </c>
      <c r="H100" s="22">
        <v>0.155</v>
      </c>
    </row>
    <row r="101" spans="1:8" x14ac:dyDescent="0.25">
      <c r="A101" t="str">
        <f t="shared" si="16"/>
        <v>3C Aggregated and non-CO2 emissions on land</v>
      </c>
      <c r="B101" t="str">
        <f t="shared" si="17"/>
        <v>3C4 Direct N2O from managed soils (N2O)</v>
      </c>
      <c r="C101" t="s">
        <v>404</v>
      </c>
      <c r="D101" t="str">
        <f t="shared" si="18"/>
        <v xml:space="preserve"> - Non-lactating</v>
      </c>
      <c r="E101" t="str">
        <f t="shared" si="19"/>
        <v>FracLoss - Non-lactating</v>
      </c>
      <c r="F101" t="s">
        <v>327</v>
      </c>
      <c r="H101" s="22">
        <v>1.7999999999999999E-2</v>
      </c>
    </row>
    <row r="102" spans="1:8" x14ac:dyDescent="0.25">
      <c r="A102" t="str">
        <f t="shared" si="16"/>
        <v>3C Aggregated and non-CO2 emissions on land</v>
      </c>
      <c r="B102" t="str">
        <f t="shared" si="17"/>
        <v>3C4 Direct N2O from managed soils (N2O)</v>
      </c>
      <c r="C102" t="s">
        <v>404</v>
      </c>
      <c r="D102" t="str">
        <f t="shared" si="18"/>
        <v xml:space="preserve"> - Commercial cattle</v>
      </c>
      <c r="E102" t="str">
        <f t="shared" si="19"/>
        <v>FracLoss - Commercial cattle</v>
      </c>
      <c r="F102" t="s">
        <v>327</v>
      </c>
      <c r="H102" s="22">
        <v>0.01</v>
      </c>
    </row>
    <row r="103" spans="1:8" x14ac:dyDescent="0.25">
      <c r="A103" t="str">
        <f t="shared" si="16"/>
        <v>3C Aggregated and non-CO2 emissions on land</v>
      </c>
      <c r="B103" t="str">
        <f t="shared" si="17"/>
        <v>3C4 Direct N2O from managed soils (N2O)</v>
      </c>
      <c r="C103" t="s">
        <v>404</v>
      </c>
      <c r="D103" t="str">
        <f t="shared" si="18"/>
        <v xml:space="preserve"> - Subsistence cattle</v>
      </c>
      <c r="E103" t="str">
        <f t="shared" si="19"/>
        <v>FracLoss - Subsistence cattle</v>
      </c>
      <c r="F103" t="s">
        <v>327</v>
      </c>
      <c r="H103" s="22">
        <v>0.04</v>
      </c>
    </row>
    <row r="104" spans="1:8" x14ac:dyDescent="0.25">
      <c r="A104" t="str">
        <f t="shared" si="16"/>
        <v>3C Aggregated and non-CO2 emissions on land</v>
      </c>
      <c r="B104" t="str">
        <f t="shared" si="17"/>
        <v>3C4 Direct N2O from managed soils (N2O)</v>
      </c>
      <c r="C104" t="s">
        <v>404</v>
      </c>
      <c r="D104" t="str">
        <f t="shared" si="18"/>
        <v xml:space="preserve"> - Feedlot</v>
      </c>
      <c r="E104" t="str">
        <f t="shared" si="19"/>
        <v>FracLoss - Feedlot</v>
      </c>
      <c r="F104" t="s">
        <v>327</v>
      </c>
      <c r="H104" s="22">
        <v>0.38600000000000001</v>
      </c>
    </row>
    <row r="105" spans="1:8" x14ac:dyDescent="0.25">
      <c r="A105" t="str">
        <f t="shared" si="16"/>
        <v>3C Aggregated and non-CO2 emissions on land</v>
      </c>
      <c r="B105" t="str">
        <f t="shared" si="17"/>
        <v>3C4 Direct N2O from managed soils (N2O)</v>
      </c>
      <c r="C105" t="s">
        <v>404</v>
      </c>
      <c r="D105" t="str">
        <f t="shared" si="18"/>
        <v xml:space="preserve"> - Commercial sheep</v>
      </c>
      <c r="E105" t="str">
        <f t="shared" si="19"/>
        <v>FracLoss - Commercial sheep</v>
      </c>
      <c r="F105" t="s">
        <v>327</v>
      </c>
      <c r="H105" s="22">
        <v>4.0000000000000001E-3</v>
      </c>
    </row>
    <row r="106" spans="1:8" x14ac:dyDescent="0.25">
      <c r="A106" t="str">
        <f t="shared" si="16"/>
        <v>3C Aggregated and non-CO2 emissions on land</v>
      </c>
      <c r="B106" t="str">
        <f t="shared" si="17"/>
        <v>3C4 Direct N2O from managed soils (N2O)</v>
      </c>
      <c r="C106" t="s">
        <v>404</v>
      </c>
      <c r="D106" t="str">
        <f t="shared" si="18"/>
        <v xml:space="preserve"> - Subsistence sheep</v>
      </c>
      <c r="E106" t="str">
        <f t="shared" si="19"/>
        <v>FracLoss - Subsistence sheep</v>
      </c>
      <c r="F106" t="s">
        <v>327</v>
      </c>
      <c r="H106" s="22">
        <v>2.5499999999999998E-2</v>
      </c>
    </row>
    <row r="107" spans="1:8" x14ac:dyDescent="0.25">
      <c r="A107" t="str">
        <f t="shared" si="16"/>
        <v>3C Aggregated and non-CO2 emissions on land</v>
      </c>
      <c r="B107" t="str">
        <f t="shared" si="17"/>
        <v>3C4 Direct N2O from managed soils (N2O)</v>
      </c>
      <c r="C107" t="s">
        <v>404</v>
      </c>
      <c r="D107" t="str">
        <f t="shared" si="18"/>
        <v xml:space="preserve"> - Commercial goats</v>
      </c>
      <c r="E107" t="str">
        <f t="shared" si="19"/>
        <v>FracLoss - Commercial goats</v>
      </c>
      <c r="F107" t="s">
        <v>327</v>
      </c>
      <c r="H107" s="22">
        <v>4.0000000000000001E-3</v>
      </c>
    </row>
    <row r="108" spans="1:8" x14ac:dyDescent="0.25">
      <c r="A108" t="str">
        <f t="shared" si="16"/>
        <v>3C Aggregated and non-CO2 emissions on land</v>
      </c>
      <c r="B108" t="str">
        <f t="shared" si="17"/>
        <v>3C4 Direct N2O from managed soils (N2O)</v>
      </c>
      <c r="C108" t="s">
        <v>404</v>
      </c>
      <c r="D108" t="str">
        <f t="shared" si="18"/>
        <v xml:space="preserve"> - Subsistence goats</v>
      </c>
      <c r="E108" t="str">
        <f t="shared" si="19"/>
        <v>FracLoss - Subsistence goats</v>
      </c>
      <c r="F108" t="s">
        <v>327</v>
      </c>
      <c r="H108" s="22">
        <v>2.5499999999999998E-2</v>
      </c>
    </row>
    <row r="109" spans="1:8" x14ac:dyDescent="0.25">
      <c r="A109" t="str">
        <f t="shared" si="16"/>
        <v>3C Aggregated and non-CO2 emissions on land</v>
      </c>
      <c r="B109" t="str">
        <f t="shared" si="17"/>
        <v>3C4 Direct N2O from managed soils (N2O)</v>
      </c>
      <c r="C109" t="s">
        <v>404</v>
      </c>
      <c r="D109" t="str">
        <f t="shared" si="18"/>
        <v xml:space="preserve"> - Horses</v>
      </c>
      <c r="E109" t="str">
        <f t="shared" si="19"/>
        <v>FracLoss - Horses</v>
      </c>
      <c r="F109" t="s">
        <v>327</v>
      </c>
      <c r="H109" s="22">
        <v>0</v>
      </c>
    </row>
    <row r="110" spans="1:8" x14ac:dyDescent="0.25">
      <c r="A110" t="str">
        <f t="shared" si="16"/>
        <v>3C Aggregated and non-CO2 emissions on land</v>
      </c>
      <c r="B110" t="str">
        <f t="shared" si="17"/>
        <v>3C4 Direct N2O from managed soils (N2O)</v>
      </c>
      <c r="C110" t="s">
        <v>404</v>
      </c>
      <c r="D110" t="str">
        <f t="shared" si="18"/>
        <v xml:space="preserve"> - Mules &amp; Asses</v>
      </c>
      <c r="E110" t="str">
        <f t="shared" si="19"/>
        <v>FracLoss - Mules &amp; Asses</v>
      </c>
      <c r="F110" t="s">
        <v>327</v>
      </c>
      <c r="H110" s="22">
        <v>0</v>
      </c>
    </row>
    <row r="111" spans="1:8" x14ac:dyDescent="0.25">
      <c r="A111" t="str">
        <f t="shared" si="16"/>
        <v>3C Aggregated and non-CO2 emissions on land</v>
      </c>
      <c r="B111" t="str">
        <f t="shared" si="17"/>
        <v>3C4 Direct N2O from managed soils (N2O)</v>
      </c>
      <c r="C111" t="s">
        <v>404</v>
      </c>
      <c r="D111" t="str">
        <f t="shared" si="18"/>
        <v xml:space="preserve"> - Commercial swine</v>
      </c>
      <c r="E111" t="str">
        <f t="shared" si="19"/>
        <v>FracLoss - Commercial swine</v>
      </c>
      <c r="F111" t="s">
        <v>327</v>
      </c>
      <c r="H111" s="22">
        <v>0.6522</v>
      </c>
    </row>
    <row r="112" spans="1:8" x14ac:dyDescent="0.25">
      <c r="A112" t="str">
        <f t="shared" si="16"/>
        <v>3C Aggregated and non-CO2 emissions on land</v>
      </c>
      <c r="B112" t="str">
        <f t="shared" si="17"/>
        <v>3C4 Direct N2O from managed soils (N2O)</v>
      </c>
      <c r="C112" t="s">
        <v>404</v>
      </c>
      <c r="D112" t="str">
        <f t="shared" si="18"/>
        <v xml:space="preserve"> - Subsistence swine</v>
      </c>
      <c r="E112" t="str">
        <f t="shared" si="19"/>
        <v>FracLoss - Subsistence swine</v>
      </c>
      <c r="F112" t="s">
        <v>327</v>
      </c>
      <c r="H112" s="22">
        <v>0.40959999999999996</v>
      </c>
    </row>
    <row r="113" spans="1:8" x14ac:dyDescent="0.25">
      <c r="A113" t="str">
        <f t="shared" ref="A113:A130" si="20">A112</f>
        <v>3C Aggregated and non-CO2 emissions on land</v>
      </c>
      <c r="B113" t="str">
        <f t="shared" ref="B113:B130" si="21">B112</f>
        <v>3C4 Direct N2O from managed soils (N2O)</v>
      </c>
      <c r="C113" t="s">
        <v>404</v>
      </c>
      <c r="D113" t="str">
        <f t="shared" si="18"/>
        <v xml:space="preserve"> - Commercial layers</v>
      </c>
      <c r="E113" t="str">
        <f t="shared" si="19"/>
        <v>FracLoss - Commercial layers</v>
      </c>
      <c r="F113" t="s">
        <v>327</v>
      </c>
      <c r="H113" s="22">
        <v>0.29599999999999999</v>
      </c>
    </row>
    <row r="114" spans="1:8" x14ac:dyDescent="0.25">
      <c r="A114" t="str">
        <f t="shared" si="20"/>
        <v>3C Aggregated and non-CO2 emissions on land</v>
      </c>
      <c r="B114" t="str">
        <f t="shared" si="21"/>
        <v>3C4 Direct N2O from managed soils (N2O)</v>
      </c>
      <c r="C114" t="s">
        <v>404</v>
      </c>
      <c r="D114" t="str">
        <f t="shared" si="18"/>
        <v xml:space="preserve"> - Commercial broilers</v>
      </c>
      <c r="E114" t="str">
        <f t="shared" si="19"/>
        <v>FracLoss - Commercial broilers</v>
      </c>
      <c r="F114" t="s">
        <v>327</v>
      </c>
      <c r="H114" s="22">
        <v>0.24</v>
      </c>
    </row>
    <row r="115" spans="1:8" x14ac:dyDescent="0.25">
      <c r="A115" t="str">
        <f t="shared" si="20"/>
        <v>3C Aggregated and non-CO2 emissions on land</v>
      </c>
      <c r="B115" t="str">
        <f t="shared" si="21"/>
        <v>3C4 Direct N2O from managed soils (N2O)</v>
      </c>
      <c r="C115" t="s">
        <v>408</v>
      </c>
      <c r="D115" t="str">
        <f t="shared" ref="D115:D130" si="22">D99</f>
        <v xml:space="preserve"> - TMR</v>
      </c>
      <c r="E115" t="str">
        <f t="shared" si="19"/>
        <v>N bedding - TMR</v>
      </c>
      <c r="F115" t="str">
        <f t="shared" ref="F115:F130" si="23">F114</f>
        <v>Fraction</v>
      </c>
      <c r="H115" s="22">
        <v>0</v>
      </c>
    </row>
    <row r="116" spans="1:8" x14ac:dyDescent="0.25">
      <c r="A116" t="str">
        <f t="shared" si="20"/>
        <v>3C Aggregated and non-CO2 emissions on land</v>
      </c>
      <c r="B116" t="str">
        <f t="shared" si="21"/>
        <v>3C4 Direct N2O from managed soils (N2O)</v>
      </c>
      <c r="C116" t="s">
        <v>408</v>
      </c>
      <c r="D116" t="str">
        <f t="shared" si="22"/>
        <v xml:space="preserve"> - Pasture</v>
      </c>
      <c r="E116" t="str">
        <f t="shared" si="19"/>
        <v>N bedding - Pasture</v>
      </c>
      <c r="F116" t="str">
        <f t="shared" si="23"/>
        <v>Fraction</v>
      </c>
      <c r="H116" s="22">
        <v>0.7</v>
      </c>
    </row>
    <row r="117" spans="1:8" x14ac:dyDescent="0.25">
      <c r="A117" t="str">
        <f t="shared" si="20"/>
        <v>3C Aggregated and non-CO2 emissions on land</v>
      </c>
      <c r="B117" t="str">
        <f t="shared" si="21"/>
        <v>3C4 Direct N2O from managed soils (N2O)</v>
      </c>
      <c r="C117" t="s">
        <v>408</v>
      </c>
      <c r="D117" t="str">
        <f t="shared" si="22"/>
        <v xml:space="preserve"> - Non-lactating</v>
      </c>
      <c r="E117" t="str">
        <f t="shared" si="19"/>
        <v>N bedding - Non-lactating</v>
      </c>
      <c r="F117" t="str">
        <f t="shared" si="23"/>
        <v>Fraction</v>
      </c>
      <c r="H117" s="22">
        <v>0.08</v>
      </c>
    </row>
    <row r="118" spans="1:8" x14ac:dyDescent="0.25">
      <c r="A118" t="str">
        <f t="shared" si="20"/>
        <v>3C Aggregated and non-CO2 emissions on land</v>
      </c>
      <c r="B118" t="str">
        <f t="shared" si="21"/>
        <v>3C4 Direct N2O from managed soils (N2O)</v>
      </c>
      <c r="C118" t="s">
        <v>408</v>
      </c>
      <c r="D118" t="str">
        <f t="shared" si="22"/>
        <v xml:space="preserve"> - Commercial cattle</v>
      </c>
      <c r="E118" t="str">
        <f t="shared" si="19"/>
        <v>N bedding - Commercial cattle</v>
      </c>
      <c r="F118" t="str">
        <f t="shared" si="23"/>
        <v>Fraction</v>
      </c>
      <c r="H118" s="22">
        <v>0</v>
      </c>
    </row>
    <row r="119" spans="1:8" x14ac:dyDescent="0.25">
      <c r="A119" t="str">
        <f t="shared" si="20"/>
        <v>3C Aggregated and non-CO2 emissions on land</v>
      </c>
      <c r="B119" t="str">
        <f t="shared" si="21"/>
        <v>3C4 Direct N2O from managed soils (N2O)</v>
      </c>
      <c r="C119" t="s">
        <v>408</v>
      </c>
      <c r="D119" t="str">
        <f t="shared" si="22"/>
        <v xml:space="preserve"> - Subsistence cattle</v>
      </c>
      <c r="E119" t="str">
        <f t="shared" si="19"/>
        <v>N bedding - Subsistence cattle</v>
      </c>
      <c r="F119" t="str">
        <f t="shared" si="23"/>
        <v>Fraction</v>
      </c>
      <c r="H119" s="22">
        <v>0.4</v>
      </c>
    </row>
    <row r="120" spans="1:8" x14ac:dyDescent="0.25">
      <c r="A120" t="str">
        <f t="shared" si="20"/>
        <v>3C Aggregated and non-CO2 emissions on land</v>
      </c>
      <c r="B120" t="str">
        <f t="shared" si="21"/>
        <v>3C4 Direct N2O from managed soils (N2O)</v>
      </c>
      <c r="C120" t="s">
        <v>408</v>
      </c>
      <c r="D120" t="str">
        <f t="shared" si="22"/>
        <v xml:space="preserve"> - Feedlot</v>
      </c>
      <c r="E120" t="str">
        <f t="shared" si="19"/>
        <v>N bedding - Feedlot</v>
      </c>
      <c r="F120" t="str">
        <f t="shared" si="23"/>
        <v>Fraction</v>
      </c>
      <c r="H120" s="22">
        <v>0</v>
      </c>
    </row>
    <row r="121" spans="1:8" x14ac:dyDescent="0.25">
      <c r="A121" t="str">
        <f t="shared" si="20"/>
        <v>3C Aggregated and non-CO2 emissions on land</v>
      </c>
      <c r="B121" t="str">
        <f t="shared" si="21"/>
        <v>3C4 Direct N2O from managed soils (N2O)</v>
      </c>
      <c r="C121" t="s">
        <v>408</v>
      </c>
      <c r="D121" t="str">
        <f t="shared" si="22"/>
        <v xml:space="preserve"> - Commercial sheep</v>
      </c>
      <c r="E121" t="str">
        <f t="shared" si="19"/>
        <v>N bedding - Commercial sheep</v>
      </c>
      <c r="F121" t="str">
        <f t="shared" si="23"/>
        <v>Fraction</v>
      </c>
      <c r="H121" s="22">
        <v>0</v>
      </c>
    </row>
    <row r="122" spans="1:8" x14ac:dyDescent="0.25">
      <c r="A122" t="str">
        <f t="shared" si="20"/>
        <v>3C Aggregated and non-CO2 emissions on land</v>
      </c>
      <c r="B122" t="str">
        <f t="shared" si="21"/>
        <v>3C4 Direct N2O from managed soils (N2O)</v>
      </c>
      <c r="C122" t="s">
        <v>408</v>
      </c>
      <c r="D122" t="str">
        <f t="shared" si="22"/>
        <v xml:space="preserve"> - Subsistence sheep</v>
      </c>
      <c r="E122" t="str">
        <f t="shared" si="19"/>
        <v>N bedding - Subsistence sheep</v>
      </c>
      <c r="F122" t="str">
        <f t="shared" si="23"/>
        <v>Fraction</v>
      </c>
      <c r="H122" s="22">
        <v>0</v>
      </c>
    </row>
    <row r="123" spans="1:8" x14ac:dyDescent="0.25">
      <c r="A123" t="str">
        <f t="shared" si="20"/>
        <v>3C Aggregated and non-CO2 emissions on land</v>
      </c>
      <c r="B123" t="str">
        <f t="shared" si="21"/>
        <v>3C4 Direct N2O from managed soils (N2O)</v>
      </c>
      <c r="C123" t="s">
        <v>408</v>
      </c>
      <c r="D123" t="str">
        <f t="shared" si="22"/>
        <v xml:space="preserve"> - Commercial goats</v>
      </c>
      <c r="E123" t="str">
        <f t="shared" si="19"/>
        <v>N bedding - Commercial goats</v>
      </c>
      <c r="F123" t="str">
        <f t="shared" si="23"/>
        <v>Fraction</v>
      </c>
      <c r="H123" s="22">
        <v>0</v>
      </c>
    </row>
    <row r="124" spans="1:8" x14ac:dyDescent="0.25">
      <c r="A124" t="str">
        <f t="shared" si="20"/>
        <v>3C Aggregated and non-CO2 emissions on land</v>
      </c>
      <c r="B124" t="str">
        <f t="shared" si="21"/>
        <v>3C4 Direct N2O from managed soils (N2O)</v>
      </c>
      <c r="C124" t="s">
        <v>408</v>
      </c>
      <c r="D124" t="str">
        <f t="shared" si="22"/>
        <v xml:space="preserve"> - Subsistence goats</v>
      </c>
      <c r="E124" t="str">
        <f t="shared" si="19"/>
        <v>N bedding - Subsistence goats</v>
      </c>
      <c r="F124" t="str">
        <f t="shared" si="23"/>
        <v>Fraction</v>
      </c>
      <c r="H124" s="22">
        <v>0</v>
      </c>
    </row>
    <row r="125" spans="1:8" x14ac:dyDescent="0.25">
      <c r="A125" t="str">
        <f t="shared" si="20"/>
        <v>3C Aggregated and non-CO2 emissions on land</v>
      </c>
      <c r="B125" t="str">
        <f t="shared" si="21"/>
        <v>3C4 Direct N2O from managed soils (N2O)</v>
      </c>
      <c r="C125" t="s">
        <v>408</v>
      </c>
      <c r="D125" t="str">
        <f t="shared" si="22"/>
        <v xml:space="preserve"> - Horses</v>
      </c>
      <c r="E125" t="str">
        <f t="shared" si="19"/>
        <v>N bedding - Horses</v>
      </c>
      <c r="F125" t="str">
        <f t="shared" si="23"/>
        <v>Fraction</v>
      </c>
      <c r="H125" s="22">
        <v>0</v>
      </c>
    </row>
    <row r="126" spans="1:8" x14ac:dyDescent="0.25">
      <c r="A126" t="str">
        <f t="shared" si="20"/>
        <v>3C Aggregated and non-CO2 emissions on land</v>
      </c>
      <c r="B126" t="str">
        <f t="shared" si="21"/>
        <v>3C4 Direct N2O from managed soils (N2O)</v>
      </c>
      <c r="C126" t="s">
        <v>408</v>
      </c>
      <c r="D126" t="str">
        <f t="shared" si="22"/>
        <v xml:space="preserve"> - Mules &amp; Asses</v>
      </c>
      <c r="E126" t="str">
        <f t="shared" si="19"/>
        <v>N bedding - Mules &amp; Asses</v>
      </c>
      <c r="F126" t="str">
        <f t="shared" si="23"/>
        <v>Fraction</v>
      </c>
      <c r="H126" s="22">
        <v>0</v>
      </c>
    </row>
    <row r="127" spans="1:8" x14ac:dyDescent="0.25">
      <c r="A127" t="str">
        <f t="shared" si="20"/>
        <v>3C Aggregated and non-CO2 emissions on land</v>
      </c>
      <c r="B127" t="str">
        <f t="shared" si="21"/>
        <v>3C4 Direct N2O from managed soils (N2O)</v>
      </c>
      <c r="C127" t="s">
        <v>408</v>
      </c>
      <c r="D127" t="str">
        <f t="shared" si="22"/>
        <v xml:space="preserve"> - Commercial swine</v>
      </c>
      <c r="E127" t="str">
        <f t="shared" si="19"/>
        <v>N bedding - Commercial swine</v>
      </c>
      <c r="F127" t="str">
        <f t="shared" si="23"/>
        <v>Fraction</v>
      </c>
      <c r="H127" s="22">
        <v>0</v>
      </c>
    </row>
    <row r="128" spans="1:8" x14ac:dyDescent="0.25">
      <c r="A128" t="str">
        <f t="shared" si="20"/>
        <v>3C Aggregated and non-CO2 emissions on land</v>
      </c>
      <c r="B128" t="str">
        <f t="shared" si="21"/>
        <v>3C4 Direct N2O from managed soils (N2O)</v>
      </c>
      <c r="C128" t="s">
        <v>408</v>
      </c>
      <c r="D128" t="str">
        <f t="shared" si="22"/>
        <v xml:space="preserve"> - Subsistence swine</v>
      </c>
      <c r="E128" t="str">
        <f t="shared" si="19"/>
        <v>N bedding - Subsistence swine</v>
      </c>
      <c r="F128" t="str">
        <f t="shared" si="23"/>
        <v>Fraction</v>
      </c>
      <c r="H128" s="22">
        <v>0</v>
      </c>
    </row>
    <row r="129" spans="1:10" x14ac:dyDescent="0.25">
      <c r="A129" t="str">
        <f t="shared" si="20"/>
        <v>3C Aggregated and non-CO2 emissions on land</v>
      </c>
      <c r="B129" t="str">
        <f t="shared" si="21"/>
        <v>3C4 Direct N2O from managed soils (N2O)</v>
      </c>
      <c r="C129" t="s">
        <v>408</v>
      </c>
      <c r="D129" t="str">
        <f t="shared" si="22"/>
        <v xml:space="preserve"> - Commercial layers</v>
      </c>
      <c r="E129" t="str">
        <f t="shared" si="19"/>
        <v>N bedding - Commercial layers</v>
      </c>
      <c r="F129" t="str">
        <f t="shared" si="23"/>
        <v>Fraction</v>
      </c>
      <c r="H129" s="22">
        <v>0</v>
      </c>
    </row>
    <row r="130" spans="1:10" x14ac:dyDescent="0.25">
      <c r="A130" t="str">
        <f t="shared" si="20"/>
        <v>3C Aggregated and non-CO2 emissions on land</v>
      </c>
      <c r="B130" t="str">
        <f t="shared" si="21"/>
        <v>3C4 Direct N2O from managed soils (N2O)</v>
      </c>
      <c r="C130" t="s">
        <v>408</v>
      </c>
      <c r="D130" t="str">
        <f t="shared" si="22"/>
        <v xml:space="preserve"> - Commercial broilers</v>
      </c>
      <c r="E130" t="str">
        <f t="shared" si="19"/>
        <v>N bedding - Commercial broilers</v>
      </c>
      <c r="F130" t="str">
        <f t="shared" si="23"/>
        <v>Fraction</v>
      </c>
      <c r="H130" s="22">
        <v>0</v>
      </c>
    </row>
    <row r="131" spans="1:10" ht="18.75" customHeight="1" x14ac:dyDescent="0.25">
      <c r="A131" s="20" t="s">
        <v>60</v>
      </c>
      <c r="B131" s="20"/>
      <c r="C131" s="20"/>
      <c r="D131" s="15"/>
      <c r="E131" s="15"/>
      <c r="F131" s="15"/>
      <c r="G131" s="15"/>
      <c r="H131" s="15"/>
      <c r="I131" s="15"/>
      <c r="J131" s="15"/>
    </row>
    <row r="132" spans="1:10" x14ac:dyDescent="0.25">
      <c r="A132" t="str">
        <f>'IPCC Categories'!A59</f>
        <v>3C Aggregated and non-CO2 emissions on land</v>
      </c>
      <c r="B132" t="str">
        <f>'IPCC Categories'!B73</f>
        <v>3C4 Direct N2O from managed soils (N2O)</v>
      </c>
      <c r="C132" t="str">
        <f>'IPCC Categories'!C77</f>
        <v>FSOM</v>
      </c>
      <c r="E132" t="s">
        <v>722</v>
      </c>
      <c r="F132" t="s">
        <v>327</v>
      </c>
      <c r="H132" s="27">
        <v>15</v>
      </c>
    </row>
    <row r="133" spans="1:10" x14ac:dyDescent="0.25">
      <c r="A133" t="str">
        <f>A132</f>
        <v>3C Aggregated and non-CO2 emissions on land</v>
      </c>
      <c r="B133" t="str">
        <f t="shared" ref="B133:C133" si="24">B132</f>
        <v>3C4 Direct N2O from managed soils (N2O)</v>
      </c>
      <c r="C133" t="str">
        <f t="shared" si="24"/>
        <v>FSOM</v>
      </c>
      <c r="E133" t="s">
        <v>723</v>
      </c>
      <c r="F133" t="s">
        <v>327</v>
      </c>
      <c r="H133" s="27">
        <v>15</v>
      </c>
    </row>
    <row r="134" spans="1:10" x14ac:dyDescent="0.25">
      <c r="A134" t="str">
        <f t="shared" ref="A134:A135" si="25">A133</f>
        <v>3C Aggregated and non-CO2 emissions on land</v>
      </c>
      <c r="B134" t="str">
        <f t="shared" ref="B134:B135" si="26">B133</f>
        <v>3C4 Direct N2O from managed soils (N2O)</v>
      </c>
      <c r="C134" t="str">
        <f t="shared" ref="C134:C135" si="27">C133</f>
        <v>FSOM</v>
      </c>
      <c r="E134" t="s">
        <v>724</v>
      </c>
      <c r="F134" t="s">
        <v>327</v>
      </c>
      <c r="H134" s="27">
        <v>10</v>
      </c>
    </row>
    <row r="135" spans="1:10" x14ac:dyDescent="0.25">
      <c r="A135" t="str">
        <f t="shared" si="25"/>
        <v>3C Aggregated and non-CO2 emissions on land</v>
      </c>
      <c r="B135" t="str">
        <f t="shared" si="26"/>
        <v>3C4 Direct N2O from managed soils (N2O)</v>
      </c>
      <c r="C135" t="str">
        <f t="shared" si="27"/>
        <v>FSOM</v>
      </c>
      <c r="E135" t="s">
        <v>725</v>
      </c>
      <c r="F135" t="s">
        <v>327</v>
      </c>
      <c r="H135" s="50">
        <f>+H133</f>
        <v>15</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966FF"/>
  </sheetPr>
  <dimension ref="A1:L8"/>
  <sheetViews>
    <sheetView workbookViewId="0">
      <selection activeCell="G8" sqref="G8:K8"/>
    </sheetView>
  </sheetViews>
  <sheetFormatPr defaultRowHeight="15" x14ac:dyDescent="0.25"/>
  <cols>
    <col min="1" max="1" width="21.28515625" customWidth="1"/>
    <col min="2" max="2" width="24.85546875" customWidth="1"/>
    <col min="3" max="3" width="16.85546875" customWidth="1"/>
    <col min="4" max="4" width="12.85546875" customWidth="1"/>
    <col min="5" max="5" width="42.42578125" customWidth="1"/>
    <col min="6" max="8" width="12.85546875" customWidth="1"/>
    <col min="9" max="9" width="12.7109375" customWidth="1"/>
    <col min="10" max="10" width="11.42578125" customWidth="1"/>
    <col min="11" max="11" width="11.7109375" customWidth="1"/>
    <col min="12" max="12" width="14.140625" customWidth="1"/>
  </cols>
  <sheetData>
    <row r="1" spans="1:12" ht="18.75" x14ac:dyDescent="0.3">
      <c r="A1" s="1" t="s">
        <v>876</v>
      </c>
    </row>
    <row r="3" spans="1:12" x14ac:dyDescent="0.25">
      <c r="G3">
        <v>1</v>
      </c>
      <c r="H3">
        <v>20</v>
      </c>
      <c r="I3">
        <v>33</v>
      </c>
      <c r="J3">
        <v>43</v>
      </c>
      <c r="K3">
        <v>53</v>
      </c>
    </row>
    <row r="4" spans="1:12" s="19" customFormat="1" ht="29.25" customHeight="1" x14ac:dyDescent="0.25">
      <c r="A4" s="17" t="s">
        <v>4</v>
      </c>
      <c r="B4" s="17" t="s">
        <v>313</v>
      </c>
      <c r="C4" s="17" t="s">
        <v>315</v>
      </c>
      <c r="D4" s="17" t="s">
        <v>149</v>
      </c>
      <c r="E4" s="17" t="s">
        <v>150</v>
      </c>
      <c r="F4" s="17" t="s">
        <v>0</v>
      </c>
      <c r="G4" s="17" t="s">
        <v>717</v>
      </c>
      <c r="H4" s="17" t="s">
        <v>717</v>
      </c>
      <c r="I4" s="17" t="s">
        <v>717</v>
      </c>
      <c r="J4" s="17" t="s">
        <v>717</v>
      </c>
      <c r="K4" s="17" t="s">
        <v>717</v>
      </c>
      <c r="L4" s="17" t="s">
        <v>842</v>
      </c>
    </row>
    <row r="5" spans="1:12" ht="18.75" customHeight="1" x14ac:dyDescent="0.25">
      <c r="A5" s="20" t="s">
        <v>814</v>
      </c>
      <c r="B5" s="20"/>
      <c r="C5" s="20"/>
      <c r="D5" s="15"/>
      <c r="E5" s="15"/>
      <c r="F5" s="15"/>
      <c r="G5" s="88">
        <v>2012</v>
      </c>
      <c r="H5" s="88">
        <v>2020</v>
      </c>
      <c r="I5" s="88">
        <v>2030</v>
      </c>
      <c r="J5" s="88">
        <v>2040</v>
      </c>
      <c r="K5" s="88">
        <v>2050</v>
      </c>
    </row>
    <row r="6" spans="1:12" x14ac:dyDescent="0.25">
      <c r="A6" t="str">
        <f>'IPCC Categories'!A5</f>
        <v>3A Livestock</v>
      </c>
      <c r="C6" t="str">
        <f>'IPCC Categories'!D6</f>
        <v>3A1aii Other cattle</v>
      </c>
      <c r="E6" t="s">
        <v>848</v>
      </c>
      <c r="F6" t="s">
        <v>327</v>
      </c>
      <c r="G6" s="50">
        <v>0.7</v>
      </c>
      <c r="H6" s="50">
        <v>0.74</v>
      </c>
      <c r="I6" s="50">
        <v>0.76</v>
      </c>
      <c r="J6" s="50">
        <v>0.8</v>
      </c>
      <c r="K6" s="50">
        <v>0.83</v>
      </c>
    </row>
    <row r="7" spans="1:12" x14ac:dyDescent="0.25">
      <c r="A7" t="str">
        <f>A6</f>
        <v>3A Livestock</v>
      </c>
      <c r="C7" t="str">
        <f>C6</f>
        <v>3A1aii Other cattle</v>
      </c>
      <c r="E7" t="s">
        <v>927</v>
      </c>
      <c r="F7" t="s">
        <v>327</v>
      </c>
      <c r="G7" s="50">
        <v>0.57999999999999996</v>
      </c>
      <c r="H7" s="50">
        <v>0.57999999999999996</v>
      </c>
      <c r="I7" s="50">
        <v>0.57999999999999996</v>
      </c>
      <c r="J7" s="50">
        <v>0.57999999999999996</v>
      </c>
      <c r="K7" s="50">
        <v>0.57999999999999996</v>
      </c>
    </row>
    <row r="8" spans="1:12" x14ac:dyDescent="0.25">
      <c r="A8" t="str">
        <f>A7</f>
        <v>3A Livestock</v>
      </c>
      <c r="C8" t="str">
        <f>C7</f>
        <v>3A1aii Other cattle</v>
      </c>
      <c r="E8" t="s">
        <v>850</v>
      </c>
      <c r="F8" t="s">
        <v>851</v>
      </c>
      <c r="G8" s="50">
        <v>120</v>
      </c>
      <c r="H8" s="50">
        <v>120</v>
      </c>
      <c r="I8" s="50">
        <v>120</v>
      </c>
      <c r="J8" s="50">
        <v>120</v>
      </c>
      <c r="K8" s="50">
        <v>120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6E66F2049731D4C8B4BE33A6B873590" ma:contentTypeVersion="7" ma:contentTypeDescription="Create a new document." ma:contentTypeScope="" ma:versionID="e0ed1ea337bec2590f97fde472945193">
  <xsd:schema xmlns:xsd="http://www.w3.org/2001/XMLSchema" xmlns:xs="http://www.w3.org/2001/XMLSchema" xmlns:p="http://schemas.microsoft.com/office/2006/metadata/properties" xmlns:ns2="4aa0aade-5a71-4415-8847-ee8404131378" xmlns:ns3="43193f7e-cc5e-4e8f-af15-505b2f732e4d" targetNamespace="http://schemas.microsoft.com/office/2006/metadata/properties" ma:root="true" ma:fieldsID="2bf92951eb61e3a55fd158f44bc60684" ns2:_="" ns3:_="">
    <xsd:import namespace="4aa0aade-5a71-4415-8847-ee8404131378"/>
    <xsd:import namespace="43193f7e-cc5e-4e8f-af15-505b2f732e4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a0aade-5a71-4415-8847-ee84041313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193f7e-cc5e-4e8f-af15-505b2f732e4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3800147-0D0D-498D-9F86-60A14C59B4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a0aade-5a71-4415-8847-ee8404131378"/>
    <ds:schemaRef ds:uri="43193f7e-cc5e-4e8f-af15-505b2f732e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C075F93-2FFF-4204-8A47-BF4DE26969B4}">
  <ds:schemaRefs>
    <ds:schemaRef ds:uri="http://schemas.microsoft.com/office/2006/documentManagement/types"/>
    <ds:schemaRef ds:uri="http://www.w3.org/XML/1998/namespace"/>
    <ds:schemaRef ds:uri="http://schemas.microsoft.com/office/infopath/2007/PartnerControls"/>
    <ds:schemaRef ds:uri="http://schemas.openxmlformats.org/package/2006/metadata/core-properties"/>
    <ds:schemaRef ds:uri="http://schemas.microsoft.com/office/2006/metadata/properties"/>
    <ds:schemaRef ds:uri="http://purl.org/dc/elements/1.1/"/>
    <ds:schemaRef ds:uri="http://purl.org/dc/dcmitype/"/>
    <ds:schemaRef ds:uri="43193f7e-cc5e-4e8f-af15-505b2f732e4d"/>
    <ds:schemaRef ds:uri="4aa0aade-5a71-4415-8847-ee8404131378"/>
    <ds:schemaRef ds:uri="http://purl.org/dc/terms/"/>
  </ds:schemaRefs>
</ds:datastoreItem>
</file>

<file path=customXml/itemProps3.xml><?xml version="1.0" encoding="utf-8"?>
<ds:datastoreItem xmlns:ds="http://schemas.openxmlformats.org/officeDocument/2006/customXml" ds:itemID="{85410DEF-99BC-418A-A8F6-60AAAC61D78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36</vt:i4>
      </vt:variant>
    </vt:vector>
  </HeadingPairs>
  <TitlesOfParts>
    <vt:vector size="54" baseType="lpstr">
      <vt:lpstr>Notes</vt:lpstr>
      <vt:lpstr>IndexG2E</vt:lpstr>
      <vt:lpstr>IndexE2G</vt:lpstr>
      <vt:lpstr>DriversCGE</vt:lpstr>
      <vt:lpstr>GHGSummary</vt:lpstr>
      <vt:lpstr>IPCC Categories</vt:lpstr>
      <vt:lpstr>Drivers</vt:lpstr>
      <vt:lpstr>Constants</vt:lpstr>
      <vt:lpstr>Levers &amp; variables</vt:lpstr>
      <vt:lpstr>Intermediate calculations</vt:lpstr>
      <vt:lpstr>Data</vt:lpstr>
      <vt:lpstr>BFAP verification</vt:lpstr>
      <vt:lpstr>Mitigation drivers</vt:lpstr>
      <vt:lpstr>Activity data</vt:lpstr>
      <vt:lpstr>EF</vt:lpstr>
      <vt:lpstr>Aggregated EF</vt:lpstr>
      <vt:lpstr>Emissions</vt:lpstr>
      <vt:lpstr>Emissions summary</vt:lpstr>
      <vt:lpstr>CH4GWP</vt:lpstr>
      <vt:lpstr>CO2toC</vt:lpstr>
      <vt:lpstr>CompostN2O</vt:lpstr>
      <vt:lpstr>CREF</vt:lpstr>
      <vt:lpstr>CtoCO2</vt:lpstr>
      <vt:lpstr>DailyspreadN2O</vt:lpstr>
      <vt:lpstr>DigesterN2OEF</vt:lpstr>
      <vt:lpstr>DrylotN2O</vt:lpstr>
      <vt:lpstr>FracGASF</vt:lpstr>
      <vt:lpstr>FracGASM</vt:lpstr>
      <vt:lpstr>FracLEACH</vt:lpstr>
      <vt:lpstr>FracLEACHMM</vt:lpstr>
      <vt:lpstr>FracLEACHUD</vt:lpstr>
      <vt:lpstr>FSOMEF</vt:lpstr>
      <vt:lpstr>Ggtot</vt:lpstr>
      <vt:lpstr>kgtoGg</vt:lpstr>
      <vt:lpstr>kgtot</vt:lpstr>
      <vt:lpstr>LagoonN2O</vt:lpstr>
      <vt:lpstr>LiquidN2O</vt:lpstr>
      <vt:lpstr>ManureNEF</vt:lpstr>
      <vt:lpstr>ManwithbedN2O</vt:lpstr>
      <vt:lpstr>MMLeachEF</vt:lpstr>
      <vt:lpstr>MMVolatEF</vt:lpstr>
      <vt:lpstr>MSLeachEF</vt:lpstr>
      <vt:lpstr>MSVolatEF</vt:lpstr>
      <vt:lpstr>N2OGWP</vt:lpstr>
      <vt:lpstr>NtoN2O</vt:lpstr>
      <vt:lpstr>ONEF</vt:lpstr>
      <vt:lpstr>PMwithlitterN2O</vt:lpstr>
      <vt:lpstr>PMwithoutlitterN2O</vt:lpstr>
      <vt:lpstr>SNEF</vt:lpstr>
      <vt:lpstr>SolidStorageN2O</vt:lpstr>
      <vt:lpstr>ttoGg</vt:lpstr>
      <vt:lpstr>ttokg</vt:lpstr>
      <vt:lpstr>UDCPPEF</vt:lpstr>
      <vt:lpstr>UDSOEF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Glancy</dc:creator>
  <cp:keywords/>
  <dc:description/>
  <cp:lastModifiedBy>Bruno</cp:lastModifiedBy>
  <cp:revision/>
  <dcterms:created xsi:type="dcterms:W3CDTF">2017-04-05T21:08:35Z</dcterms:created>
  <dcterms:modified xsi:type="dcterms:W3CDTF">2021-08-20T15:06:25Z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0x01010006E66F2049731D4C8B4BE33A6B873590</vt:lpwstr>
  </property>
</Properties>
</file>