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E2B9B91A-8016-42BD-941E-EBD23F8612B3}" xr6:coauthVersionLast="47" xr6:coauthVersionMax="47" xr10:uidLastSave="{00000000-0000-0000-0000-000000000000}"/>
  <bookViews>
    <workbookView xWindow="0" yWindow="105" windowWidth="28770" windowHeight="15570" firstSheet="3" activeTab="13" xr2:uid="{01C5F1A3-3E45-467D-9726-EEF4E68E73D8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Data_PGM" sheetId="56" r:id="rId14"/>
    <sheet name="Processes_BASE" sheetId="31" r:id="rId15"/>
    <sheet name="ANSv2-692-ProcData" sheetId="25" state="veryHidden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6" l="1"/>
  <c r="AG1" i="56"/>
  <c r="AF1" i="56"/>
  <c r="AE1" i="56"/>
  <c r="AD1" i="56"/>
  <c r="AG5" i="56"/>
  <c r="AG4" i="56"/>
  <c r="AF5" i="56"/>
  <c r="AF4" i="56"/>
  <c r="AE5" i="56"/>
  <c r="AE4" i="56"/>
  <c r="AD5" i="56"/>
  <c r="AD4" i="56"/>
  <c r="AD9" i="56"/>
  <c r="AF11" i="56"/>
  <c r="AG12" i="56"/>
  <c r="G23" i="27"/>
  <c r="G22" i="27"/>
  <c r="G20" i="27"/>
  <c r="G28" i="27"/>
  <c r="G24" i="27"/>
  <c r="AC18" i="56"/>
  <c r="AB17" i="56"/>
  <c r="AA16" i="56"/>
  <c r="Z15" i="56"/>
  <c r="AC12" i="56"/>
  <c r="AB11" i="56"/>
  <c r="AA10" i="56"/>
  <c r="Z9" i="56"/>
  <c r="AC5" i="56"/>
  <c r="AB5" i="56"/>
  <c r="AA5" i="56"/>
  <c r="Z5" i="56"/>
  <c r="AC4" i="56"/>
  <c r="AB4" i="56"/>
  <c r="AA4" i="56"/>
  <c r="Z4" i="56"/>
  <c r="Q14" i="60"/>
  <c r="Q15" i="60" s="1"/>
  <c r="N15" i="60"/>
  <c r="O53" i="65"/>
  <c r="O52" i="65"/>
  <c r="O51" i="65"/>
  <c r="O45" i="65"/>
  <c r="O42" i="65"/>
  <c r="O41" i="65"/>
  <c r="O40" i="65"/>
  <c r="O37" i="65"/>
  <c r="O36" i="65"/>
  <c r="O35" i="65"/>
  <c r="O31" i="65"/>
  <c r="O30" i="65"/>
  <c r="N16" i="60"/>
  <c r="Q29" i="65" s="1"/>
  <c r="Q16" i="60"/>
  <c r="Q44" i="65" s="1"/>
  <c r="O44" i="65" s="1"/>
  <c r="Q34" i="65" l="1"/>
  <c r="O29" i="65"/>
  <c r="E10" i="60"/>
  <c r="J5" i="74"/>
  <c r="R12" i="74"/>
  <c r="Q12" i="74"/>
  <c r="P12" i="74"/>
  <c r="O12" i="74"/>
  <c r="N12" i="74"/>
  <c r="M12" i="74"/>
  <c r="E12" i="74"/>
  <c r="K5" i="74" s="1"/>
  <c r="D12" i="74"/>
  <c r="C12" i="74"/>
  <c r="B12" i="74"/>
  <c r="R11" i="74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O34" i="65" l="1"/>
  <c r="Q39" i="65"/>
  <c r="O39" i="65" s="1"/>
  <c r="O50" i="65" s="1"/>
  <c r="T12" i="74"/>
  <c r="U12" i="74" s="1"/>
  <c r="S12" i="74"/>
  <c r="T11" i="74"/>
  <c r="U11" i="74" s="1"/>
  <c r="S11" i="74"/>
  <c r="C13" i="31"/>
  <c r="B13" i="31"/>
  <c r="C12" i="31"/>
  <c r="B12" i="31"/>
  <c r="C11" i="31"/>
  <c r="B11" i="31"/>
  <c r="J8" i="30"/>
  <c r="M8" i="30" s="1"/>
  <c r="N8" i="30" s="1"/>
  <c r="E8" i="30"/>
  <c r="F8" i="30"/>
  <c r="G8" i="30"/>
  <c r="H8" i="30"/>
  <c r="I8" i="30"/>
  <c r="B8" i="30"/>
  <c r="C15" i="29"/>
  <c r="B15" i="29"/>
  <c r="I8" i="27"/>
  <c r="H8" i="27"/>
  <c r="I7" i="27"/>
  <c r="H7" i="27"/>
  <c r="D6" i="27"/>
  <c r="C6" i="27"/>
  <c r="B6" i="27"/>
  <c r="A6" i="27"/>
  <c r="G17" i="65"/>
  <c r="G22" i="65" s="1"/>
  <c r="G23" i="65" s="1"/>
  <c r="G24" i="65"/>
  <c r="O55" i="65" l="1"/>
  <c r="G21" i="27"/>
  <c r="AE10" i="56" s="1"/>
  <c r="D35" i="27"/>
  <c r="K7" i="27" s="1"/>
  <c r="D36" i="27"/>
  <c r="K8" i="27" s="1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F6" i="27" s="1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8" i="30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D20" i="27" l="1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<sst xmlns="http://schemas.openxmlformats.org/spreadsheetml/2006/main" count="1178" uniqueCount="593">
  <si>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</si>
  <si>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</si>
  <si>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</si>
  <si>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</si>
  <si>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</si>
  <si>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</si>
  <si>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</si>
  <si>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</si>
  <si>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</si>
  <si>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</si>
  <si>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</si>
  <si>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</si>
  <si>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</si>
  <si>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</si>
  <si>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</si>
  <si>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</si>
  <si>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</si>
  <si>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</si>
  <si>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</si>
  <si>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</si>
  <si>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</si>
  <si>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</si>
  <si>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</si>
  <si>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</si>
  <si>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</si>
  <si>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</si>
  <si>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</si>
  <si>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</si>
  <si>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</si>
  <si>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</si>
  <si>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</si>
  <si>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</si>
  <si>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</si>
  <si>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</si>
  <si>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</si>
  <si>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</si>
  <si>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</si>
  <si>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</si>
  <si>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</si>
  <si>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</si>
  <si>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</si>
  <si>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</si>
  <si>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</si>
  <si>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</si>
  <si>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</si>
  <si>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</si>
  <si>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</si>
  <si>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</si>
  <si>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</si>
  <si>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</si>
  <si>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</si>
  <si>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</si>
  <si>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</si>
  <si>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</si>
  <si>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</si>
  <si>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</si>
  <si>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</si>
  <si>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</si>
  <si>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</si>
  <si>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</si>
  <si>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</si>
  <si>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</si>
  <si>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</si>
  <si>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</si>
  <si>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</si>
  <si>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</si>
  <si>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</si>
  <si>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</si>
  <si>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</si>
  <si>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</si>
  <si>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</si>
  <si>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</si>
  <si>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</si>
  <si>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</si>
  <si>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</si>
  <si>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</si>
  <si>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</si>
  <si>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</si>
  <si>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</si>
  <si>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</si>
  <si>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</si>
  <si>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</si>
  <si>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</si>
  <si>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</si>
  <si>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</si>
  <si>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</si>
  <si>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</si>
  <si>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</si>
  <si>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</si>
  <si>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</si>
  <si>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</si>
  <si>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</si>
  <si>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</si>
  <si>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</si>
  <si>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</si>
  <si>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</si>
  <si>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</si>
  <si>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</si>
  <si>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</si>
  <si>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</si>
  <si>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</si>
  <si>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</si>
  <si>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</si>
  <si>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</si>
  <si>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</si>
  <si>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</si>
  <si>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</si>
  <si>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</si>
  <si>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</si>
  <si>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</si>
  <si>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</si>
  <si>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</si>
  <si>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</si>
  <si>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</si>
  <si>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</si>
  <si>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</si>
  <si>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</si>
  <si>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</si>
  <si>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</si>
  <si>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</si>
  <si>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</si>
  <si>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</si>
  <si>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</si>
  <si>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</si>
  <si>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</si>
  <si>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</si>
  <si>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</si>
  <si>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</si>
  <si>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</si>
  <si>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</si>
  <si>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</si>
  <si>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</si>
  <si>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</si>
  <si>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</si>
  <si>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</si>
  <si>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</si>
  <si>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</si>
  <si>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</si>
  <si>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</si>
  <si>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</si>
  <si>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</si>
  <si>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</si>
  <si>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</si>
  <si>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</si>
  <si>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</si>
  <si>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</si>
  <si>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</si>
  <si>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</si>
  <si>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</si>
  <si>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</si>
  <si>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</si>
  <si>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</si>
  <si>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</si>
  <si>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</si>
  <si>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</si>
  <si>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</si>
  <si>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</si>
  <si>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</si>
  <si>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</si>
  <si>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</si>
  <si>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</si>
  <si>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</si>
  <si>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</si>
  <si>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</si>
  <si>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</si>
  <si>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</si>
  <si>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</si>
  <si>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</si>
  <si>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</si>
  <si>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</si>
  <si>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</si>
  <si>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</si>
  <si>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</si>
  <si>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</si>
  <si>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</si>
  <si>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</si>
  <si>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</si>
  <si>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</si>
  <si>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</si>
  <si>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</si>
  <si>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</si>
  <si>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</si>
  <si>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</si>
  <si>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</si>
  <si>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</si>
  <si>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</si>
  <si>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</si>
  <si>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</si>
  <si>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</si>
  <si>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</si>
  <si>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</si>
  <si>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</si>
  <si>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</si>
  <si>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</si>
  <si>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</si>
  <si>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</si>
  <si>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</si>
  <si>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</si>
  <si>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</si>
  <si>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</si>
  <si>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</si>
  <si>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</si>
  <si>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</si>
  <si>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</si>
  <si>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</si>
  <si>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</si>
  <si>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</si>
  <si>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</si>
  <si>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</si>
  <si>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</si>
  <si>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</si>
  <si>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</si>
  <si>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</si>
  <si>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</si>
  <si>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</si>
  <si>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</si>
  <si>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</si>
  <si>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</si>
  <si>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</si>
  <si>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</si>
  <si>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</si>
  <si>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</si>
  <si>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</si>
  <si>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</si>
  <si>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</si>
  <si>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</si>
  <si>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</si>
  <si>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</si>
  <si>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</si>
  <si>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</si>
  <si>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</si>
  <si>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</si>
  <si>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</si>
  <si>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</si>
  <si>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</si>
  <si>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</si>
  <si>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</si>
  <si>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</si>
  <si>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</si>
  <si>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</si>
  <si>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</si>
  <si>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</si>
  <si>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</si>
  <si>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</si>
  <si>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</si>
  <si>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</si>
  <si>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</si>
  <si>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</si>
  <si>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</si>
  <si>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</si>
  <si>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</si>
  <si>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</si>
  <si>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</si>
  <si>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</si>
  <si>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</si>
  <si>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</si>
  <si>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</si>
  <si>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</si>
  <si>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</si>
  <si>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</si>
  <si>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</si>
  <si>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</si>
  <si>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</si>
  <si>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</si>
  <si>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</si>
  <si>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</si>
  <si>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</si>
  <si>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</si>
  <si>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</si>
  <si>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</si>
  <si>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</si>
  <si>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</si>
  <si>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</si>
  <si>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</si>
  <si>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</si>
  <si>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</si>
  <si>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</si>
  <si>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</si>
  <si>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</si>
  <si>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</si>
  <si>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</si>
  <si>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</si>
  <si>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</si>
  <si>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</si>
  <si>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</si>
  <si>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</si>
  <si>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</si>
  <si>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</si>
  <si>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</si>
  <si>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</si>
  <si>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</si>
  <si>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</si>
  <si>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</si>
  <si>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</si>
  <si>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</si>
  <si>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</si>
  <si>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</si>
  <si>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</si>
  <si>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</si>
  <si>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</si>
  <si>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</si>
  <si>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</si>
  <si>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</si>
  <si>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</si>
  <si>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</si>
  <si>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</si>
  <si>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</si>
  <si>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</si>
  <si>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</si>
  <si>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</si>
  <si>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</si>
  <si>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</si>
  <si>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</si>
  <si>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</si>
  <si>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</si>
  <si>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</si>
  <si>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</si>
  <si>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</si>
  <si>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</si>
  <si>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</si>
  <si>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</si>
  <si>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</si>
  <si>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</si>
  <si>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</si>
  <si>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</si>
  <si>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</si>
  <si>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</si>
  <si>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</si>
  <si>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</si>
  <si>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</si>
  <si>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</si>
  <si>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</si>
  <si>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</si>
  <si>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</si>
  <si>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</si>
  <si>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</si>
  <si>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</si>
  <si>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</si>
  <si>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</si>
  <si>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</si>
  <si>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</si>
  <si>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</si>
  <si>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</si>
  <si>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</si>
  <si>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</si>
  <si>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</si>
  <si>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</si>
  <si>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</si>
  <si>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</si>
  <si>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</si>
  <si>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</si>
  <si>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</si>
  <si>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</si>
  <si>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</si>
  <si>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</si>
  <si>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</si>
  <si>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</si>
  <si>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</si>
  <si>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</si>
  <si>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</si>
  <si>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</si>
  <si>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</si>
  <si>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</si>
  <si>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</si>
  <si>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</si>
  <si>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</si>
  <si>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</si>
  <si>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</si>
  <si>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</si>
  <si>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</si>
  <si>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</si>
  <si>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</si>
  <si>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</si>
  <si>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</si>
  <si>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</si>
  <si>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</si>
  <si>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</si>
  <si>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</si>
  <si>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</si>
  <si>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</si>
  <si>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</si>
  <si>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</si>
  <si>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</si>
  <si>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</si>
  <si>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</si>
  <si>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</si>
  <si>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</si>
  <si>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</si>
  <si>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</si>
  <si>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</si>
  <si>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</si>
  <si>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</si>
  <si>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</si>
  <si>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</si>
  <si>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</si>
  <si>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</si>
  <si>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</si>
  <si>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</si>
  <si>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</si>
  <si>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</si>
  <si>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</si>
  <si>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</si>
  <si>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</si>
  <si>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</si>
  <si>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</si>
  <si>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</si>
  <si>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</si>
  <si>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</si>
  <si>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</si>
  <si>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</si>
  <si>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</si>
  <si>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</si>
  <si>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</si>
  <si>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</si>
  <si>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</si>
  <si>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</si>
  <si>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</si>
  <si>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</si>
  <si>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</si>
  <si>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</si>
  <si>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</si>
  <si>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</si>
  <si>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</si>
  <si>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</si>
  <si>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</si>
  <si>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</si>
  <si>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</si>
  <si>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</si>
  <si>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</si>
  <si>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</si>
  <si>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</si>
  <si>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</si>
  <si>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</si>
  <si>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</si>
  <si>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</si>
  <si>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</si>
  <si>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</si>
  <si>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</si>
  <si>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</si>
  <si>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</si>
  <si>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</si>
  <si>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</si>
  <si>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</si>
  <si>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</si>
  <si>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</si>
  <si>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</si>
  <si>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</si>
  <si>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</si>
  <si>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</si>
  <si>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</si>
  <si>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</si>
  <si>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</si>
  <si>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</si>
  <si>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</si>
  <si>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</si>
  <si>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</si>
  <si>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</si>
  <si>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</si>
  <si>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</si>
  <si>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</si>
  <si>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</si>
  <si>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</si>
  <si>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</si>
  <si>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</si>
  <si>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</si>
  <si>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</si>
  <si>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</si>
  <si>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</si>
  <si>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</si>
  <si>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</si>
  <si>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</si>
  <si>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</si>
  <si>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</si>
  <si>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</si>
  <si>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</si>
  <si>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</si>
  <si>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</si>
  <si>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</si>
  <si>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</si>
  <si>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</si>
  <si>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</si>
  <si>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</si>
  <si>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</si>
  <si>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</si>
  <si>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</si>
  <si>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</si>
  <si>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</si>
  <si>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</si>
  <si>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</si>
  <si>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</si>
  <si>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</si>
  <si>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</si>
  <si>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</si>
  <si>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</si>
  <si>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</si>
  <si>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</si>
  <si>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</si>
  <si>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</si>
  <si>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</si>
  <si>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</si>
  <si>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</si>
  <si>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</si>
  <si>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</si>
  <si>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</si>
  <si>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</si>
  <si>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</si>
  <si>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</si>
  <si>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</si>
  <si>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</si>
  <si>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</si>
  <si>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</si>
  <si>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</si>
  <si>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</si>
  <si>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</si>
  <si>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</si>
  <si>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</si>
  <si>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</si>
  <si>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</si>
  <si>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</si>
  <si>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</si>
  <si>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</si>
  <si>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</si>
  <si>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</si>
  <si>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</si>
  <si>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</si>
  <si>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</si>
  <si>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</si>
  <si>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</si>
  <si>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</si>
  <si>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</si>
  <si>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</si>
  <si>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</si>
  <si>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</si>
  <si>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</si>
  <si>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</si>
  <si>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</si>
  <si>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</si>
  <si>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</si>
  <si>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</si>
  <si>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</si>
  <si>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</si>
  <si>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</si>
  <si>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</si>
  <si>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</si>
  <si>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</si>
  <si>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</si>
  <si>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</si>
  <si>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</si>
  <si>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</si>
  <si>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</si>
  <si>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</si>
  <si>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</si>
  <si>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</si>
  <si>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</si>
  <si>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</si>
  <si>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</si>
  <si>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</si>
  <si>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</si>
  <si>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</si>
  <si>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</si>
  <si>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</si>
  <si>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</si>
  <si>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</si>
  <si>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</si>
  <si>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</si>
  <si>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</si>
  <si>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</si>
  <si>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</si>
  <si>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</si>
  <si>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</si>
  <si>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</si>
  <si>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</si>
  <si>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</si>
  <si>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</si>
  <si>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</si>
  <si>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</si>
  <si>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</si>
  <si>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</si>
  <si>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</si>
  <si>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</si>
  <si>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</si>
  <si>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</si>
  <si>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</si>
  <si>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</si>
  <si>
    <t>PAMS</t>
  </si>
  <si>
    <t>Is on?</t>
  </si>
  <si>
    <t>Level selected</t>
  </si>
  <si>
    <t>High</t>
  </si>
  <si>
    <t>Low</t>
  </si>
  <si>
    <t>Smelting and refining process</t>
  </si>
  <si>
    <t>Mining process</t>
  </si>
  <si>
    <t>Selected:</t>
  </si>
  <si>
    <t xml:space="preserve">this is the 5% target for furnaces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</si>
</sst>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</cellStyleXfs>
  <cellXfs count="370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2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22" fillId="0" borderId="0" xfId="3"/>
    <xf numFmtId="0" fontId="22" fillId="0" borderId="0" xfId="3" applyFont="1" applyFill="1"/>
    <xf numFmtId="0" fontId="19" fillId="0" borderId="0" xfId="2" applyFont="1"/>
    <xf numFmtId="0" fontId="34" fillId="0" borderId="0" xfId="1" applyFont="1" applyFill="1"/>
    <xf numFmtId="0" fontId="35" fillId="0" borderId="0" xfId="2" applyFont="1"/>
    <xf numFmtId="0" fontId="19" fillId="0" borderId="0" xfId="3" applyFont="1"/>
    <xf numFmtId="0" fontId="29" fillId="0" borderId="0" xfId="2" applyFont="1" applyFill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28" fillId="0" borderId="0" xfId="2" applyFont="1" applyFill="1" applyAlignment="1">
      <alignment horizontal="center"/>
    </xf>
    <xf numFmtId="0" fontId="28" fillId="0" borderId="0" xfId="2" applyFont="1" applyFill="1"/>
    <xf numFmtId="0" fontId="29" fillId="0" borderId="0" xfId="0" applyFont="1" applyFill="1"/>
    <xf numFmtId="0" fontId="14" fillId="0" borderId="0" xfId="12"/>
    <xf numFmtId="0" fontId="31" fillId="0" borderId="0" xfId="12" applyFont="1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4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44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8" fillId="0" borderId="0" xfId="2" applyFont="1" applyFill="1" applyAlignment="1">
      <alignment wrapText="1"/>
    </xf>
    <xf numFmtId="167" fontId="0" fillId="0" borderId="3" xfId="18" applyNumberFormat="1" applyFont="1" applyBorder="1"/>
    <xf numFmtId="0" fontId="19" fillId="0" borderId="0" xfId="2" applyFont="1" applyFill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22" fillId="0" borderId="13" xfId="0" applyFont="1" applyBorder="1"/>
    <xf numFmtId="2" fontId="46" fillId="4" borderId="11" xfId="21" applyNumberFormat="1" applyBorder="1"/>
    <xf numFmtId="0" fontId="0" fillId="0" borderId="0" xfId="0" applyFill="1" applyBorder="1"/>
    <xf numFmtId="0" fontId="9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8" fillId="0" borderId="9" xfId="12" applyFont="1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4" fillId="0" borderId="6" xfId="12" applyBorder="1"/>
    <xf numFmtId="0" fontId="14" fillId="0" borderId="7" xfId="12" applyBorder="1"/>
    <xf numFmtId="0" fontId="7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6" fillId="4" borderId="2" xfId="21" applyNumberFormat="1" applyBorder="1"/>
    <xf numFmtId="0" fontId="7" fillId="0" borderId="0" xfId="12" applyFont="1"/>
    <xf numFmtId="2" fontId="0" fillId="0" borderId="0" xfId="0" applyNumberFormat="1"/>
    <xf numFmtId="0" fontId="31" fillId="0" borderId="0" xfId="23" applyFont="1"/>
    <xf numFmtId="0" fontId="6" fillId="0" borderId="0" xfId="23"/>
    <xf numFmtId="0" fontId="31" fillId="0" borderId="1" xfId="23" applyFont="1" applyBorder="1"/>
    <xf numFmtId="0" fontId="6" fillId="0" borderId="2" xfId="23" applyBorder="1"/>
    <xf numFmtId="0" fontId="6" fillId="0" borderId="3" xfId="23" applyBorder="1"/>
    <xf numFmtId="0" fontId="48" fillId="6" borderId="20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top" wrapText="1"/>
    </xf>
    <xf numFmtId="0" fontId="49" fillId="6" borderId="21" xfId="23" applyFont="1" applyFill="1" applyBorder="1" applyAlignment="1">
      <alignment horizontal="left" vertical="center" wrapText="1"/>
    </xf>
    <xf numFmtId="0" fontId="6" fillId="0" borderId="5" xfId="23" applyBorder="1"/>
    <xf numFmtId="0" fontId="49" fillId="7" borderId="20" xfId="23" applyFont="1" applyFill="1" applyBorder="1" applyAlignment="1">
      <alignment horizontal="left" vertical="center" wrapText="1"/>
    </xf>
    <xf numFmtId="0" fontId="49" fillId="7" borderId="21" xfId="23" applyFont="1" applyFill="1" applyBorder="1" applyAlignment="1">
      <alignment horizontal="left" vertical="center" wrapText="1"/>
    </xf>
    <xf numFmtId="1" fontId="48" fillId="7" borderId="21" xfId="23" applyNumberFormat="1" applyFont="1" applyFill="1" applyBorder="1" applyAlignment="1">
      <alignment horizontal="right" vertical="top" shrinkToFit="1"/>
    </xf>
    <xf numFmtId="1" fontId="48" fillId="7" borderId="21" xfId="23" applyNumberFormat="1" applyFont="1" applyFill="1" applyBorder="1" applyAlignment="1">
      <alignment horizontal="center" vertical="top" shrinkToFit="1"/>
    </xf>
    <xf numFmtId="0" fontId="48" fillId="0" borderId="20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right" vertical="top" wrapText="1"/>
    </xf>
    <xf numFmtId="168" fontId="48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8" fillId="0" borderId="22" xfId="23" applyFont="1" applyBorder="1" applyAlignment="1">
      <alignment horizontal="right" vertical="top" wrapText="1"/>
    </xf>
    <xf numFmtId="0" fontId="48" fillId="0" borderId="23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right" vertical="top" wrapText="1"/>
    </xf>
    <xf numFmtId="168" fontId="48" fillId="0" borderId="24" xfId="24" applyNumberFormat="1" applyFont="1" applyBorder="1" applyAlignment="1">
      <alignment horizontal="right" vertical="top" wrapText="1"/>
    </xf>
    <xf numFmtId="0" fontId="48" fillId="0" borderId="0" xfId="23" applyFont="1" applyAlignment="1">
      <alignment horizontal="right" vertical="top" wrapText="1"/>
    </xf>
    <xf numFmtId="0" fontId="6" fillId="0" borderId="4" xfId="23" applyBorder="1"/>
    <xf numFmtId="9" fontId="0" fillId="0" borderId="0" xfId="25" applyFont="1" applyBorder="1"/>
    <xf numFmtId="0" fontId="6" fillId="0" borderId="6" xfId="23" applyBorder="1"/>
    <xf numFmtId="0" fontId="6" fillId="0" borderId="7" xfId="23" applyBorder="1"/>
    <xf numFmtId="0" fontId="6" fillId="0" borderId="8" xfId="23" applyBorder="1"/>
    <xf numFmtId="0" fontId="6" fillId="0" borderId="1" xfId="23" applyBorder="1"/>
    <xf numFmtId="0" fontId="50" fillId="6" borderId="25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center" vertical="top" wrapText="1"/>
    </xf>
    <xf numFmtId="0" fontId="50" fillId="0" borderId="20" xfId="23" applyFont="1" applyBorder="1" applyAlignment="1">
      <alignment horizontal="left" vertical="center" wrapText="1"/>
    </xf>
    <xf numFmtId="169" fontId="50" fillId="0" borderId="21" xfId="23" applyNumberFormat="1" applyFont="1" applyBorder="1" applyAlignment="1">
      <alignment horizontal="center" vertical="center" shrinkToFit="1"/>
    </xf>
    <xf numFmtId="2" fontId="50" fillId="0" borderId="21" xfId="23" applyNumberFormat="1" applyFont="1" applyBorder="1" applyAlignment="1">
      <alignment horizontal="center" vertical="center" shrinkToFit="1"/>
    </xf>
    <xf numFmtId="1" fontId="50" fillId="0" borderId="21" xfId="23" applyNumberFormat="1" applyFont="1" applyBorder="1" applyAlignment="1">
      <alignment horizontal="center" vertical="center" shrinkToFit="1"/>
    </xf>
    <xf numFmtId="0" fontId="50" fillId="6" borderId="27" xfId="23" applyFont="1" applyFill="1" applyBorder="1" applyAlignment="1">
      <alignment horizontal="center" vertical="top" wrapText="1"/>
    </xf>
    <xf numFmtId="0" fontId="50" fillId="6" borderId="28" xfId="23" applyFont="1" applyFill="1" applyBorder="1" applyAlignment="1">
      <alignment horizontal="center" vertical="top" wrapText="1"/>
    </xf>
    <xf numFmtId="0" fontId="50" fillId="6" borderId="22" xfId="23" applyFont="1" applyFill="1" applyBorder="1" applyAlignment="1">
      <alignment horizontal="left" vertical="top" wrapText="1" indent="2"/>
    </xf>
    <xf numFmtId="0" fontId="50" fillId="0" borderId="29" xfId="23" applyFont="1" applyBorder="1" applyAlignment="1">
      <alignment horizontal="center" vertical="top" wrapText="1"/>
    </xf>
    <xf numFmtId="167" fontId="50" fillId="0" borderId="26" xfId="23" applyNumberFormat="1" applyFont="1" applyBorder="1" applyAlignment="1">
      <alignment horizontal="center" vertical="top" shrinkToFit="1"/>
    </xf>
    <xf numFmtId="0" fontId="50" fillId="0" borderId="33" xfId="23" applyFont="1" applyBorder="1" applyAlignment="1">
      <alignment horizontal="center" vertical="center" wrapText="1"/>
    </xf>
    <xf numFmtId="0" fontId="50" fillId="0" borderId="21" xfId="23" applyFont="1" applyBorder="1" applyAlignment="1">
      <alignment horizontal="center" vertical="center" wrapText="1"/>
    </xf>
    <xf numFmtId="167" fontId="50" fillId="0" borderId="21" xfId="23" applyNumberFormat="1" applyFont="1" applyBorder="1" applyAlignment="1">
      <alignment horizontal="center" vertical="center" shrinkToFit="1"/>
    </xf>
    <xf numFmtId="170" fontId="50" fillId="0" borderId="21" xfId="23" applyNumberFormat="1" applyFont="1" applyBorder="1" applyAlignment="1">
      <alignment horizontal="center" vertical="center" shrinkToFit="1"/>
    </xf>
    <xf numFmtId="10" fontId="50" fillId="0" borderId="21" xfId="23" applyNumberFormat="1" applyFont="1" applyBorder="1" applyAlignment="1">
      <alignment horizontal="center" vertical="center" shrinkToFit="1"/>
    </xf>
    <xf numFmtId="0" fontId="51" fillId="0" borderId="0" xfId="23" applyFont="1" applyAlignment="1">
      <alignment horizontal="center" vertical="center" wrapText="1"/>
    </xf>
    <xf numFmtId="0" fontId="50" fillId="6" borderId="26" xfId="23" applyFont="1" applyFill="1" applyBorder="1" applyAlignment="1">
      <alignment horizontal="left" vertical="top"/>
    </xf>
    <xf numFmtId="0" fontId="50" fillId="6" borderId="26" xfId="23" applyFont="1" applyFill="1" applyBorder="1" applyAlignment="1">
      <alignment horizontal="right" vertical="top"/>
    </xf>
    <xf numFmtId="0" fontId="50" fillId="0" borderId="21" xfId="23" applyFont="1" applyBorder="1" applyAlignment="1">
      <alignment horizontal="left" vertical="center"/>
    </xf>
    <xf numFmtId="165" fontId="50" fillId="0" borderId="21" xfId="23" applyNumberFormat="1" applyFont="1" applyBorder="1" applyAlignment="1">
      <alignment horizontal="right" vertical="center" shrinkToFit="1"/>
    </xf>
    <xf numFmtId="4" fontId="6" fillId="0" borderId="10" xfId="23" applyNumberFormat="1" applyBorder="1"/>
    <xf numFmtId="10" fontId="0" fillId="0" borderId="10" xfId="25" applyNumberFormat="1" applyFont="1" applyBorder="1"/>
    <xf numFmtId="0" fontId="52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6" fillId="0" borderId="0" xfId="23" applyNumberFormat="1"/>
    <xf numFmtId="168" fontId="0" fillId="0" borderId="7" xfId="24" applyNumberFormat="1" applyFont="1" applyBorder="1"/>
    <xf numFmtId="0" fontId="53" fillId="0" borderId="0" xfId="23" applyFont="1"/>
    <xf numFmtId="0" fontId="6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6" fillId="0" borderId="10" xfId="24" applyNumberFormat="1" applyFont="1" applyBorder="1"/>
    <xf numFmtId="43" fontId="6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6" fillId="0" borderId="0" xfId="23" applyNumberFormat="1"/>
    <xf numFmtId="9" fontId="6" fillId="0" borderId="0" xfId="23" applyNumberFormat="1"/>
    <xf numFmtId="10" fontId="6" fillId="0" borderId="0" xfId="23" applyNumberFormat="1"/>
    <xf numFmtId="169" fontId="54" fillId="0" borderId="0" xfId="23" applyNumberFormat="1" applyFont="1"/>
    <xf numFmtId="9" fontId="0" fillId="0" borderId="0" xfId="25" applyFont="1"/>
    <xf numFmtId="9" fontId="31" fillId="0" borderId="0" xfId="25" applyFont="1"/>
    <xf numFmtId="167" fontId="31" fillId="0" borderId="0" xfId="25" applyNumberFormat="1" applyFont="1"/>
    <xf numFmtId="2" fontId="6" fillId="0" borderId="0" xfId="23" applyNumberFormat="1"/>
    <xf numFmtId="2" fontId="31" fillId="0" borderId="0" xfId="23" applyNumberFormat="1" applyFont="1"/>
    <xf numFmtId="166" fontId="6" fillId="0" borderId="0" xfId="23" applyNumberFormat="1"/>
    <xf numFmtId="165" fontId="6" fillId="0" borderId="0" xfId="23" applyNumberFormat="1"/>
    <xf numFmtId="0" fontId="31" fillId="0" borderId="2" xfId="23" applyFont="1" applyBorder="1"/>
    <xf numFmtId="169" fontId="6" fillId="0" borderId="0" xfId="23" applyNumberFormat="1"/>
    <xf numFmtId="168" fontId="0" fillId="0" borderId="0" xfId="24" applyNumberFormat="1" applyFont="1"/>
    <xf numFmtId="43" fontId="6" fillId="0" borderId="0" xfId="23" applyNumberFormat="1"/>
    <xf numFmtId="22" fontId="6" fillId="0" borderId="4" xfId="23" applyNumberFormat="1" applyBorder="1"/>
    <xf numFmtId="168" fontId="6" fillId="0" borderId="0" xfId="23" applyNumberFormat="1"/>
    <xf numFmtId="0" fontId="55" fillId="0" borderId="0" xfId="23" applyFont="1"/>
    <xf numFmtId="168" fontId="55" fillId="0" borderId="0" xfId="23" applyNumberFormat="1" applyFont="1"/>
    <xf numFmtId="8" fontId="6" fillId="0" borderId="0" xfId="23" applyNumberFormat="1"/>
    <xf numFmtId="4" fontId="42" fillId="0" borderId="0" xfId="14" applyNumberFormat="1"/>
    <xf numFmtId="4" fontId="42" fillId="10" borderId="0" xfId="14" applyNumberFormat="1" applyFill="1"/>
    <xf numFmtId="4" fontId="42" fillId="11" borderId="0" xfId="14" applyNumberFormat="1" applyFill="1"/>
    <xf numFmtId="4" fontId="42" fillId="0" borderId="10" xfId="14" applyNumberFormat="1" applyBorder="1"/>
    <xf numFmtId="4" fontId="42" fillId="3" borderId="0" xfId="14" applyNumberFormat="1" applyFill="1"/>
    <xf numFmtId="4" fontId="42" fillId="0" borderId="10" xfId="14" quotePrefix="1" applyNumberFormat="1" applyBorder="1"/>
    <xf numFmtId="3" fontId="42" fillId="0" borderId="10" xfId="14" applyNumberFormat="1" applyBorder="1"/>
    <xf numFmtId="4" fontId="42" fillId="11" borderId="10" xfId="14" applyNumberFormat="1" applyFill="1" applyBorder="1"/>
    <xf numFmtId="4" fontId="42" fillId="12" borderId="10" xfId="14" applyNumberFormat="1" applyFill="1" applyBorder="1"/>
    <xf numFmtId="173" fontId="42" fillId="0" borderId="10" xfId="14" applyNumberFormat="1" applyBorder="1"/>
    <xf numFmtId="10" fontId="0" fillId="0" borderId="10" xfId="17" applyNumberFormat="1" applyFont="1" applyBorder="1"/>
    <xf numFmtId="3" fontId="42" fillId="0" borderId="10" xfId="14" applyNumberFormat="1" applyBorder="1" applyAlignment="1">
      <alignment vertical="center" wrapText="1"/>
    </xf>
    <xf numFmtId="0" fontId="42" fillId="0" borderId="0" xfId="14"/>
    <xf numFmtId="174" fontId="42" fillId="0" borderId="10" xfId="14" applyNumberFormat="1" applyBorder="1"/>
    <xf numFmtId="3" fontId="42" fillId="0" borderId="0" xfId="14" applyNumberFormat="1"/>
    <xf numFmtId="4" fontId="42" fillId="13" borderId="10" xfId="14" applyNumberFormat="1" applyFill="1" applyBorder="1"/>
    <xf numFmtId="3" fontId="42" fillId="13" borderId="10" xfId="14" applyNumberFormat="1" applyFill="1" applyBorder="1"/>
    <xf numFmtId="175" fontId="42" fillId="0" borderId="0" xfId="14" applyNumberFormat="1"/>
    <xf numFmtId="167" fontId="0" fillId="0" borderId="0" xfId="17" applyNumberFormat="1" applyFont="1"/>
    <xf numFmtId="176" fontId="42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2" fillId="15" borderId="0" xfId="14" applyNumberFormat="1" applyFill="1"/>
    <xf numFmtId="4" fontId="42" fillId="0" borderId="14" xfId="14" applyNumberFormat="1" applyBorder="1"/>
    <xf numFmtId="167" fontId="0" fillId="0" borderId="0" xfId="17" applyNumberFormat="1" applyFont="1" applyBorder="1"/>
    <xf numFmtId="0" fontId="5" fillId="0" borderId="5" xfId="12" applyFont="1" applyBorder="1" applyAlignment="1">
      <alignment horizontal="center" textRotation="90"/>
    </xf>
    <xf numFmtId="0" fontId="4" fillId="0" borderId="0" xfId="27"/>
    <xf numFmtId="0" fontId="31" fillId="0" borderId="0" xfId="27" applyFont="1"/>
    <xf numFmtId="2" fontId="4" fillId="0" borderId="0" xfId="27" applyNumberFormat="1"/>
    <xf numFmtId="9" fontId="0" fillId="0" borderId="0" xfId="28" applyFont="1"/>
    <xf numFmtId="0" fontId="4" fillId="0" borderId="5" xfId="12" applyFont="1" applyBorder="1" applyAlignment="1">
      <alignment horizontal="center" textRotation="90"/>
    </xf>
    <xf numFmtId="0" fontId="4" fillId="0" borderId="0" xfId="23" applyFont="1"/>
    <xf numFmtId="167" fontId="6" fillId="0" borderId="0" xfId="18" applyNumberFormat="1" applyFont="1"/>
    <xf numFmtId="0" fontId="54" fillId="0" borderId="0" xfId="23" applyFont="1"/>
    <xf numFmtId="1" fontId="6" fillId="0" borderId="0" xfId="23" applyNumberFormat="1"/>
    <xf numFmtId="177" fontId="6" fillId="0" borderId="0" xfId="26" applyNumberFormat="1" applyFont="1"/>
    <xf numFmtId="43" fontId="31" fillId="0" borderId="0" xfId="23" applyNumberFormat="1" applyFont="1"/>
    <xf numFmtId="2" fontId="6" fillId="0" borderId="2" xfId="23" applyNumberFormat="1" applyBorder="1"/>
    <xf numFmtId="2" fontId="6" fillId="0" borderId="3" xfId="23" applyNumberFormat="1" applyBorder="1"/>
    <xf numFmtId="0" fontId="54" fillId="0" borderId="4" xfId="23" applyFont="1" applyBorder="1"/>
    <xf numFmtId="0" fontId="6" fillId="0" borderId="0" xfId="23" applyBorder="1"/>
    <xf numFmtId="0" fontId="31" fillId="0" borderId="0" xfId="23" applyFont="1" applyBorder="1"/>
    <xf numFmtId="0" fontId="31" fillId="0" borderId="5" xfId="23" applyFont="1" applyBorder="1"/>
    <xf numFmtId="166" fontId="6" fillId="0" borderId="0" xfId="23" applyNumberFormat="1" applyBorder="1"/>
    <xf numFmtId="166" fontId="6" fillId="0" borderId="5" xfId="23" applyNumberFormat="1" applyBorder="1"/>
    <xf numFmtId="0" fontId="4" fillId="3" borderId="5" xfId="12" applyFont="1" applyFill="1" applyBorder="1" applyAlignment="1">
      <alignment horizontal="center" textRotation="90"/>
    </xf>
    <xf numFmtId="0" fontId="58" fillId="0" borderId="0" xfId="29"/>
    <xf numFmtId="0" fontId="59" fillId="0" borderId="0" xfId="0" applyFont="1"/>
    <xf numFmtId="0" fontId="49" fillId="16" borderId="39" xfId="0" applyFont="1" applyFill="1" applyBorder="1" applyAlignment="1">
      <alignment horizontal="left" vertical="center" wrapText="1"/>
    </xf>
    <xf numFmtId="0" fontId="61" fillId="16" borderId="39" xfId="0" applyFont="1" applyFill="1" applyBorder="1" applyAlignment="1">
      <alignment horizontal="center" vertical="top" wrapText="1"/>
    </xf>
    <xf numFmtId="0" fontId="61" fillId="17" borderId="40" xfId="0" applyFont="1" applyFill="1" applyBorder="1" applyAlignment="1">
      <alignment horizontal="left" vertical="top" wrapText="1"/>
    </xf>
    <xf numFmtId="0" fontId="62" fillId="18" borderId="40" xfId="0" applyFont="1" applyFill="1" applyBorder="1" applyAlignment="1">
      <alignment horizontal="center" vertical="top" wrapText="1"/>
    </xf>
    <xf numFmtId="0" fontId="62" fillId="19" borderId="40" xfId="0" applyFont="1" applyFill="1" applyBorder="1" applyAlignment="1">
      <alignment horizontal="center" vertical="top" wrapText="1"/>
    </xf>
    <xf numFmtId="0" fontId="62" fillId="18" borderId="40" xfId="0" applyFont="1" applyFill="1" applyBorder="1" applyAlignment="1">
      <alignment horizontal="left" vertical="top" wrapText="1" indent="4"/>
    </xf>
    <xf numFmtId="0" fontId="63" fillId="17" borderId="41" xfId="0" applyFont="1" applyFill="1" applyBorder="1" applyAlignment="1">
      <alignment horizontal="left" vertical="top" wrapText="1"/>
    </xf>
    <xf numFmtId="178" fontId="60" fillId="18" borderId="41" xfId="0" applyNumberFormat="1" applyFont="1" applyFill="1" applyBorder="1" applyAlignment="1">
      <alignment horizontal="center" vertical="top" shrinkToFit="1"/>
    </xf>
    <xf numFmtId="0" fontId="60" fillId="18" borderId="4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right"/>
    </xf>
    <xf numFmtId="0" fontId="22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2" fillId="0" borderId="0" xfId="0" applyFont="1" applyAlignment="1">
      <alignment horizontal="left"/>
    </xf>
    <xf numFmtId="177" fontId="19" fillId="0" borderId="0" xfId="2" applyNumberFormat="1" applyFont="1"/>
    <xf numFmtId="15" fontId="0" fillId="0" borderId="0" xfId="0" applyNumberFormat="1"/>
    <xf numFmtId="0" fontId="22" fillId="0" borderId="0" xfId="0" applyFont="1" applyAlignment="1">
      <alignment wrapText="1"/>
    </xf>
    <xf numFmtId="2" fontId="0" fillId="3" borderId="0" xfId="0" applyNumberFormat="1" applyFill="1"/>
    <xf numFmtId="0" fontId="3" fillId="0" borderId="0" xfId="23" applyFont="1"/>
    <xf numFmtId="177" fontId="31" fillId="0" borderId="0" xfId="26" applyNumberFormat="1" applyFont="1"/>
    <xf numFmtId="1" fontId="0" fillId="0" borderId="0" xfId="0" applyNumberFormat="1"/>
    <xf numFmtId="4" fontId="3" fillId="0" borderId="0" xfId="23" applyNumberFormat="1" applyFon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0" fontId="2" fillId="0" borderId="0" xfId="23" applyFont="1" applyAlignment="1">
      <alignment wrapText="1"/>
    </xf>
    <xf numFmtId="15" fontId="22" fillId="0" borderId="0" xfId="0" applyNumberFormat="1" applyFont="1"/>
    <xf numFmtId="0" fontId="31" fillId="0" borderId="0" xfId="23" applyFont="1" applyAlignment="1">
      <alignment wrapText="1"/>
    </xf>
    <xf numFmtId="0" fontId="6" fillId="0" borderId="0" xfId="23" applyAlignment="1">
      <alignment wrapText="1"/>
    </xf>
    <xf numFmtId="0" fontId="4" fillId="0" borderId="0" xfId="23" applyFont="1" applyBorder="1"/>
    <xf numFmtId="2" fontId="6" fillId="0" borderId="0" xfId="23" applyNumberFormat="1" applyBorder="1"/>
    <xf numFmtId="177" fontId="2" fillId="0" borderId="0" xfId="26" applyNumberFormat="1" applyFont="1"/>
    <xf numFmtId="9" fontId="10" fillId="0" borderId="0" xfId="12" applyNumberFormat="1" applyFont="1"/>
    <xf numFmtId="9" fontId="14" fillId="0" borderId="0" xfId="12" applyNumberFormat="1"/>
    <xf numFmtId="179" fontId="8" fillId="0" borderId="0" xfId="12" applyNumberFormat="1" applyFont="1"/>
    <xf numFmtId="0" fontId="2" fillId="0" borderId="15" xfId="12" applyFont="1" applyBorder="1"/>
    <xf numFmtId="0" fontId="2" fillId="0" borderId="14" xfId="12" applyFont="1" applyBorder="1"/>
    <xf numFmtId="0" fontId="14" fillId="0" borderId="9" xfId="12" applyBorder="1"/>
    <xf numFmtId="0" fontId="14" fillId="0" borderId="15" xfId="12" applyBorder="1"/>
    <xf numFmtId="0" fontId="2" fillId="0" borderId="9" xfId="12" applyFont="1" applyBorder="1"/>
    <xf numFmtId="0" fontId="14" fillId="0" borderId="8" xfId="12" applyBorder="1"/>
    <xf numFmtId="0" fontId="2" fillId="0" borderId="0" xfId="30"/>
    <xf numFmtId="1" fontId="19" fillId="0" borderId="0" xfId="0" applyNumberFormat="1" applyFont="1"/>
    <xf numFmtId="0" fontId="28" fillId="0" borderId="0" xfId="2" applyFont="1"/>
    <xf numFmtId="0" fontId="28" fillId="0" borderId="0" xfId="1" applyFont="1"/>
    <xf numFmtId="0" fontId="1" fillId="0" borderId="0" xfId="23" applyFont="1" applyAlignment="1">
      <alignment wrapText="1"/>
    </xf>
    <xf numFmtId="9" fontId="0" fillId="0" borderId="0" xfId="0" applyNumberFormat="1"/>
    <xf numFmtId="177" fontId="6" fillId="0" borderId="0" xfId="23" applyNumberFormat="1"/>
    <xf numFmtId="10" fontId="0" fillId="0" borderId="0" xfId="0" applyNumberFormat="1"/>
    <xf numFmtId="0" fontId="64" fillId="0" borderId="0" xfId="0" applyFont="1"/>
    <xf numFmtId="2" fontId="33" fillId="0" borderId="0" xfId="2" applyNumberFormat="1" applyFont="1"/>
    <xf numFmtId="10" fontId="50" fillId="0" borderId="34" xfId="23" applyNumberFormat="1" applyFont="1" applyBorder="1" applyAlignment="1">
      <alignment horizontal="left" vertical="center" indent="2" shrinkToFit="1"/>
    </xf>
    <xf numFmtId="10" fontId="50" fillId="0" borderId="33" xfId="23" applyNumberFormat="1" applyFont="1" applyBorder="1" applyAlignment="1">
      <alignment horizontal="left" vertical="center" indent="2" shrinkToFit="1"/>
    </xf>
    <xf numFmtId="10" fontId="50" fillId="0" borderId="35" xfId="23" applyNumberFormat="1" applyFont="1" applyBorder="1" applyAlignment="1">
      <alignment horizontal="left" vertical="center" indent="2" shrinkToFit="1"/>
    </xf>
    <xf numFmtId="10" fontId="50" fillId="0" borderId="36" xfId="23" applyNumberFormat="1" applyFont="1" applyBorder="1" applyAlignment="1">
      <alignment horizontal="left" vertical="center" indent="2" shrinkToFit="1"/>
    </xf>
    <xf numFmtId="0" fontId="50" fillId="0" borderId="34" xfId="23" applyFont="1" applyBorder="1" applyAlignment="1">
      <alignment horizontal="center" vertical="center" wrapText="1"/>
    </xf>
    <xf numFmtId="0" fontId="50" fillId="0" borderId="33" xfId="23" applyFont="1" applyBorder="1" applyAlignment="1">
      <alignment horizontal="center" vertical="center" wrapText="1"/>
    </xf>
    <xf numFmtId="0" fontId="50" fillId="0" borderId="35" xfId="23" applyFont="1" applyBorder="1" applyAlignment="1">
      <alignment horizontal="center" vertical="center" wrapText="1"/>
    </xf>
    <xf numFmtId="0" fontId="50" fillId="0" borderId="36" xfId="23" applyFont="1" applyBorder="1" applyAlignment="1">
      <alignment horizontal="center" vertical="center" wrapText="1"/>
    </xf>
    <xf numFmtId="0" fontId="49" fillId="0" borderId="0" xfId="23" applyFont="1" applyAlignment="1">
      <alignment horizontal="left" wrapText="1"/>
    </xf>
    <xf numFmtId="0" fontId="49" fillId="0" borderId="5" xfId="23" applyFont="1" applyBorder="1" applyAlignment="1">
      <alignment horizontal="left" wrapText="1"/>
    </xf>
    <xf numFmtId="167" fontId="50" fillId="0" borderId="30" xfId="23" applyNumberFormat="1" applyFont="1" applyBorder="1" applyAlignment="1">
      <alignment horizontal="left" vertical="top" indent="2" shrinkToFit="1"/>
    </xf>
    <xf numFmtId="167" fontId="50" fillId="0" borderId="29" xfId="23" applyNumberFormat="1" applyFont="1" applyBorder="1" applyAlignment="1">
      <alignment horizontal="left" vertical="top" indent="2" shrinkToFit="1"/>
    </xf>
    <xf numFmtId="167" fontId="50" fillId="0" borderId="31" xfId="23" applyNumberFormat="1" applyFont="1" applyBorder="1" applyAlignment="1">
      <alignment horizontal="left" vertical="top" indent="2" shrinkToFit="1"/>
    </xf>
    <xf numFmtId="167" fontId="50" fillId="0" borderId="32" xfId="23" applyNumberFormat="1" applyFont="1" applyBorder="1" applyAlignment="1">
      <alignment horizontal="left" vertical="top" indent="2" shrinkToFit="1"/>
    </xf>
    <xf numFmtId="167" fontId="50" fillId="0" borderId="34" xfId="23" applyNumberFormat="1" applyFont="1" applyBorder="1" applyAlignment="1">
      <alignment horizontal="left" vertical="center" indent="2" shrinkToFit="1"/>
    </xf>
    <xf numFmtId="167" fontId="50" fillId="0" borderId="33" xfId="23" applyNumberFormat="1" applyFont="1" applyBorder="1" applyAlignment="1">
      <alignment horizontal="left" vertical="center" indent="2" shrinkToFit="1"/>
    </xf>
    <xf numFmtId="167" fontId="50" fillId="0" borderId="35" xfId="23" applyNumberFormat="1" applyFont="1" applyBorder="1" applyAlignment="1">
      <alignment horizontal="left" vertical="center" indent="2" shrinkToFit="1"/>
    </xf>
    <xf numFmtId="167" fontId="50" fillId="0" borderId="36" xfId="23" applyNumberFormat="1" applyFont="1" applyBorder="1" applyAlignment="1">
      <alignment horizontal="left" vertical="center" indent="2" shrinkToFit="1"/>
    </xf>
    <xf numFmtId="4" fontId="6" fillId="8" borderId="7" xfId="23" applyNumberFormat="1" applyFill="1" applyBorder="1" applyAlignment="1">
      <alignment horizontal="center"/>
    </xf>
    <xf numFmtId="4" fontId="56" fillId="14" borderId="0" xfId="14" applyNumberFormat="1" applyFont="1" applyFill="1" applyAlignment="1">
      <alignment horizontal="center"/>
    </xf>
    <xf numFmtId="4" fontId="42" fillId="9" borderId="0" xfId="14" applyNumberFormat="1" applyFill="1" applyAlignment="1">
      <alignment horizontal="center"/>
    </xf>
    <xf numFmtId="4" fontId="42" fillId="3" borderId="0" xfId="14" applyNumberFormat="1" applyFill="1" applyAlignment="1">
      <alignment horizontal="left"/>
    </xf>
    <xf numFmtId="4" fontId="42" fillId="8" borderId="7" xfId="14" applyNumberFormat="1" applyFill="1" applyBorder="1" applyAlignment="1">
      <alignment horizontal="center"/>
    </xf>
    <xf numFmtId="4" fontId="56" fillId="0" borderId="0" xfId="14" applyNumberFormat="1" applyFont="1" applyAlignment="1">
      <alignment horizontal="center"/>
    </xf>
    <xf numFmtId="4" fontId="56" fillId="0" borderId="13" xfId="14" applyNumberFormat="1" applyFont="1" applyBorder="1" applyAlignment="1">
      <alignment horizontal="center"/>
    </xf>
    <xf numFmtId="4" fontId="56" fillId="0" borderId="11" xfId="14" applyNumberFormat="1" applyFont="1" applyBorder="1" applyAlignment="1">
      <alignment horizontal="center"/>
    </xf>
    <xf numFmtId="4" fontId="42" fillId="0" borderId="10" xfId="14" applyNumberFormat="1" applyBorder="1" applyAlignment="1">
      <alignment horizontal="center"/>
    </xf>
    <xf numFmtId="4" fontId="56" fillId="0" borderId="10" xfId="14" applyNumberFormat="1" applyFont="1" applyBorder="1" applyAlignment="1">
      <alignment horizontal="center"/>
    </xf>
    <xf numFmtId="4" fontId="42" fillId="8" borderId="0" xfId="14" applyNumberFormat="1" applyFill="1" applyAlignment="1">
      <alignment horizontal="center"/>
    </xf>
    <xf numFmtId="4" fontId="42" fillId="14" borderId="0" xfId="14" applyNumberFormat="1" applyFill="1" applyAlignment="1">
      <alignment horizontal="center"/>
    </xf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7" Type="http://schemas.openxmlformats.org/officeDocument/2006/relationships/image" Target="../media/image53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6" Type="http://schemas.openxmlformats.org/officeDocument/2006/relationships/image" Target="../media/image52.emf"/><Relationship Id="rId5" Type="http://schemas.openxmlformats.org/officeDocument/2006/relationships/image" Target="../media/image51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73.emf"/><Relationship Id="rId7" Type="http://schemas.openxmlformats.org/officeDocument/2006/relationships/image" Target="../media/image69.emf"/><Relationship Id="rId2" Type="http://schemas.openxmlformats.org/officeDocument/2006/relationships/image" Target="../media/image74.emf"/><Relationship Id="rId1" Type="http://schemas.openxmlformats.org/officeDocument/2006/relationships/image" Target="../media/image75.emf"/><Relationship Id="rId6" Type="http://schemas.openxmlformats.org/officeDocument/2006/relationships/image" Target="../media/image70.emf"/><Relationship Id="rId5" Type="http://schemas.openxmlformats.org/officeDocument/2006/relationships/image" Target="../media/image71.emf"/><Relationship Id="rId4" Type="http://schemas.openxmlformats.org/officeDocument/2006/relationships/image" Target="../media/image72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7.emf"/><Relationship Id="rId2" Type="http://schemas.openxmlformats.org/officeDocument/2006/relationships/image" Target="../media/image78.emf"/><Relationship Id="rId1" Type="http://schemas.openxmlformats.org/officeDocument/2006/relationships/image" Target="../media/image79.emf"/><Relationship Id="rId4" Type="http://schemas.openxmlformats.org/officeDocument/2006/relationships/image" Target="../media/image76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1.emf"/><Relationship Id="rId3" Type="http://schemas.openxmlformats.org/officeDocument/2006/relationships/image" Target="../media/image86.emf"/><Relationship Id="rId7" Type="http://schemas.openxmlformats.org/officeDocument/2006/relationships/image" Target="../media/image82.emf"/><Relationship Id="rId2" Type="http://schemas.openxmlformats.org/officeDocument/2006/relationships/image" Target="../media/image87.emf"/><Relationship Id="rId1" Type="http://schemas.openxmlformats.org/officeDocument/2006/relationships/image" Target="../media/image88.emf"/><Relationship Id="rId6" Type="http://schemas.openxmlformats.org/officeDocument/2006/relationships/image" Target="../media/image83.emf"/><Relationship Id="rId5" Type="http://schemas.openxmlformats.org/officeDocument/2006/relationships/image" Target="../media/image84.emf"/><Relationship Id="rId10" Type="http://schemas.openxmlformats.org/officeDocument/2006/relationships/image" Target="../media/image89.emf"/><Relationship Id="rId4" Type="http://schemas.openxmlformats.org/officeDocument/2006/relationships/image" Target="../media/image85.emf"/><Relationship Id="rId9" Type="http://schemas.openxmlformats.org/officeDocument/2006/relationships/image" Target="../media/image80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3" Type="http://schemas.openxmlformats.org/officeDocument/2006/relationships/image" Target="../media/image95.emf"/><Relationship Id="rId7" Type="http://schemas.openxmlformats.org/officeDocument/2006/relationships/image" Target="../media/image91.emf"/><Relationship Id="rId2" Type="http://schemas.openxmlformats.org/officeDocument/2006/relationships/image" Target="../media/image96.emf"/><Relationship Id="rId1" Type="http://schemas.openxmlformats.org/officeDocument/2006/relationships/image" Target="../media/image97.emf"/><Relationship Id="rId6" Type="http://schemas.openxmlformats.org/officeDocument/2006/relationships/image" Target="../media/image92.emf"/><Relationship Id="rId5" Type="http://schemas.openxmlformats.org/officeDocument/2006/relationships/image" Target="../media/image93.emf"/><Relationship Id="rId4" Type="http://schemas.openxmlformats.org/officeDocument/2006/relationships/image" Target="../media/image9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3" Type="http://schemas.openxmlformats.org/officeDocument/2006/relationships/image" Target="../media/image104.emf"/><Relationship Id="rId7" Type="http://schemas.openxmlformats.org/officeDocument/2006/relationships/image" Target="../media/image100.emf"/><Relationship Id="rId2" Type="http://schemas.openxmlformats.org/officeDocument/2006/relationships/image" Target="../media/image105.emf"/><Relationship Id="rId1" Type="http://schemas.openxmlformats.org/officeDocument/2006/relationships/image" Target="../media/image106.emf"/><Relationship Id="rId6" Type="http://schemas.openxmlformats.org/officeDocument/2006/relationships/image" Target="../media/image101.emf"/><Relationship Id="rId5" Type="http://schemas.openxmlformats.org/officeDocument/2006/relationships/image" Target="../media/image102.emf"/><Relationship Id="rId10" Type="http://schemas.openxmlformats.org/officeDocument/2006/relationships/image" Target="../media/image107.emf"/><Relationship Id="rId4" Type="http://schemas.openxmlformats.org/officeDocument/2006/relationships/image" Target="../media/image103.emf"/><Relationship Id="rId9" Type="http://schemas.openxmlformats.org/officeDocument/2006/relationships/image" Target="../media/image98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9.emf"/><Relationship Id="rId3" Type="http://schemas.openxmlformats.org/officeDocument/2006/relationships/image" Target="../media/image114.emf"/><Relationship Id="rId7" Type="http://schemas.openxmlformats.org/officeDocument/2006/relationships/image" Target="../media/image110.emf"/><Relationship Id="rId2" Type="http://schemas.openxmlformats.org/officeDocument/2006/relationships/image" Target="../media/image115.emf"/><Relationship Id="rId1" Type="http://schemas.openxmlformats.org/officeDocument/2006/relationships/image" Target="../media/image116.emf"/><Relationship Id="rId6" Type="http://schemas.openxmlformats.org/officeDocument/2006/relationships/image" Target="../media/image111.emf"/><Relationship Id="rId5" Type="http://schemas.openxmlformats.org/officeDocument/2006/relationships/image" Target="../media/image112.emf"/><Relationship Id="rId10" Type="http://schemas.openxmlformats.org/officeDocument/2006/relationships/image" Target="../media/image117.emf"/><Relationship Id="rId4" Type="http://schemas.openxmlformats.org/officeDocument/2006/relationships/image" Target="../media/image113.emf"/><Relationship Id="rId9" Type="http://schemas.openxmlformats.org/officeDocument/2006/relationships/image" Target="../media/image108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8.emf"/><Relationship Id="rId3" Type="http://schemas.openxmlformats.org/officeDocument/2006/relationships/image" Target="../media/image123.emf"/><Relationship Id="rId7" Type="http://schemas.openxmlformats.org/officeDocument/2006/relationships/image" Target="../media/image119.emf"/><Relationship Id="rId2" Type="http://schemas.openxmlformats.org/officeDocument/2006/relationships/image" Target="../media/image124.emf"/><Relationship Id="rId1" Type="http://schemas.openxmlformats.org/officeDocument/2006/relationships/image" Target="../media/image125.emf"/><Relationship Id="rId6" Type="http://schemas.openxmlformats.org/officeDocument/2006/relationships/image" Target="../media/image120.emf"/><Relationship Id="rId5" Type="http://schemas.openxmlformats.org/officeDocument/2006/relationships/image" Target="../media/image121.emf"/><Relationship Id="rId4" Type="http://schemas.openxmlformats.org/officeDocument/2006/relationships/image" Target="../media/image122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7.emf"/><Relationship Id="rId3" Type="http://schemas.openxmlformats.org/officeDocument/2006/relationships/image" Target="../media/image132.emf"/><Relationship Id="rId7" Type="http://schemas.openxmlformats.org/officeDocument/2006/relationships/image" Target="../media/image128.emf"/><Relationship Id="rId2" Type="http://schemas.openxmlformats.org/officeDocument/2006/relationships/image" Target="../media/image133.emf"/><Relationship Id="rId1" Type="http://schemas.openxmlformats.org/officeDocument/2006/relationships/image" Target="../media/image134.emf"/><Relationship Id="rId6" Type="http://schemas.openxmlformats.org/officeDocument/2006/relationships/image" Target="../media/image129.emf"/><Relationship Id="rId5" Type="http://schemas.openxmlformats.org/officeDocument/2006/relationships/image" Target="../media/image130.emf"/><Relationship Id="rId10" Type="http://schemas.openxmlformats.org/officeDocument/2006/relationships/image" Target="../media/image135.emf"/><Relationship Id="rId4" Type="http://schemas.openxmlformats.org/officeDocument/2006/relationships/image" Target="../media/image131.emf"/><Relationship Id="rId9" Type="http://schemas.openxmlformats.org/officeDocument/2006/relationships/image" Target="../media/image12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7" Type="http://schemas.openxmlformats.org/officeDocument/2006/relationships/image" Target="../media/image30.emf"/><Relationship Id="rId2" Type="http://schemas.openxmlformats.org/officeDocument/2006/relationships/image" Target="../media/image35.emf"/><Relationship Id="rId1" Type="http://schemas.openxmlformats.org/officeDocument/2006/relationships/image" Target="../media/image36.emf"/><Relationship Id="rId6" Type="http://schemas.openxmlformats.org/officeDocument/2006/relationships/image" Target="../media/image31.emf"/><Relationship Id="rId5" Type="http://schemas.openxmlformats.org/officeDocument/2006/relationships/image" Target="../media/image32.emf"/><Relationship Id="rId4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E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E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E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F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F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F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F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F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F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F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R31">
            <v>4.5246489747494749</v>
          </cell>
          <cell r="S31">
            <v>32.653642004977343</v>
          </cell>
        </row>
        <row r="36">
          <cell r="S36">
            <v>6.6440578329725435</v>
          </cell>
        </row>
      </sheetData>
      <sheetData sheetId="56"/>
      <sheetData sheetId="57"/>
      <sheetData sheetId="58"/>
      <sheetData sheetId="59">
        <row r="47">
          <cell r="P47">
            <v>0.04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7.emf"/><Relationship Id="rId10" Type="http://schemas.openxmlformats.org/officeDocument/2006/relationships/comments" Target="../comments2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N11"/>
  <sheetViews>
    <sheetView workbookViewId="0">
      <selection activeCell="L8" sqref="L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4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4" ht="12.75" x14ac:dyDescent="0.2">
      <c r="A2" t="str">
        <f ca="1">MID(CELL("filename",A2),FIND("]",CELL("filename",A2))+1,255)</f>
        <v>CommData_BASE</v>
      </c>
      <c r="F2" s="53"/>
    </row>
    <row r="3" spans="1:14" ht="15" customHeight="1" x14ac:dyDescent="0.2">
      <c r="F3" s="53"/>
    </row>
    <row r="4" spans="1:14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  <c r="M4" s="26" t="s">
        <v>133</v>
      </c>
      <c r="N4" s="26" t="s">
        <v>133</v>
      </c>
    </row>
    <row r="5" spans="1:14" ht="19.5" customHeight="1" x14ac:dyDescent="0.2">
      <c r="E5" s="63"/>
      <c r="F5" s="53"/>
    </row>
    <row r="6" spans="1:14" ht="19.5" customHeight="1" x14ac:dyDescent="0.2">
      <c r="E6" s="63"/>
      <c r="F6" s="53"/>
    </row>
    <row r="7" spans="1:14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2018</v>
      </c>
      <c r="L7" s="12">
        <v>2019</v>
      </c>
      <c r="M7" s="12">
        <v>2030</v>
      </c>
      <c r="N7" s="12">
        <v>2050</v>
      </c>
    </row>
    <row r="8" spans="1:14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39">
        <v>30.822038664165241</v>
      </c>
      <c r="L8" s="339">
        <v>30.425949170614519</v>
      </c>
      <c r="M8" s="303">
        <f>J8</f>
        <v>31</v>
      </c>
      <c r="N8" s="303">
        <f>M8</f>
        <v>31</v>
      </c>
    </row>
    <row r="9" spans="1:14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4" s="53" customFormat="1" x14ac:dyDescent="0.2"/>
    <row r="11" spans="1:14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G20"/>
  <sheetViews>
    <sheetView tabSelected="1" workbookViewId="0">
      <selection activeCell="I13" sqref="I13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33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  <c r="AD1" s="12" t="str">
        <f>IF(Index!$M$10,"","*")</f>
        <v>*</v>
      </c>
      <c r="AE1" s="12" t="str">
        <f>IF(Index!$M$10,"","*")</f>
        <v>*</v>
      </c>
      <c r="AF1" s="12" t="str">
        <f>IF(Index!$M$10,"","*")</f>
        <v>*</v>
      </c>
      <c r="AG1" s="12" t="str">
        <f>IF(Index!$M$10,"","*")</f>
        <v>*</v>
      </c>
    </row>
    <row r="2" spans="1:33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33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33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528</v>
      </c>
      <c r="O4" s="116" t="s">
        <v>540</v>
      </c>
      <c r="P4" s="116" t="s">
        <v>541</v>
      </c>
      <c r="Q4" s="116" t="s">
        <v>542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  <c r="Z4" s="12" t="str">
        <f>T4</f>
        <v>PRC_ACTFLO</v>
      </c>
      <c r="AA4" s="12" t="str">
        <f t="shared" ref="AA4:AA5" si="0">U4</f>
        <v>PRC_ACTFLO</v>
      </c>
      <c r="AB4" s="12" t="str">
        <f t="shared" ref="AB4:AB5" si="1">V4</f>
        <v>PRC_ACTFLO</v>
      </c>
      <c r="AC4" s="12" t="str">
        <f t="shared" ref="AC4:AC5" si="2">W4</f>
        <v>PRC_ACTFLO</v>
      </c>
      <c r="AD4" s="12" t="str">
        <f t="shared" ref="AD4:AG5" si="3">Z4</f>
        <v>PRC_ACTFLO</v>
      </c>
      <c r="AE4" s="12" t="str">
        <f t="shared" si="3"/>
        <v>PRC_ACTFLO</v>
      </c>
      <c r="AF4" s="12" t="str">
        <f t="shared" si="3"/>
        <v>PRC_ACTFLO</v>
      </c>
      <c r="AG4" s="12" t="str">
        <f t="shared" si="3"/>
        <v>PRC_ACTFLO</v>
      </c>
    </row>
    <row r="5" spans="1:33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  <c r="Z5" s="12" t="str">
        <f t="shared" ref="Z5" si="4">T5</f>
        <v>INDCOA</v>
      </c>
      <c r="AA5" s="12" t="str">
        <f t="shared" si="0"/>
        <v>INFELC</v>
      </c>
      <c r="AB5" s="12" t="str">
        <f t="shared" si="1"/>
        <v>INDODS</v>
      </c>
      <c r="AC5" s="12" t="str">
        <f t="shared" si="2"/>
        <v>INFGAS</v>
      </c>
      <c r="AD5" s="12" t="str">
        <f t="shared" si="3"/>
        <v>INDCOA</v>
      </c>
      <c r="AE5" s="12" t="str">
        <f t="shared" si="3"/>
        <v>INFELC</v>
      </c>
      <c r="AF5" s="12" t="str">
        <f t="shared" si="3"/>
        <v>INDODS</v>
      </c>
      <c r="AG5" s="12" t="str">
        <f t="shared" si="3"/>
        <v>INFGAS</v>
      </c>
    </row>
    <row r="6" spans="1:33" ht="17.25" customHeight="1" x14ac:dyDescent="0.2">
      <c r="A6" s="22"/>
      <c r="H6" s="62" t="s">
        <v>126</v>
      </c>
      <c r="I6" s="62"/>
      <c r="J6" s="62"/>
      <c r="K6" s="62"/>
      <c r="R6" s="57"/>
    </row>
    <row r="7" spans="1:33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  <c r="T7" s="12">
        <v>2012</v>
      </c>
      <c r="U7" s="12">
        <v>2012</v>
      </c>
      <c r="V7" s="12">
        <v>2012</v>
      </c>
      <c r="W7" s="12">
        <v>2012</v>
      </c>
      <c r="X7" s="12">
        <v>2012</v>
      </c>
      <c r="Y7" s="12">
        <v>2012</v>
      </c>
      <c r="Z7" s="12">
        <v>2017</v>
      </c>
      <c r="AA7" s="12">
        <v>2017</v>
      </c>
      <c r="AB7" s="12">
        <v>2017</v>
      </c>
      <c r="AC7" s="12">
        <v>2017</v>
      </c>
      <c r="AD7" s="12">
        <v>2030</v>
      </c>
      <c r="AE7" s="12">
        <v>2030</v>
      </c>
      <c r="AF7" s="12">
        <v>2030</v>
      </c>
      <c r="AG7" s="12">
        <v>2030</v>
      </c>
    </row>
    <row r="8" spans="1:33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33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  <c r="Z9" s="120">
        <f>T9</f>
        <v>1.5184024154038968E-2</v>
      </c>
      <c r="AD9" s="120">
        <f>EB_Exist!G20/EB_Exist!G28</f>
        <v>1.5184024154038968E-2</v>
      </c>
      <c r="AE9" s="12"/>
    </row>
    <row r="10" spans="1:33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  <c r="AA10" s="120">
        <f>U10</f>
        <v>0.15114499937673032</v>
      </c>
      <c r="AE10" s="45">
        <f>EB_Exist!G21/EB_Exist!G28</f>
        <v>0.14441687784826079</v>
      </c>
    </row>
    <row r="11" spans="1:33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  <c r="AB11" s="120">
        <f>V11</f>
        <v>1.740249605672875E-2</v>
      </c>
      <c r="AF11" s="45">
        <f>EB_Exist!G23/EB_Exist!G28</f>
        <v>1.740249605672875E-2</v>
      </c>
    </row>
    <row r="12" spans="1:33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  <c r="AC12" s="120">
        <f>W12</f>
        <v>1.0221036009077367E-3</v>
      </c>
      <c r="AG12" s="45">
        <f>EB_Exist!G22/EB_Exist!G28</f>
        <v>1.0221036009077367E-3</v>
      </c>
    </row>
    <row r="13" spans="1:33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EB_Exist!F4/0.85</f>
        <v>305.88235294117646</v>
      </c>
      <c r="J13" s="119">
        <f>I13</f>
        <v>305.88235294117646</v>
      </c>
      <c r="K13" s="119">
        <f>J13</f>
        <v>305.88235294117646</v>
      </c>
      <c r="L13" s="119">
        <f>I13</f>
        <v>305.88235294117646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33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33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  <c r="Z15" s="120">
        <f>T15</f>
        <v>1.5335864395579359E-2</v>
      </c>
    </row>
    <row r="16" spans="1:33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  <c r="AA16" s="120">
        <f>U16</f>
        <v>0.15265644937049763</v>
      </c>
    </row>
    <row r="17" spans="1:29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  <c r="AB17" s="120">
        <f>V17</f>
        <v>1.7576521017296037E-2</v>
      </c>
    </row>
    <row r="18" spans="1:29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  <c r="AC18" s="120">
        <f>W18</f>
        <v>1.032324636916814E-3</v>
      </c>
    </row>
    <row r="19" spans="1:29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9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/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578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578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9" t="str">
        <f>RES!T15</f>
        <v>PEXPGM</v>
      </c>
      <c r="C12" s="59" t="str">
        <f>RES!T13</f>
        <v>Export PGMs - Pt</v>
      </c>
      <c r="D12" t="s">
        <v>123</v>
      </c>
      <c r="E12" s="333" t="s">
        <v>578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578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579</v>
      </c>
      <c r="M4" s="332" t="s">
        <v>579</v>
      </c>
      <c r="N4" s="332" t="s">
        <v>579</v>
      </c>
      <c r="O4" s="332" t="s">
        <v>579</v>
      </c>
      <c r="P4" s="332" t="s">
        <v>579</v>
      </c>
      <c r="Q4" s="332" t="s">
        <v>579</v>
      </c>
      <c r="R4" s="332" t="s">
        <v>579</v>
      </c>
      <c r="S4" s="332" t="s">
        <v>580</v>
      </c>
      <c r="T4" s="332" t="s">
        <v>580</v>
      </c>
      <c r="U4" s="332" t="s">
        <v>580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1">
    <tabColor theme="0" tint="-0.34998626667073579"/>
  </sheetPr>
  <dimension ref="A1:AA104"/>
  <sheetViews>
    <sheetView workbookViewId="0"/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O1" s="153">
        <v>2030</v>
      </c>
      <c r="R1" s="316" t="s">
        <v>555</v>
      </c>
    </row>
    <row r="2" spans="1:18" x14ac:dyDescent="0.25">
      <c r="A2" s="153" t="s">
        <v>318</v>
      </c>
      <c r="C2" s="153"/>
      <c r="D2" s="153"/>
    </row>
    <row r="3" spans="1:18" x14ac:dyDescent="0.25">
      <c r="B3" s="273" t="s">
        <v>453</v>
      </c>
      <c r="E3" s="220"/>
    </row>
    <row r="4" spans="1:18" x14ac:dyDescent="0.25">
      <c r="D4" s="271" t="s">
        <v>452</v>
      </c>
      <c r="E4" s="220"/>
      <c r="F4" s="313" t="s">
        <v>562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561</v>
      </c>
    </row>
    <row r="5" spans="1:18" x14ac:dyDescent="0.25">
      <c r="E5" s="220"/>
    </row>
    <row r="6" spans="1:18" x14ac:dyDescent="0.25">
      <c r="B6" s="273" t="s">
        <v>320</v>
      </c>
      <c r="E6" s="220"/>
    </row>
    <row r="7" spans="1:18" x14ac:dyDescent="0.25">
      <c r="F7" s="271" t="s">
        <v>450</v>
      </c>
      <c r="G7" s="271"/>
      <c r="H7" s="271"/>
      <c r="I7" s="271"/>
    </row>
    <row r="8" spans="1:18" x14ac:dyDescent="0.25">
      <c r="D8" s="154" t="s">
        <v>319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454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319</v>
      </c>
      <c r="E12" s="220"/>
      <c r="F12" s="271" t="s">
        <v>209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209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550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453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551</v>
      </c>
      <c r="F17" s="313" t="s">
        <v>209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552</v>
      </c>
      <c r="F18" s="313" t="s">
        <v>209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559</v>
      </c>
      <c r="F19" s="313" t="s">
        <v>209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560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553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554</v>
      </c>
      <c r="F22" s="313" t="s">
        <v>209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575</v>
      </c>
      <c r="F23" s="313" t="s">
        <v>209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577</v>
      </c>
    </row>
    <row r="24" spans="1:25" x14ac:dyDescent="0.25">
      <c r="D24" s="313" t="s">
        <v>576</v>
      </c>
      <c r="F24" s="313" t="s">
        <v>209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456</v>
      </c>
    </row>
    <row r="26" spans="1:25" x14ac:dyDescent="0.25">
      <c r="B26" s="273" t="s">
        <v>458</v>
      </c>
    </row>
    <row r="29" spans="1:25" x14ac:dyDescent="0.25">
      <c r="C29" s="271" t="s">
        <v>229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O29" s="234">
        <f>L29*(1-Q29)</f>
        <v>0.99007404580152691</v>
      </c>
      <c r="Q29" s="154">
        <f>Index!N16</f>
        <v>0.05</v>
      </c>
      <c r="R29" s="334" t="s">
        <v>584</v>
      </c>
      <c r="S29" s="155" t="s">
        <v>329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229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O30" s="336">
        <f>L30</f>
        <v>5.8549618320610709E-2</v>
      </c>
      <c r="S30" s="279" t="s">
        <v>455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229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O31" s="336">
        <f>L31</f>
        <v>1.9672671755725195</v>
      </c>
      <c r="S31" s="177"/>
      <c r="T31" s="281" t="s">
        <v>330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229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229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228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228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O34" s="234">
        <f>L34*(1-Q34)</f>
        <v>5.3217808955223891</v>
      </c>
      <c r="Q34" s="154">
        <f>Q29</f>
        <v>0.05</v>
      </c>
      <c r="R34" s="334" t="s">
        <v>584</v>
      </c>
      <c r="S34" s="177"/>
      <c r="T34" s="280" t="s">
        <v>324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228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O35" s="336">
        <f t="shared" ref="O35:O37" si="11">L35</f>
        <v>2.343880597014926E-2</v>
      </c>
      <c r="S35" s="177"/>
      <c r="T35" s="280" t="s">
        <v>226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228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O36" s="336">
        <f t="shared" si="11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228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  <c r="O37" s="336">
        <f t="shared" si="11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324</v>
      </c>
      <c r="D39" s="271" t="s">
        <v>178</v>
      </c>
      <c r="F39" s="320" t="s">
        <v>117</v>
      </c>
      <c r="G39" s="275">
        <f t="shared" ref="G39:L42" si="12">INDEX($V$32:$Y$35,MATCH($C39,$T$32:$T$35,0),MATCH($D39,$V$31:$Y$31,0))*G$4</f>
        <v>10.840234034925999</v>
      </c>
      <c r="H39" s="275">
        <f t="shared" si="12"/>
        <v>11.267014902442771</v>
      </c>
      <c r="I39" s="275">
        <f t="shared" si="12"/>
        <v>8.0234803093153069</v>
      </c>
      <c r="J39" s="275">
        <f t="shared" si="12"/>
        <v>11.779151943462896</v>
      </c>
      <c r="K39" s="275">
        <f t="shared" si="12"/>
        <v>11.267014902442771</v>
      </c>
      <c r="L39" s="275">
        <f t="shared" si="12"/>
        <v>11.096302555436061</v>
      </c>
      <c r="O39" s="234">
        <f>L39*(1-Q39)</f>
        <v>10.541487427664258</v>
      </c>
      <c r="Q39" s="154">
        <f>Q34</f>
        <v>0.05</v>
      </c>
      <c r="R39" s="334" t="s">
        <v>584</v>
      </c>
    </row>
    <row r="40" spans="3:25" x14ac:dyDescent="0.25">
      <c r="C40" s="271" t="s">
        <v>324</v>
      </c>
      <c r="D40" s="271" t="s">
        <v>180</v>
      </c>
      <c r="F40" s="320" t="s">
        <v>117</v>
      </c>
      <c r="G40" s="275">
        <f t="shared" si="12"/>
        <v>0</v>
      </c>
      <c r="H40" s="275">
        <f t="shared" si="12"/>
        <v>0</v>
      </c>
      <c r="I40" s="275">
        <f t="shared" si="12"/>
        <v>0</v>
      </c>
      <c r="J40" s="275">
        <f t="shared" si="12"/>
        <v>0</v>
      </c>
      <c r="K40" s="275">
        <f t="shared" si="12"/>
        <v>0</v>
      </c>
      <c r="L40" s="275">
        <f t="shared" si="12"/>
        <v>0</v>
      </c>
      <c r="O40" s="336">
        <f t="shared" ref="O40:O42" si="13">L40</f>
        <v>0</v>
      </c>
    </row>
    <row r="41" spans="3:25" x14ac:dyDescent="0.25">
      <c r="C41" s="271" t="s">
        <v>324</v>
      </c>
      <c r="D41" s="271" t="s">
        <v>143</v>
      </c>
      <c r="F41" s="320" t="s">
        <v>117</v>
      </c>
      <c r="G41" s="275">
        <f t="shared" si="12"/>
        <v>0</v>
      </c>
      <c r="H41" s="275">
        <f t="shared" si="12"/>
        <v>0</v>
      </c>
      <c r="I41" s="275">
        <f t="shared" si="12"/>
        <v>0</v>
      </c>
      <c r="J41" s="275">
        <f t="shared" si="12"/>
        <v>0</v>
      </c>
      <c r="K41" s="275">
        <f t="shared" si="12"/>
        <v>0</v>
      </c>
      <c r="L41" s="275">
        <f t="shared" si="12"/>
        <v>0</v>
      </c>
      <c r="O41" s="336">
        <f t="shared" si="13"/>
        <v>0</v>
      </c>
    </row>
    <row r="42" spans="3:25" x14ac:dyDescent="0.25">
      <c r="C42" s="271" t="s">
        <v>324</v>
      </c>
      <c r="D42" s="271" t="s">
        <v>179</v>
      </c>
      <c r="F42" s="320" t="s">
        <v>117</v>
      </c>
      <c r="G42" s="275">
        <f t="shared" si="12"/>
        <v>1.9186254929072565E-2</v>
      </c>
      <c r="H42" s="275">
        <f t="shared" si="12"/>
        <v>1.9941619296358886E-2</v>
      </c>
      <c r="I42" s="275">
        <f t="shared" si="12"/>
        <v>1.4200850104982843E-2</v>
      </c>
      <c r="J42" s="275">
        <f t="shared" si="12"/>
        <v>2.084805653710247E-2</v>
      </c>
      <c r="K42" s="275">
        <f t="shared" si="12"/>
        <v>1.9941619296358886E-2</v>
      </c>
      <c r="L42" s="275">
        <f t="shared" si="12"/>
        <v>1.9639473549444356E-2</v>
      </c>
      <c r="O42" s="336">
        <f t="shared" si="13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226</v>
      </c>
      <c r="D44" s="271" t="s">
        <v>178</v>
      </c>
      <c r="F44" s="320" t="s">
        <v>117</v>
      </c>
      <c r="G44" s="275">
        <f t="shared" ref="G44:L47" si="14">INDEX($V$32:$Y$35,MATCH($C44,$T$32:$T$35,0),MATCH($D44,$V$31:$Y$31,0))*G$4</f>
        <v>21.059862385321104</v>
      </c>
      <c r="H44" s="275">
        <f t="shared" si="14"/>
        <v>21.888990825688076</v>
      </c>
      <c r="I44" s="275">
        <f t="shared" si="14"/>
        <v>15.587614678899085</v>
      </c>
      <c r="J44" s="275">
        <f t="shared" si="14"/>
        <v>22.883944954128442</v>
      </c>
      <c r="K44" s="275">
        <f t="shared" si="14"/>
        <v>21.888990825688076</v>
      </c>
      <c r="L44" s="275">
        <f t="shared" si="14"/>
        <v>21.557339449541285</v>
      </c>
      <c r="O44" s="234">
        <f>L44*(1-Q44)</f>
        <v>20.695045871559632</v>
      </c>
      <c r="Q44" s="154">
        <f>Index!Q16</f>
        <v>0.04</v>
      </c>
      <c r="R44" s="334" t="s">
        <v>584</v>
      </c>
    </row>
    <row r="45" spans="3:25" x14ac:dyDescent="0.25">
      <c r="C45" s="271" t="s">
        <v>226</v>
      </c>
      <c r="D45" s="271" t="s">
        <v>180</v>
      </c>
      <c r="F45" s="320" t="s">
        <v>117</v>
      </c>
      <c r="G45" s="275">
        <f t="shared" si="14"/>
        <v>4.3401376146788984</v>
      </c>
      <c r="H45" s="275">
        <f t="shared" si="14"/>
        <v>4.5110091743119263</v>
      </c>
      <c r="I45" s="275">
        <f t="shared" si="14"/>
        <v>3.2123853211009168</v>
      </c>
      <c r="J45" s="275">
        <f t="shared" si="14"/>
        <v>4.7160550458715589</v>
      </c>
      <c r="K45" s="275">
        <f t="shared" si="14"/>
        <v>4.5110091743119263</v>
      </c>
      <c r="L45" s="275">
        <f t="shared" si="14"/>
        <v>4.4426605504587151</v>
      </c>
      <c r="O45" s="336">
        <f>L45</f>
        <v>4.4426605504587151</v>
      </c>
    </row>
    <row r="46" spans="3:25" x14ac:dyDescent="0.25">
      <c r="C46" s="271" t="s">
        <v>226</v>
      </c>
      <c r="D46" s="271" t="s">
        <v>143</v>
      </c>
      <c r="F46" s="320" t="s">
        <v>117</v>
      </c>
      <c r="G46" s="275">
        <f t="shared" si="14"/>
        <v>0</v>
      </c>
      <c r="H46" s="275">
        <f t="shared" si="14"/>
        <v>0</v>
      </c>
      <c r="I46" s="275">
        <f t="shared" si="14"/>
        <v>0</v>
      </c>
      <c r="J46" s="275">
        <f t="shared" si="14"/>
        <v>0</v>
      </c>
      <c r="K46" s="275">
        <f t="shared" si="14"/>
        <v>0</v>
      </c>
      <c r="L46" s="275">
        <f t="shared" si="14"/>
        <v>0</v>
      </c>
    </row>
    <row r="47" spans="3:25" x14ac:dyDescent="0.25">
      <c r="C47" s="271" t="s">
        <v>226</v>
      </c>
      <c r="D47" s="271" t="s">
        <v>179</v>
      </c>
      <c r="F47" s="320" t="s">
        <v>117</v>
      </c>
      <c r="G47" s="275">
        <f t="shared" si="14"/>
        <v>0</v>
      </c>
      <c r="H47" s="275">
        <f t="shared" si="14"/>
        <v>0</v>
      </c>
      <c r="I47" s="275">
        <f t="shared" si="14"/>
        <v>0</v>
      </c>
      <c r="J47" s="275">
        <f t="shared" si="14"/>
        <v>0</v>
      </c>
      <c r="K47" s="275">
        <f t="shared" si="14"/>
        <v>0</v>
      </c>
      <c r="L47" s="275">
        <f t="shared" si="14"/>
        <v>0</v>
      </c>
    </row>
    <row r="50" spans="3:27" x14ac:dyDescent="0.25">
      <c r="C50" s="153" t="s">
        <v>222</v>
      </c>
      <c r="D50" s="153" t="s">
        <v>178</v>
      </c>
      <c r="E50" s="153"/>
      <c r="F50" s="320" t="s">
        <v>117</v>
      </c>
      <c r="G50" s="276">
        <f t="shared" ref="G50:H50" si="15">G29+G34+G39+G44</f>
        <v>38.390829841689509</v>
      </c>
      <c r="H50" s="276">
        <f t="shared" si="15"/>
        <v>39.90227983545681</v>
      </c>
      <c r="I50" s="228">
        <f t="shared" ref="I50" si="16">I44+I39+I34+I29</f>
        <v>28.415259882825303</v>
      </c>
      <c r="J50" s="276">
        <f>J29+J34+J39+J44</f>
        <v>41.716019827977576</v>
      </c>
      <c r="K50" s="276">
        <f t="shared" ref="K50" si="17">K29+K34+K39+K44</f>
        <v>39.90227983545681</v>
      </c>
      <c r="L50" s="228">
        <f>L44+L39+L34+L29</f>
        <v>39.297699837949885</v>
      </c>
      <c r="M50" s="234"/>
      <c r="N50" s="234"/>
      <c r="O50" s="228">
        <f>O44+O39+O34+O29</f>
        <v>37.548388240547808</v>
      </c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8">G30+G35+G40+G45</f>
        <v>4.4202339984091026</v>
      </c>
      <c r="H51" s="276">
        <f t="shared" si="18"/>
        <v>4.5942589589763898</v>
      </c>
      <c r="I51" s="228">
        <f t="shared" si="18"/>
        <v>3.2716692586650047</v>
      </c>
      <c r="J51" s="276">
        <f t="shared" ref="J51:K53" si="19">J30+J35+J40+J45</f>
        <v>4.8030889116571345</v>
      </c>
      <c r="K51" s="276">
        <f t="shared" si="19"/>
        <v>4.5942589589763898</v>
      </c>
      <c r="L51" s="228">
        <f>L30+L35+L40+L45</f>
        <v>4.5246489747494749</v>
      </c>
      <c r="O51" s="228">
        <f>O30+O35+O40+O45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20">G31+G36+G41+G46</f>
        <v>3.8567421351258977</v>
      </c>
      <c r="H52" s="276">
        <f t="shared" si="20"/>
        <v>4.008582376666288</v>
      </c>
      <c r="I52" s="228">
        <f t="shared" ref="I52:I53" si="21">I46+I41+I36+I31</f>
        <v>2.8545965409593261</v>
      </c>
      <c r="J52" s="276">
        <f t="shared" si="19"/>
        <v>4.1907906665147552</v>
      </c>
      <c r="K52" s="276">
        <f t="shared" si="19"/>
        <v>4.008582376666288</v>
      </c>
      <c r="L52" s="228">
        <f>L46+L41+L36+L31</f>
        <v>3.9478462800501317</v>
      </c>
      <c r="O52" s="228">
        <f>O46+O41+O36+O31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2">G32+G37+G42+G47</f>
        <v>0.25961431463056511</v>
      </c>
      <c r="H53" s="276">
        <f t="shared" si="22"/>
        <v>0.26983535063964248</v>
      </c>
      <c r="I53" s="228">
        <f t="shared" si="21"/>
        <v>0.19215547697065452</v>
      </c>
      <c r="J53" s="276">
        <f t="shared" si="19"/>
        <v>0.28210059385053537</v>
      </c>
      <c r="K53" s="276">
        <f t="shared" si="19"/>
        <v>0.26983535063964248</v>
      </c>
      <c r="L53" s="228">
        <f>L47+L42+L37+L32</f>
        <v>0.26574693623601153</v>
      </c>
      <c r="O53" s="228">
        <f>O47+O42+O37+O32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  <c r="O54" s="153"/>
    </row>
    <row r="55" spans="3:27" x14ac:dyDescent="0.25">
      <c r="D55" s="153" t="s">
        <v>222</v>
      </c>
      <c r="F55" s="320" t="s">
        <v>117</v>
      </c>
      <c r="G55" s="276">
        <f t="shared" ref="G55:I55" si="23">SUM(G50:G53)</f>
        <v>46.927420289855078</v>
      </c>
      <c r="H55" s="276">
        <f t="shared" si="23"/>
        <v>48.774956521739135</v>
      </c>
      <c r="I55" s="276">
        <f t="shared" si="23"/>
        <v>34.733681159420286</v>
      </c>
      <c r="J55" s="276">
        <f>SUM(J50:J53)</f>
        <v>50.992000000000004</v>
      </c>
      <c r="K55" s="276">
        <f t="shared" ref="K55:L55" si="24">SUM(K50:K53)</f>
        <v>48.774956521739135</v>
      </c>
      <c r="L55" s="276">
        <f t="shared" si="24"/>
        <v>48.035942028985502</v>
      </c>
      <c r="O55" s="276">
        <f t="shared" ref="O55" si="25">SUM(O50:O53)</f>
        <v>46.286630431583426</v>
      </c>
      <c r="P55" s="229"/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321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457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450</v>
      </c>
      <c r="N61" s="280"/>
      <c r="O61" s="280" t="s">
        <v>322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229</v>
      </c>
      <c r="L62" s="319">
        <f>L29</f>
        <v>1.0421832061068705</v>
      </c>
      <c r="M62" s="178">
        <f>L62/$L$50</f>
        <v>2.6520208826584596E-2</v>
      </c>
      <c r="N62" s="280"/>
      <c r="O62" s="280" t="s">
        <v>323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228</v>
      </c>
      <c r="L63" s="319">
        <f>L34</f>
        <v>5.6018746268656727</v>
      </c>
      <c r="M63" s="178">
        <f>L63/$L$50</f>
        <v>0.14254968229605969</v>
      </c>
      <c r="N63" s="280"/>
      <c r="O63" s="280" t="s">
        <v>323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324</v>
      </c>
      <c r="L64" s="319">
        <f>L39</f>
        <v>11.096302555436061</v>
      </c>
      <c r="M64" s="178">
        <f>L64/$L$50</f>
        <v>0.28236519188637943</v>
      </c>
      <c r="N64" s="280"/>
      <c r="O64" s="280" t="s">
        <v>262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226</v>
      </c>
      <c r="L65" s="319">
        <f>L44</f>
        <v>21.557339449541285</v>
      </c>
      <c r="M65" s="178">
        <f>L65/$L$50</f>
        <v>0.54856491699097643</v>
      </c>
      <c r="N65" s="280"/>
      <c r="O65" s="280" t="s">
        <v>262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325</v>
      </c>
      <c r="M69" s="280" t="s">
        <v>326</v>
      </c>
      <c r="N69" s="280" t="s">
        <v>178</v>
      </c>
      <c r="O69" s="280" t="s">
        <v>179</v>
      </c>
      <c r="P69" s="161" t="s">
        <v>327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226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328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331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332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333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334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335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336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337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272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338</v>
      </c>
    </row>
    <row r="82" spans="1:17" x14ac:dyDescent="0.25">
      <c r="B82" s="273" t="s">
        <v>537</v>
      </c>
    </row>
    <row r="84" spans="1:17" x14ac:dyDescent="0.25">
      <c r="C84" s="153" t="s">
        <v>535</v>
      </c>
      <c r="E84" s="153"/>
      <c r="F84" s="153" t="s">
        <v>339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536</v>
      </c>
    </row>
    <row r="85" spans="1:17" x14ac:dyDescent="0.25">
      <c r="C85" s="153" t="s">
        <v>538</v>
      </c>
      <c r="F85" s="153" t="s">
        <v>539</v>
      </c>
      <c r="L85" s="275">
        <f>'Waterberg project'!N25*P84</f>
        <v>1159.5845779193976</v>
      </c>
    </row>
    <row r="86" spans="1:17" x14ac:dyDescent="0.25">
      <c r="C86" s="153" t="s">
        <v>508</v>
      </c>
      <c r="D86" s="153"/>
      <c r="E86" s="153"/>
      <c r="F86" s="153" t="s">
        <v>509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187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188</v>
      </c>
      <c r="C4" s="159" t="s">
        <v>189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190</v>
      </c>
      <c r="N5" s="161"/>
    </row>
    <row r="6" spans="2:18" x14ac:dyDescent="0.25">
      <c r="B6" s="166" t="s">
        <v>143</v>
      </c>
      <c r="C6" s="167" t="s">
        <v>191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192</v>
      </c>
      <c r="C7" s="167" t="s">
        <v>191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193</v>
      </c>
      <c r="C8" s="167" t="s">
        <v>191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194</v>
      </c>
      <c r="C9" s="167" t="s">
        <v>191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195</v>
      </c>
      <c r="C10" s="167" t="s">
        <v>196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197</v>
      </c>
    </row>
    <row r="11" spans="2:18" x14ac:dyDescent="0.25">
      <c r="B11" s="166" t="s">
        <v>198</v>
      </c>
      <c r="C11" s="167" t="s">
        <v>199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200</v>
      </c>
      <c r="N11" s="161"/>
      <c r="Q11" s="154" t="s">
        <v>201</v>
      </c>
    </row>
    <row r="12" spans="2:18" x14ac:dyDescent="0.25">
      <c r="B12" s="166" t="s">
        <v>202</v>
      </c>
      <c r="C12" s="167" t="s">
        <v>199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200</v>
      </c>
      <c r="N12" s="161"/>
      <c r="Q12" s="154">
        <v>4</v>
      </c>
      <c r="R12" s="154" t="s">
        <v>203</v>
      </c>
    </row>
    <row r="13" spans="2:18" x14ac:dyDescent="0.25">
      <c r="B13" s="166" t="s">
        <v>204</v>
      </c>
      <c r="C13" s="167" t="s">
        <v>191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205</v>
      </c>
      <c r="C14" s="167" t="s">
        <v>191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206</v>
      </c>
      <c r="C15" s="167" t="s">
        <v>191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207</v>
      </c>
      <c r="C16" s="167" t="s">
        <v>191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208</v>
      </c>
      <c r="C17" s="173" t="s">
        <v>191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209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210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211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206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212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213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214</v>
      </c>
      <c r="N34" s="161"/>
    </row>
    <row r="35" spans="2:25" ht="43.5" customHeight="1" x14ac:dyDescent="0.25">
      <c r="B35" s="183" t="s">
        <v>215</v>
      </c>
      <c r="C35" s="184" t="s">
        <v>216</v>
      </c>
      <c r="D35" s="185" t="s">
        <v>217</v>
      </c>
      <c r="N35" s="161"/>
    </row>
    <row r="36" spans="2:25" ht="45" x14ac:dyDescent="0.25">
      <c r="B36" s="186" t="s">
        <v>218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219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220</v>
      </c>
      <c r="C38" s="187">
        <v>47.5</v>
      </c>
      <c r="D38" s="187">
        <v>15.9</v>
      </c>
      <c r="N38" s="161"/>
    </row>
    <row r="39" spans="2:25" x14ac:dyDescent="0.25">
      <c r="B39" s="186" t="s">
        <v>221</v>
      </c>
      <c r="C39" s="187">
        <v>20.8</v>
      </c>
      <c r="D39" s="188">
        <v>7</v>
      </c>
      <c r="N39" s="161"/>
    </row>
    <row r="40" spans="2:25" x14ac:dyDescent="0.25">
      <c r="B40" s="186" t="s">
        <v>222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223</v>
      </c>
      <c r="Y46" s="161"/>
    </row>
    <row r="47" spans="2:25" x14ac:dyDescent="0.25">
      <c r="B47" s="177"/>
      <c r="Q47" s="153" t="s">
        <v>224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225</v>
      </c>
      <c r="R49" s="191" t="s">
        <v>226</v>
      </c>
      <c r="S49" s="191" t="s">
        <v>227</v>
      </c>
      <c r="T49" s="191" t="s">
        <v>228</v>
      </c>
      <c r="U49" s="192" t="s">
        <v>229</v>
      </c>
      <c r="W49" s="192" t="s">
        <v>230</v>
      </c>
      <c r="Y49" s="161"/>
    </row>
    <row r="50" spans="2:25" ht="14.45" customHeight="1" x14ac:dyDescent="0.25">
      <c r="B50" s="177"/>
      <c r="Q50" s="348"/>
      <c r="R50" s="348"/>
      <c r="S50" s="348"/>
      <c r="T50" s="348"/>
      <c r="U50" s="348"/>
      <c r="V50" s="348"/>
      <c r="W50" s="348"/>
      <c r="Y50" s="161"/>
    </row>
    <row r="51" spans="2:25" x14ac:dyDescent="0.25">
      <c r="B51" s="177"/>
      <c r="Q51" s="348"/>
      <c r="R51" s="348"/>
      <c r="S51" s="348"/>
      <c r="T51" s="348"/>
      <c r="U51" s="348"/>
      <c r="V51" s="348"/>
      <c r="W51" s="348"/>
      <c r="X51" s="348"/>
      <c r="Y51" s="349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50">
        <v>0.34</v>
      </c>
      <c r="V52" s="351"/>
      <c r="W52" s="350">
        <v>0.21</v>
      </c>
      <c r="X52" s="352"/>
      <c r="Y52" s="353"/>
    </row>
    <row r="53" spans="2:25" x14ac:dyDescent="0.25">
      <c r="B53" s="177"/>
      <c r="Q53" s="195" t="s">
        <v>143</v>
      </c>
      <c r="R53" s="196" t="s">
        <v>231</v>
      </c>
      <c r="S53" s="196" t="s">
        <v>231</v>
      </c>
      <c r="T53" s="197">
        <v>0.252</v>
      </c>
      <c r="U53" s="354">
        <v>0.64100000000000001</v>
      </c>
      <c r="V53" s="355"/>
      <c r="W53" s="354">
        <v>0.78</v>
      </c>
      <c r="X53" s="356"/>
      <c r="Y53" s="357"/>
    </row>
    <row r="54" spans="2:25" ht="30" x14ac:dyDescent="0.25">
      <c r="B54" s="177"/>
      <c r="Q54" s="195" t="s">
        <v>232</v>
      </c>
      <c r="R54" s="197">
        <v>0.17100000000000001</v>
      </c>
      <c r="S54" s="196" t="s">
        <v>231</v>
      </c>
      <c r="T54" s="198">
        <v>2.99E-3</v>
      </c>
      <c r="U54" s="340">
        <v>1.9099999999999999E-2</v>
      </c>
      <c r="V54" s="341"/>
      <c r="W54" s="340">
        <v>0.01</v>
      </c>
      <c r="X54" s="342"/>
      <c r="Y54" s="343"/>
    </row>
    <row r="55" spans="2:25" x14ac:dyDescent="0.25">
      <c r="B55" s="177"/>
      <c r="Q55" s="195" t="s">
        <v>179</v>
      </c>
      <c r="R55" s="196" t="s">
        <v>231</v>
      </c>
      <c r="S55" s="198">
        <v>1.7700000000000001E-3</v>
      </c>
      <c r="T55" s="199">
        <v>3.1300000000000001E-2</v>
      </c>
      <c r="U55" s="344" t="s">
        <v>231</v>
      </c>
      <c r="V55" s="345"/>
      <c r="W55" s="344" t="s">
        <v>231</v>
      </c>
      <c r="X55" s="346"/>
      <c r="Y55" s="347"/>
    </row>
    <row r="56" spans="2:25" x14ac:dyDescent="0.25">
      <c r="B56" s="177"/>
      <c r="Y56" s="161"/>
    </row>
    <row r="57" spans="2:25" ht="31.5" x14ac:dyDescent="0.25">
      <c r="B57" s="177"/>
      <c r="Q57" s="200" t="s">
        <v>233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234</v>
      </c>
      <c r="R59" s="202" t="s">
        <v>235</v>
      </c>
      <c r="S59" s="201" t="s">
        <v>43</v>
      </c>
      <c r="Y59" s="161"/>
    </row>
    <row r="60" spans="2:25" x14ac:dyDescent="0.25">
      <c r="B60" s="177"/>
      <c r="Q60" s="203" t="s">
        <v>226</v>
      </c>
      <c r="R60" s="204">
        <v>0.3</v>
      </c>
      <c r="S60" s="203" t="s">
        <v>236</v>
      </c>
      <c r="Y60" s="161"/>
    </row>
    <row r="61" spans="2:25" x14ac:dyDescent="0.25">
      <c r="B61" s="177"/>
      <c r="Q61" s="203" t="s">
        <v>227</v>
      </c>
      <c r="R61" s="204">
        <v>0.15</v>
      </c>
      <c r="S61" s="203" t="s">
        <v>237</v>
      </c>
      <c r="Y61" s="161"/>
    </row>
    <row r="62" spans="2:25" x14ac:dyDescent="0.25">
      <c r="B62" s="177"/>
      <c r="Q62" s="203" t="s">
        <v>228</v>
      </c>
      <c r="R62" s="188">
        <v>4.53</v>
      </c>
      <c r="S62" s="203" t="s">
        <v>238</v>
      </c>
      <c r="Y62" s="161"/>
    </row>
    <row r="63" spans="2:25" x14ac:dyDescent="0.25">
      <c r="B63" s="177"/>
      <c r="Q63" s="203" t="s">
        <v>229</v>
      </c>
      <c r="R63" s="188">
        <v>1.77</v>
      </c>
      <c r="S63" s="203" t="s">
        <v>238</v>
      </c>
      <c r="Y63" s="161"/>
    </row>
    <row r="64" spans="2:25" x14ac:dyDescent="0.25">
      <c r="B64" s="177"/>
      <c r="Q64" s="203" t="s">
        <v>239</v>
      </c>
      <c r="R64" s="188">
        <v>3.13</v>
      </c>
      <c r="S64" s="203" t="s">
        <v>240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241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242</v>
      </c>
      <c r="J80" s="205" t="s">
        <v>243</v>
      </c>
    </row>
    <row r="81" spans="9:10" x14ac:dyDescent="0.25">
      <c r="I81" s="205" t="s">
        <v>244</v>
      </c>
      <c r="J81" s="206">
        <v>3.0000000000000001E-6</v>
      </c>
    </row>
    <row r="82" spans="9:10" x14ac:dyDescent="0.25">
      <c r="I82" s="205" t="s">
        <v>245</v>
      </c>
      <c r="J82" s="206">
        <v>1.4999999999999999E-4</v>
      </c>
    </row>
    <row r="83" spans="9:10" x14ac:dyDescent="0.25">
      <c r="I83" s="205" t="s">
        <v>246</v>
      </c>
      <c r="J83" s="206">
        <v>2E-3</v>
      </c>
    </row>
    <row r="84" spans="9:10" x14ac:dyDescent="0.25">
      <c r="I84" s="205" t="s">
        <v>247</v>
      </c>
      <c r="J84" s="206">
        <v>0.5</v>
      </c>
    </row>
    <row r="85" spans="9:10" x14ac:dyDescent="0.25">
      <c r="I85" s="205" t="s">
        <v>248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sheetPr codeName="Sheet1"/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531</v>
      </c>
      <c r="E1" s="1" t="s">
        <v>349</v>
      </c>
    </row>
    <row r="2" spans="3:5" x14ac:dyDescent="0.2">
      <c r="C2" s="305" t="s">
        <v>558</v>
      </c>
      <c r="D2" s="92" t="s">
        <v>557</v>
      </c>
      <c r="E2" s="315" t="s">
        <v>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sheetPr codeName="Sheet23"/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249</v>
      </c>
      <c r="D2" s="153"/>
      <c r="E2" s="153"/>
      <c r="F2" s="153" t="s">
        <v>250</v>
      </c>
    </row>
    <row r="3" spans="2:16" ht="18.75" x14ac:dyDescent="0.25">
      <c r="C3" s="154" t="s">
        <v>251</v>
      </c>
      <c r="F3" s="207" t="s">
        <v>252</v>
      </c>
      <c r="H3" s="154" t="s">
        <v>253</v>
      </c>
    </row>
    <row r="4" spans="2:16" ht="18.75" x14ac:dyDescent="0.25">
      <c r="C4" s="154" t="s">
        <v>254</v>
      </c>
      <c r="F4" s="207" t="s">
        <v>255</v>
      </c>
    </row>
    <row r="9" spans="2:16" x14ac:dyDescent="0.25">
      <c r="B9" s="153" t="s">
        <v>256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257</v>
      </c>
      <c r="E11" s="208" t="s">
        <v>258</v>
      </c>
      <c r="F11" s="208" t="s">
        <v>259</v>
      </c>
      <c r="G11" s="208" t="s">
        <v>260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261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262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263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229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261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263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223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224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225</v>
      </c>
      <c r="D25" s="191" t="s">
        <v>226</v>
      </c>
      <c r="E25" s="191" t="s">
        <v>227</v>
      </c>
      <c r="F25" s="191" t="s">
        <v>228</v>
      </c>
      <c r="G25" s="192" t="s">
        <v>229</v>
      </c>
      <c r="I25" s="192" t="s">
        <v>230</v>
      </c>
      <c r="K25" s="161"/>
    </row>
    <row r="26" spans="2:11" x14ac:dyDescent="0.25">
      <c r="B26" s="177"/>
      <c r="C26" s="348"/>
      <c r="D26" s="348"/>
      <c r="E26" s="348"/>
      <c r="F26" s="348"/>
      <c r="G26" s="348"/>
      <c r="H26" s="348"/>
      <c r="I26" s="348"/>
      <c r="K26" s="161"/>
    </row>
    <row r="27" spans="2:11" x14ac:dyDescent="0.25">
      <c r="B27" s="177"/>
      <c r="C27" s="348"/>
      <c r="D27" s="348"/>
      <c r="E27" s="348"/>
      <c r="F27" s="348"/>
      <c r="G27" s="348"/>
      <c r="H27" s="348"/>
      <c r="I27" s="348"/>
      <c r="J27" s="348"/>
      <c r="K27" s="349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50">
        <v>0.34</v>
      </c>
      <c r="H28" s="351"/>
      <c r="I28" s="350">
        <v>0.21</v>
      </c>
      <c r="J28" s="352"/>
      <c r="K28" s="353"/>
    </row>
    <row r="29" spans="2:11" x14ac:dyDescent="0.25">
      <c r="B29" s="177"/>
      <c r="C29" s="195" t="s">
        <v>143</v>
      </c>
      <c r="D29" s="196" t="s">
        <v>231</v>
      </c>
      <c r="E29" s="196" t="s">
        <v>231</v>
      </c>
      <c r="F29" s="197">
        <v>0.252</v>
      </c>
      <c r="G29" s="354">
        <v>0.64100000000000001</v>
      </c>
      <c r="H29" s="355"/>
      <c r="I29" s="354">
        <v>0.78</v>
      </c>
      <c r="J29" s="356"/>
      <c r="K29" s="357"/>
    </row>
    <row r="30" spans="2:11" x14ac:dyDescent="0.25">
      <c r="B30" s="177"/>
      <c r="C30" s="195" t="s">
        <v>232</v>
      </c>
      <c r="D30" s="197">
        <v>0.17100000000000001</v>
      </c>
      <c r="E30" s="196" t="s">
        <v>231</v>
      </c>
      <c r="F30" s="198">
        <v>2.99E-3</v>
      </c>
      <c r="G30" s="340">
        <v>1.9099999999999999E-2</v>
      </c>
      <c r="H30" s="341"/>
      <c r="I30" s="340">
        <v>0.01</v>
      </c>
      <c r="J30" s="342"/>
      <c r="K30" s="343"/>
    </row>
    <row r="31" spans="2:11" x14ac:dyDescent="0.25">
      <c r="B31" s="177"/>
      <c r="C31" s="195" t="s">
        <v>179</v>
      </c>
      <c r="D31" s="196" t="s">
        <v>231</v>
      </c>
      <c r="E31" s="198">
        <v>1.7700000000000001E-3</v>
      </c>
      <c r="F31" s="199">
        <v>3.1300000000000001E-2</v>
      </c>
      <c r="G31" s="344" t="s">
        <v>231</v>
      </c>
      <c r="H31" s="345"/>
      <c r="I31" s="344" t="s">
        <v>231</v>
      </c>
      <c r="J31" s="346"/>
      <c r="K31" s="347"/>
    </row>
    <row r="32" spans="2:11" x14ac:dyDescent="0.25">
      <c r="B32" s="177"/>
      <c r="K32" s="161"/>
    </row>
    <row r="33" spans="2:19" ht="15.75" x14ac:dyDescent="0.25">
      <c r="B33" s="177"/>
      <c r="C33" s="200" t="s">
        <v>233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234</v>
      </c>
      <c r="D35" s="202" t="s">
        <v>235</v>
      </c>
      <c r="E35" s="201" t="s">
        <v>43</v>
      </c>
      <c r="K35" s="161"/>
    </row>
    <row r="36" spans="2:19" x14ac:dyDescent="0.25">
      <c r="B36" s="177"/>
      <c r="C36" s="203" t="s">
        <v>226</v>
      </c>
      <c r="D36" s="204">
        <v>0.3</v>
      </c>
      <c r="E36" s="203" t="s">
        <v>236</v>
      </c>
      <c r="K36" s="161"/>
    </row>
    <row r="37" spans="2:19" x14ac:dyDescent="0.25">
      <c r="B37" s="177"/>
      <c r="C37" s="203" t="s">
        <v>227</v>
      </c>
      <c r="D37" s="204">
        <v>0.15</v>
      </c>
      <c r="E37" s="203" t="s">
        <v>237</v>
      </c>
      <c r="K37" s="161"/>
    </row>
    <row r="38" spans="2:19" x14ac:dyDescent="0.25">
      <c r="B38" s="177"/>
      <c r="C38" s="203" t="s">
        <v>228</v>
      </c>
      <c r="D38" s="188">
        <v>4.53</v>
      </c>
      <c r="E38" s="203" t="s">
        <v>238</v>
      </c>
      <c r="K38" s="161"/>
    </row>
    <row r="39" spans="2:19" x14ac:dyDescent="0.25">
      <c r="B39" s="177"/>
      <c r="C39" s="203" t="s">
        <v>229</v>
      </c>
      <c r="D39" s="188">
        <v>1.77</v>
      </c>
      <c r="E39" s="203" t="s">
        <v>238</v>
      </c>
      <c r="K39" s="161"/>
    </row>
    <row r="40" spans="2:19" x14ac:dyDescent="0.25">
      <c r="B40" s="177"/>
      <c r="C40" s="203" t="s">
        <v>239</v>
      </c>
      <c r="D40" s="188">
        <v>3.13</v>
      </c>
      <c r="E40" s="203" t="s">
        <v>240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264</v>
      </c>
      <c r="N45" s="154" t="s">
        <v>265</v>
      </c>
    </row>
    <row r="46" spans="2:19" x14ac:dyDescent="0.25">
      <c r="C46" s="182" t="s">
        <v>266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267</v>
      </c>
      <c r="P46" s="213" t="s">
        <v>117</v>
      </c>
    </row>
    <row r="47" spans="2:19" x14ac:dyDescent="0.25">
      <c r="C47" s="214"/>
      <c r="D47" s="208" t="s">
        <v>257</v>
      </c>
      <c r="E47" s="208" t="s">
        <v>258</v>
      </c>
      <c r="F47" s="208" t="s">
        <v>259</v>
      </c>
      <c r="G47" s="208" t="s">
        <v>260</v>
      </c>
      <c r="K47" s="161"/>
      <c r="N47" s="213" t="s">
        <v>268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269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270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271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272</v>
      </c>
      <c r="N49" s="213" t="s">
        <v>273</v>
      </c>
      <c r="O49" s="218">
        <f>SUMIFS($D$48:$D$64,$L$48:$L$64,S49)</f>
        <v>863035304</v>
      </c>
      <c r="P49" s="216">
        <f>O49/$P$42</f>
        <v>3.1069270943999752</v>
      </c>
      <c r="S49" s="154" t="s">
        <v>273</v>
      </c>
    </row>
    <row r="50" spans="3:19" x14ac:dyDescent="0.25">
      <c r="C50" s="217" t="s">
        <v>274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272</v>
      </c>
      <c r="N50" s="213" t="s">
        <v>275</v>
      </c>
      <c r="O50" s="218">
        <f>SUMIFS($D$48:$D$64,$L$48:$L$64,S50)</f>
        <v>1259345737.5999999</v>
      </c>
      <c r="P50" s="216">
        <f>O50/$P$42</f>
        <v>4.5336446553599634</v>
      </c>
      <c r="S50" s="154" t="s">
        <v>272</v>
      </c>
    </row>
    <row r="51" spans="3:19" x14ac:dyDescent="0.25">
      <c r="C51" s="217" t="s">
        <v>276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272</v>
      </c>
    </row>
    <row r="52" spans="3:19" x14ac:dyDescent="0.25">
      <c r="C52" s="217" t="s">
        <v>277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272</v>
      </c>
    </row>
    <row r="53" spans="3:19" x14ac:dyDescent="0.25">
      <c r="C53" s="217" t="s">
        <v>278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272</v>
      </c>
    </row>
    <row r="54" spans="3:19" x14ac:dyDescent="0.25">
      <c r="C54" s="217" t="s">
        <v>261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273</v>
      </c>
    </row>
    <row r="55" spans="3:19" x14ac:dyDescent="0.25">
      <c r="C55" s="217" t="s">
        <v>279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272</v>
      </c>
    </row>
    <row r="56" spans="3:19" x14ac:dyDescent="0.25">
      <c r="C56" s="217" t="s">
        <v>280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272</v>
      </c>
    </row>
    <row r="57" spans="3:19" x14ac:dyDescent="0.25">
      <c r="C57" s="217" t="s">
        <v>281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272</v>
      </c>
    </row>
    <row r="58" spans="3:19" x14ac:dyDescent="0.25">
      <c r="C58" s="217" t="s">
        <v>282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272</v>
      </c>
    </row>
    <row r="59" spans="3:19" x14ac:dyDescent="0.25">
      <c r="C59" s="217" t="s">
        <v>283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272</v>
      </c>
    </row>
    <row r="60" spans="3:19" x14ac:dyDescent="0.25">
      <c r="C60" s="217" t="s">
        <v>284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272</v>
      </c>
    </row>
    <row r="61" spans="3:19" x14ac:dyDescent="0.25">
      <c r="C61" s="217" t="s">
        <v>285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272</v>
      </c>
    </row>
    <row r="62" spans="3:19" x14ac:dyDescent="0.25">
      <c r="C62" s="217" t="s">
        <v>286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272</v>
      </c>
    </row>
    <row r="63" spans="3:19" x14ac:dyDescent="0.25">
      <c r="C63" s="217" t="s">
        <v>287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272</v>
      </c>
    </row>
    <row r="64" spans="3:19" x14ac:dyDescent="0.25">
      <c r="C64" s="217" t="s">
        <v>288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272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257</v>
      </c>
      <c r="E67" s="208" t="s">
        <v>258</v>
      </c>
      <c r="F67" s="208" t="s">
        <v>259</v>
      </c>
      <c r="G67" s="208" t="s">
        <v>260</v>
      </c>
      <c r="K67" s="161"/>
    </row>
    <row r="68" spans="3:11" x14ac:dyDescent="0.25">
      <c r="C68" s="217" t="s">
        <v>263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289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sheetPr codeName="Sheet24"/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8" t="s">
        <v>290</v>
      </c>
      <c r="D5" s="358"/>
      <c r="E5" s="358"/>
      <c r="F5" s="358"/>
      <c r="G5" s="358"/>
    </row>
    <row r="6" spans="3:7" x14ac:dyDescent="0.25">
      <c r="C6" s="205" t="s">
        <v>291</v>
      </c>
      <c r="D6" s="205" t="s">
        <v>292</v>
      </c>
      <c r="E6" s="205" t="s">
        <v>227</v>
      </c>
      <c r="F6" s="205" t="s">
        <v>228</v>
      </c>
      <c r="G6" s="205" t="s">
        <v>229</v>
      </c>
    </row>
    <row r="7" spans="3:7" x14ac:dyDescent="0.25">
      <c r="C7" s="205" t="s">
        <v>293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294</v>
      </c>
      <c r="D8" s="219" t="s">
        <v>231</v>
      </c>
      <c r="E8" s="219" t="s">
        <v>231</v>
      </c>
      <c r="F8" s="206">
        <v>0.25223880597014925</v>
      </c>
      <c r="G8" s="206">
        <v>0.6412213740458016</v>
      </c>
    </row>
    <row r="9" spans="3:7" x14ac:dyDescent="0.25">
      <c r="C9" s="205" t="s">
        <v>295</v>
      </c>
      <c r="D9" s="206">
        <v>0.1708715596330275</v>
      </c>
      <c r="E9" s="219" t="s">
        <v>231</v>
      </c>
      <c r="F9" s="206">
        <v>2.9850746268656717E-3</v>
      </c>
      <c r="G9" s="206">
        <v>1.9083969465648859E-2</v>
      </c>
    </row>
    <row r="10" spans="3:7" x14ac:dyDescent="0.25">
      <c r="C10" s="205" t="s">
        <v>296</v>
      </c>
      <c r="D10" s="219" t="s">
        <v>231</v>
      </c>
      <c r="E10" s="206">
        <v>1.7667844522968198E-3</v>
      </c>
      <c r="F10" s="206">
        <v>3.134328358208955E-2</v>
      </c>
      <c r="G10" s="219" t="s">
        <v>231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8" t="s">
        <v>297</v>
      </c>
      <c r="D12" s="358"/>
      <c r="E12" s="358"/>
      <c r="F12" s="220"/>
      <c r="G12" s="220"/>
    </row>
    <row r="13" spans="3:7" x14ac:dyDescent="0.25">
      <c r="C13" s="205"/>
      <c r="D13" s="205" t="s">
        <v>235</v>
      </c>
      <c r="E13" s="205" t="s">
        <v>43</v>
      </c>
      <c r="F13" s="220"/>
      <c r="G13" s="220"/>
    </row>
    <row r="14" spans="3:7" x14ac:dyDescent="0.25">
      <c r="C14" s="205" t="s">
        <v>226</v>
      </c>
      <c r="D14" s="205">
        <v>0.3</v>
      </c>
      <c r="E14" s="205" t="s">
        <v>236</v>
      </c>
      <c r="F14" s="220"/>
      <c r="G14" s="220"/>
    </row>
    <row r="15" spans="3:7" x14ac:dyDescent="0.25">
      <c r="C15" s="205" t="s">
        <v>227</v>
      </c>
      <c r="D15" s="205">
        <v>0.15</v>
      </c>
      <c r="E15" s="205" t="s">
        <v>237</v>
      </c>
      <c r="F15" s="220"/>
      <c r="G15" s="220"/>
    </row>
    <row r="16" spans="3:7" x14ac:dyDescent="0.25">
      <c r="C16" s="205" t="s">
        <v>228</v>
      </c>
      <c r="D16" s="205">
        <v>4.53</v>
      </c>
      <c r="E16" s="205" t="s">
        <v>238</v>
      </c>
      <c r="F16" s="220"/>
      <c r="G16" s="220"/>
    </row>
    <row r="17" spans="3:7" x14ac:dyDescent="0.25">
      <c r="C17" s="205" t="s">
        <v>229</v>
      </c>
      <c r="D17" s="205">
        <v>1.77</v>
      </c>
      <c r="E17" s="205" t="s">
        <v>238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sheetPr codeName="Sheet25"/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298</v>
      </c>
      <c r="C1" s="154" t="s">
        <v>299</v>
      </c>
    </row>
    <row r="15" spans="1:27" x14ac:dyDescent="0.25">
      <c r="AA15" s="154" t="s">
        <v>300</v>
      </c>
    </row>
    <row r="16" spans="1:27" x14ac:dyDescent="0.25">
      <c r="V16" s="153" t="s">
        <v>301</v>
      </c>
      <c r="W16" s="153" t="s">
        <v>302</v>
      </c>
      <c r="X16" s="153"/>
      <c r="Y16" s="153" t="s">
        <v>303</v>
      </c>
    </row>
    <row r="17" spans="21:27" x14ac:dyDescent="0.25">
      <c r="U17" s="153" t="s">
        <v>304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305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221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306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307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308</v>
      </c>
      <c r="W58" s="154" t="s">
        <v>309</v>
      </c>
      <c r="X58" s="154" t="s">
        <v>310</v>
      </c>
      <c r="Y58" s="154" t="s">
        <v>311</v>
      </c>
      <c r="Z58" s="154" t="s">
        <v>198</v>
      </c>
      <c r="AA58" s="154" t="s">
        <v>312</v>
      </c>
    </row>
    <row r="59" spans="21:29" x14ac:dyDescent="0.25">
      <c r="U59" s="153" t="s">
        <v>313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314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315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316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317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sheetPr codeName="Sheet26"/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547</v>
      </c>
    </row>
    <row r="7" spans="4:16" x14ac:dyDescent="0.2">
      <c r="D7" t="s">
        <v>184</v>
      </c>
      <c r="E7" t="s">
        <v>339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545</v>
      </c>
      <c r="E8" t="s">
        <v>339</v>
      </c>
      <c r="N8">
        <v>114.2076</v>
      </c>
      <c r="O8">
        <v>116.9778</v>
      </c>
      <c r="P8">
        <v>115.4318</v>
      </c>
    </row>
    <row r="10" spans="4:16" x14ac:dyDescent="0.2">
      <c r="E10" t="s">
        <v>548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546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sheetPr codeName="Sheet27"/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462</v>
      </c>
    </row>
    <row r="9" spans="2:14" x14ac:dyDescent="0.2">
      <c r="M9" s="92" t="s">
        <v>521</v>
      </c>
    </row>
    <row r="10" spans="2:14" x14ac:dyDescent="0.2">
      <c r="L10" s="92" t="s">
        <v>513</v>
      </c>
      <c r="M10">
        <v>28.349</v>
      </c>
    </row>
    <row r="11" spans="2:14" x14ac:dyDescent="0.2">
      <c r="L11" s="92" t="s">
        <v>514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481</v>
      </c>
      <c r="G20" s="289" t="s">
        <v>482</v>
      </c>
    </row>
    <row r="21" spans="5:16" ht="15" x14ac:dyDescent="0.2">
      <c r="E21" s="290" t="s">
        <v>483</v>
      </c>
      <c r="F21" s="291" t="s">
        <v>484</v>
      </c>
      <c r="G21" s="291" t="s">
        <v>485</v>
      </c>
      <c r="N21" s="92" t="s">
        <v>512</v>
      </c>
    </row>
    <row r="22" spans="5:16" ht="15" x14ac:dyDescent="0.2">
      <c r="E22" s="290" t="s">
        <v>486</v>
      </c>
      <c r="F22" s="292" t="s">
        <v>487</v>
      </c>
      <c r="G22" s="292" t="s">
        <v>488</v>
      </c>
      <c r="J22" s="92" t="s">
        <v>506</v>
      </c>
      <c r="L22">
        <v>19.5</v>
      </c>
      <c r="M22" s="92" t="s">
        <v>507</v>
      </c>
      <c r="N22" s="152">
        <f>L22*1000000*$M$10/1000000</f>
        <v>552.80550000000005</v>
      </c>
      <c r="O22" s="92" t="s">
        <v>209</v>
      </c>
    </row>
    <row r="23" spans="5:16" ht="15" x14ac:dyDescent="0.2">
      <c r="E23" s="290" t="s">
        <v>489</v>
      </c>
      <c r="F23" s="293" t="s">
        <v>490</v>
      </c>
      <c r="G23" s="291" t="s">
        <v>491</v>
      </c>
      <c r="J23" s="92" t="s">
        <v>510</v>
      </c>
      <c r="L23">
        <v>420000</v>
      </c>
      <c r="M23" s="92" t="s">
        <v>511</v>
      </c>
      <c r="N23" s="152">
        <f>L23*$M$10/1000000</f>
        <v>11.90658</v>
      </c>
      <c r="O23" s="92" t="s">
        <v>526</v>
      </c>
    </row>
    <row r="24" spans="5:16" ht="15" x14ac:dyDescent="0.2">
      <c r="E24" s="290" t="s">
        <v>492</v>
      </c>
      <c r="F24" s="291" t="s">
        <v>493</v>
      </c>
      <c r="G24" s="291" t="s">
        <v>494</v>
      </c>
      <c r="J24" s="92" t="s">
        <v>508</v>
      </c>
      <c r="L24">
        <v>45</v>
      </c>
      <c r="M24" s="92" t="s">
        <v>509</v>
      </c>
    </row>
    <row r="25" spans="5:16" ht="15" x14ac:dyDescent="0.2">
      <c r="E25" s="290" t="s">
        <v>495</v>
      </c>
      <c r="F25" s="292" t="s">
        <v>496</v>
      </c>
      <c r="G25" s="292" t="s">
        <v>497</v>
      </c>
      <c r="J25" s="298" t="s">
        <v>470</v>
      </c>
      <c r="K25" s="299"/>
      <c r="L25" s="299">
        <f>L45</f>
        <v>1104</v>
      </c>
      <c r="M25" s="298" t="s">
        <v>519</v>
      </c>
      <c r="N25" s="306">
        <f>L25/N23</f>
        <v>92.721839520668411</v>
      </c>
      <c r="O25" s="298" t="s">
        <v>520</v>
      </c>
    </row>
    <row r="26" spans="5:16" ht="15" x14ac:dyDescent="0.2">
      <c r="E26" s="290" t="s">
        <v>498</v>
      </c>
      <c r="F26" s="291" t="s">
        <v>499</v>
      </c>
      <c r="G26" s="291" t="s">
        <v>500</v>
      </c>
      <c r="J26" s="298" t="s">
        <v>533</v>
      </c>
      <c r="K26" s="299"/>
      <c r="L26" s="299"/>
      <c r="M26" s="298"/>
      <c r="N26" s="306">
        <f>(L58/M10)</f>
        <v>17.178736463367315</v>
      </c>
      <c r="O26" s="298" t="s">
        <v>534</v>
      </c>
      <c r="P26" s="92"/>
    </row>
    <row r="27" spans="5:16" ht="30" x14ac:dyDescent="0.2">
      <c r="E27" s="290" t="s">
        <v>501</v>
      </c>
      <c r="F27" s="292" t="s">
        <v>502</v>
      </c>
      <c r="G27" s="292" t="s">
        <v>503</v>
      </c>
    </row>
    <row r="28" spans="5:16" ht="31.5" x14ac:dyDescent="0.2">
      <c r="E28" s="294" t="s">
        <v>504</v>
      </c>
      <c r="F28" s="295">
        <v>216.57</v>
      </c>
      <c r="G28" s="296" t="s">
        <v>505</v>
      </c>
      <c r="N28" s="300"/>
      <c r="O28" s="92"/>
    </row>
    <row r="29" spans="5:16" x14ac:dyDescent="0.2">
      <c r="O29" s="92"/>
    </row>
    <row r="35" spans="10:15" ht="15.75" x14ac:dyDescent="0.25">
      <c r="K35" s="287" t="s">
        <v>470</v>
      </c>
    </row>
    <row r="36" spans="10:15" x14ac:dyDescent="0.2">
      <c r="J36" s="92"/>
    </row>
    <row r="37" spans="10:15" x14ac:dyDescent="0.2">
      <c r="L37" s="92" t="s">
        <v>465</v>
      </c>
    </row>
    <row r="38" spans="10:15" x14ac:dyDescent="0.2">
      <c r="K38" s="92" t="s">
        <v>463</v>
      </c>
      <c r="L38" s="1">
        <v>406</v>
      </c>
    </row>
    <row r="39" spans="10:15" x14ac:dyDescent="0.2">
      <c r="K39" s="92" t="s">
        <v>464</v>
      </c>
      <c r="L39" s="1">
        <v>172</v>
      </c>
    </row>
    <row r="40" spans="10:15" x14ac:dyDescent="0.2">
      <c r="K40" s="92" t="s">
        <v>466</v>
      </c>
      <c r="L40" s="1">
        <f>SUM(M41:M43)</f>
        <v>143</v>
      </c>
    </row>
    <row r="41" spans="10:15" x14ac:dyDescent="0.2">
      <c r="M41">
        <v>45</v>
      </c>
      <c r="N41" s="302" t="s">
        <v>467</v>
      </c>
    </row>
    <row r="42" spans="10:15" x14ac:dyDescent="0.2">
      <c r="M42">
        <v>82</v>
      </c>
      <c r="N42" s="302" t="s">
        <v>468</v>
      </c>
    </row>
    <row r="43" spans="10:15" x14ac:dyDescent="0.2">
      <c r="M43">
        <v>16</v>
      </c>
      <c r="N43" s="302" t="s">
        <v>469</v>
      </c>
    </row>
    <row r="45" spans="10:15" x14ac:dyDescent="0.2">
      <c r="K45" s="297" t="s">
        <v>518</v>
      </c>
      <c r="L45" s="1">
        <v>1104</v>
      </c>
      <c r="N45" s="152"/>
      <c r="O45" s="92"/>
    </row>
    <row r="56" spans="11:14" ht="15.75" x14ac:dyDescent="0.25">
      <c r="K56" s="287" t="s">
        <v>471</v>
      </c>
    </row>
    <row r="57" spans="11:14" x14ac:dyDescent="0.2">
      <c r="L57" s="1" t="s">
        <v>480</v>
      </c>
    </row>
    <row r="58" spans="11:14" x14ac:dyDescent="0.2">
      <c r="K58" s="92" t="s">
        <v>472</v>
      </c>
      <c r="L58">
        <v>487</v>
      </c>
    </row>
    <row r="59" spans="11:14" x14ac:dyDescent="0.2">
      <c r="K59" s="92" t="s">
        <v>473</v>
      </c>
      <c r="L59">
        <v>302</v>
      </c>
      <c r="N59" s="92" t="s">
        <v>515</v>
      </c>
    </row>
    <row r="60" spans="11:14" x14ac:dyDescent="0.2">
      <c r="K60" s="92" t="s">
        <v>475</v>
      </c>
      <c r="L60">
        <v>88</v>
      </c>
    </row>
    <row r="61" spans="11:14" x14ac:dyDescent="0.2">
      <c r="K61" s="92" t="s">
        <v>474</v>
      </c>
      <c r="L61">
        <v>-236</v>
      </c>
    </row>
    <row r="63" spans="11:14" x14ac:dyDescent="0.2">
      <c r="K63" s="92" t="s">
        <v>476</v>
      </c>
      <c r="L63">
        <v>94</v>
      </c>
    </row>
    <row r="64" spans="11:14" x14ac:dyDescent="0.2">
      <c r="K64" s="92" t="s">
        <v>477</v>
      </c>
      <c r="L64">
        <v>34</v>
      </c>
    </row>
    <row r="66" spans="11:13" x14ac:dyDescent="0.2">
      <c r="K66" s="1" t="s">
        <v>478</v>
      </c>
      <c r="L66" s="1">
        <f>SUM(L58:L64)</f>
        <v>769</v>
      </c>
      <c r="M66" s="92" t="s">
        <v>522</v>
      </c>
    </row>
    <row r="67" spans="11:13" x14ac:dyDescent="0.2">
      <c r="K67" s="92" t="s">
        <v>479</v>
      </c>
      <c r="L67">
        <f>L66-L59</f>
        <v>467</v>
      </c>
    </row>
    <row r="82" spans="2:15" x14ac:dyDescent="0.2">
      <c r="B82" s="92"/>
      <c r="C82" s="92" t="s">
        <v>226</v>
      </c>
    </row>
    <row r="83" spans="2:15" x14ac:dyDescent="0.2">
      <c r="B83" s="92"/>
      <c r="C83" s="92" t="s">
        <v>324</v>
      </c>
    </row>
    <row r="84" spans="2:15" x14ac:dyDescent="0.2">
      <c r="C84" s="92" t="s">
        <v>228</v>
      </c>
    </row>
    <row r="85" spans="2:15" x14ac:dyDescent="0.2">
      <c r="C85" s="92" t="s">
        <v>229</v>
      </c>
    </row>
    <row r="92" spans="2:15" x14ac:dyDescent="0.2">
      <c r="N92" s="92" t="s">
        <v>517</v>
      </c>
      <c r="O92" s="92" t="s">
        <v>516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532</v>
      </c>
      <c r="O103" s="92" t="s">
        <v>516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sheetPr codeName="Sheet32"/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340</v>
      </c>
    </row>
    <row r="4" spans="2:33" x14ac:dyDescent="0.25">
      <c r="H4" s="154" t="s">
        <v>341</v>
      </c>
      <c r="S4" s="153" t="s">
        <v>342</v>
      </c>
      <c r="T4" s="154" t="s">
        <v>343</v>
      </c>
      <c r="U4" s="154" t="s">
        <v>344</v>
      </c>
    </row>
    <row r="5" spans="2:33" x14ac:dyDescent="0.25">
      <c r="B5" s="154" t="s">
        <v>345</v>
      </c>
      <c r="C5" s="154" t="s">
        <v>346</v>
      </c>
      <c r="E5" s="154" t="s">
        <v>347</v>
      </c>
      <c r="H5" s="182"/>
      <c r="I5" s="231" t="s">
        <v>348</v>
      </c>
      <c r="J5" s="231" t="s">
        <v>319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349</v>
      </c>
      <c r="I6" s="154" t="s">
        <v>350</v>
      </c>
      <c r="J6" s="154" t="s">
        <v>351</v>
      </c>
      <c r="K6" s="161" t="s">
        <v>352</v>
      </c>
      <c r="O6" s="154" t="s">
        <v>353</v>
      </c>
      <c r="S6" s="154" t="s">
        <v>180</v>
      </c>
      <c r="T6" s="232">
        <f>W8*1000/100</f>
        <v>380.52631578947364</v>
      </c>
      <c r="W6" s="154">
        <v>1446</v>
      </c>
      <c r="X6" s="154" t="s">
        <v>354</v>
      </c>
      <c r="Y6" s="154" t="s">
        <v>355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356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357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358</v>
      </c>
      <c r="Y10" s="154" t="s">
        <v>359</v>
      </c>
    </row>
    <row r="11" spans="2:33" x14ac:dyDescent="0.25">
      <c r="B11" s="154" t="s">
        <v>360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346</v>
      </c>
    </row>
    <row r="12" spans="2:33" x14ac:dyDescent="0.25">
      <c r="B12" s="154" t="s">
        <v>361</v>
      </c>
      <c r="E12" s="233">
        <f>E11/1000</f>
        <v>0</v>
      </c>
      <c r="F12" s="154" t="s">
        <v>362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363</v>
      </c>
    </row>
    <row r="15" spans="2:33" x14ac:dyDescent="0.25">
      <c r="B15" s="154" t="s">
        <v>364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365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366</v>
      </c>
      <c r="AG16" s="154" t="s">
        <v>367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368</v>
      </c>
      <c r="AA17" s="154" t="s">
        <v>369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370</v>
      </c>
      <c r="U18" s="154" t="s">
        <v>371</v>
      </c>
      <c r="W18" s="154" t="s">
        <v>372</v>
      </c>
      <c r="Y18" s="154" t="s">
        <v>373</v>
      </c>
      <c r="AA18" s="154" t="s">
        <v>371</v>
      </c>
      <c r="AC18" s="154" t="s">
        <v>372</v>
      </c>
      <c r="AE18" s="154" t="s">
        <v>373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374</v>
      </c>
      <c r="X19" s="154" t="s">
        <v>374</v>
      </c>
      <c r="Z19" s="154" t="s">
        <v>374</v>
      </c>
      <c r="AB19" s="154" t="s">
        <v>374</v>
      </c>
      <c r="AD19" s="154" t="s">
        <v>374</v>
      </c>
      <c r="AF19" s="154" t="s">
        <v>374</v>
      </c>
      <c r="AH19" s="154" t="s">
        <v>374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375</v>
      </c>
      <c r="T20" s="154" t="s">
        <v>376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377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378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379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380</v>
      </c>
      <c r="T24" s="154" t="s">
        <v>376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377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378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379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381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382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383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sheetPr codeName="Sheet33"/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60" t="s">
        <v>384</v>
      </c>
      <c r="B1" s="360"/>
      <c r="C1" s="360"/>
      <c r="D1" s="360"/>
      <c r="E1" s="360"/>
      <c r="F1" s="360"/>
      <c r="I1" s="360" t="s">
        <v>385</v>
      </c>
      <c r="J1" s="360"/>
      <c r="K1" s="360"/>
      <c r="M1" s="360"/>
      <c r="N1" s="241" t="s">
        <v>386</v>
      </c>
      <c r="O1" s="241"/>
      <c r="P1" s="241"/>
      <c r="Z1" s="360"/>
      <c r="AA1" s="361" t="s">
        <v>387</v>
      </c>
      <c r="AB1" s="361"/>
      <c r="AC1" s="361"/>
      <c r="AD1" s="361"/>
      <c r="AE1" s="361"/>
      <c r="AF1" s="361"/>
      <c r="AG1" s="361"/>
      <c r="AH1" s="361"/>
      <c r="AI1" s="361"/>
      <c r="AJ1" s="361"/>
      <c r="AK1" s="361"/>
      <c r="AL1" s="361"/>
      <c r="AM1" s="361"/>
      <c r="AN1" s="242"/>
    </row>
    <row r="2" spans="1:40" x14ac:dyDescent="0.2">
      <c r="A2" s="362" t="s">
        <v>388</v>
      </c>
      <c r="B2" s="362"/>
      <c r="C2" s="362"/>
      <c r="D2" s="362"/>
      <c r="E2" s="362"/>
      <c r="F2" s="362"/>
      <c r="I2" s="362" t="s">
        <v>235</v>
      </c>
      <c r="J2" s="362"/>
      <c r="K2" s="362"/>
      <c r="M2" s="360"/>
      <c r="Z2" s="360"/>
      <c r="AN2" s="242"/>
    </row>
    <row r="3" spans="1:40" ht="15" x14ac:dyDescent="0.25">
      <c r="A3" s="243" t="s">
        <v>389</v>
      </c>
      <c r="B3" s="243" t="s">
        <v>292</v>
      </c>
      <c r="C3" s="243" t="s">
        <v>227</v>
      </c>
      <c r="D3" s="243" t="s">
        <v>228</v>
      </c>
      <c r="E3" s="243" t="s">
        <v>229</v>
      </c>
      <c r="F3" s="243" t="s">
        <v>222</v>
      </c>
      <c r="I3" s="243" t="s">
        <v>291</v>
      </c>
      <c r="J3" s="243" t="s">
        <v>390</v>
      </c>
      <c r="K3" s="243" t="s">
        <v>118</v>
      </c>
      <c r="M3" s="360"/>
      <c r="N3" s="240" t="s">
        <v>391</v>
      </c>
      <c r="O3" s="244">
        <v>298.5</v>
      </c>
      <c r="P3" s="240" t="s">
        <v>392</v>
      </c>
      <c r="Z3" s="360"/>
      <c r="AA3" s="363" t="s">
        <v>393</v>
      </c>
      <c r="AB3" s="363"/>
      <c r="AD3" s="364" t="s">
        <v>394</v>
      </c>
      <c r="AE3" s="365"/>
      <c r="AF3" s="365"/>
      <c r="AG3" s="365"/>
      <c r="AH3" s="365"/>
      <c r="AN3" s="242"/>
    </row>
    <row r="4" spans="1:40" x14ac:dyDescent="0.2">
      <c r="A4" s="243" t="s">
        <v>293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293</v>
      </c>
      <c r="J4" s="243">
        <v>0.65</v>
      </c>
      <c r="K4" s="243">
        <v>0.21</v>
      </c>
      <c r="M4" s="360"/>
      <c r="Z4" s="360"/>
      <c r="AA4" s="243" t="s">
        <v>178</v>
      </c>
      <c r="AB4" s="243" t="s">
        <v>395</v>
      </c>
      <c r="AD4" s="243" t="s">
        <v>396</v>
      </c>
      <c r="AE4" s="243" t="s">
        <v>178</v>
      </c>
      <c r="AF4" s="243" t="s">
        <v>143</v>
      </c>
      <c r="AG4" s="243" t="s">
        <v>179</v>
      </c>
      <c r="AH4" s="243" t="s">
        <v>397</v>
      </c>
      <c r="AJ4" s="240">
        <v>0.9</v>
      </c>
      <c r="AK4" s="240" t="s">
        <v>398</v>
      </c>
      <c r="AN4" s="242"/>
    </row>
    <row r="5" spans="1:40" ht="15" x14ac:dyDescent="0.25">
      <c r="A5" s="243" t="s">
        <v>294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294</v>
      </c>
      <c r="J5" s="245">
        <v>2.4500000000000002</v>
      </c>
      <c r="K5" s="243">
        <v>0.78</v>
      </c>
      <c r="M5" s="360"/>
      <c r="N5" s="363" t="s">
        <v>399</v>
      </c>
      <c r="O5" s="363"/>
      <c r="Z5" s="360"/>
      <c r="AA5" s="243" t="s">
        <v>143</v>
      </c>
      <c r="AB5" s="243">
        <v>90.504451038575667</v>
      </c>
      <c r="AD5" s="243" t="s">
        <v>226</v>
      </c>
      <c r="AE5" s="243">
        <v>24.749483944954129</v>
      </c>
      <c r="AF5" s="243" t="s">
        <v>231</v>
      </c>
      <c r="AG5" s="243" t="s">
        <v>231</v>
      </c>
      <c r="AH5" s="243">
        <v>5.1005160550458708</v>
      </c>
      <c r="AN5" s="242"/>
    </row>
    <row r="6" spans="1:40" x14ac:dyDescent="0.2">
      <c r="A6" s="243" t="s">
        <v>295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400</v>
      </c>
      <c r="J6" s="243">
        <v>0.03</v>
      </c>
      <c r="K6" s="243">
        <v>0.01</v>
      </c>
      <c r="M6" s="360"/>
      <c r="N6" s="243" t="s">
        <v>401</v>
      </c>
      <c r="O6" s="246">
        <f>O3/B34</f>
        <v>99500000</v>
      </c>
      <c r="Z6" s="360"/>
      <c r="AA6" s="243" t="s">
        <v>232</v>
      </c>
      <c r="AB6" s="243">
        <v>69.871794871794876</v>
      </c>
      <c r="AD6" s="243" t="s">
        <v>324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296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222</v>
      </c>
      <c r="J7" s="245">
        <v>3.13</v>
      </c>
      <c r="K7" s="243">
        <v>100</v>
      </c>
      <c r="M7" s="360"/>
      <c r="N7" s="243" t="s">
        <v>402</v>
      </c>
      <c r="O7" s="246">
        <f>O3/B35</f>
        <v>1990000.0000000002</v>
      </c>
      <c r="Z7" s="360"/>
      <c r="AA7" s="243" t="s">
        <v>179</v>
      </c>
      <c r="AB7" s="243">
        <v>59.090909090909093</v>
      </c>
      <c r="AD7" s="247" t="s">
        <v>228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222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60"/>
      <c r="N8" s="243" t="s">
        <v>403</v>
      </c>
      <c r="O8" s="246">
        <f>O3/B38</f>
        <v>298.64932466233114</v>
      </c>
      <c r="Z8" s="360"/>
      <c r="AA8" s="243" t="s">
        <v>400</v>
      </c>
      <c r="AB8" s="243">
        <v>64.481351981351992</v>
      </c>
      <c r="AD8" s="247" t="s">
        <v>229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62" t="s">
        <v>404</v>
      </c>
      <c r="J9" s="362"/>
      <c r="M9" s="360"/>
      <c r="R9" s="366" t="s">
        <v>394</v>
      </c>
      <c r="S9" s="366"/>
      <c r="T9" s="366"/>
      <c r="U9" s="366"/>
      <c r="Z9" s="360"/>
      <c r="AD9" s="248" t="s">
        <v>239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62" t="s">
        <v>290</v>
      </c>
      <c r="B10" s="362"/>
      <c r="C10" s="362"/>
      <c r="D10" s="362"/>
      <c r="E10" s="362"/>
      <c r="I10" s="243" t="s">
        <v>291</v>
      </c>
      <c r="J10" s="243" t="s">
        <v>405</v>
      </c>
      <c r="M10" s="360"/>
      <c r="N10" s="243" t="s">
        <v>396</v>
      </c>
      <c r="O10" s="243" t="s">
        <v>406</v>
      </c>
      <c r="P10" s="243" t="s">
        <v>407</v>
      </c>
      <c r="Q10" s="243" t="s">
        <v>408</v>
      </c>
      <c r="R10" s="243" t="s">
        <v>178</v>
      </c>
      <c r="S10" s="243" t="s">
        <v>143</v>
      </c>
      <c r="T10" s="243" t="s">
        <v>179</v>
      </c>
      <c r="U10" s="243" t="s">
        <v>397</v>
      </c>
      <c r="V10" s="243" t="s">
        <v>409</v>
      </c>
      <c r="Z10" s="360"/>
      <c r="AN10" s="242"/>
    </row>
    <row r="11" spans="1:40" ht="15" x14ac:dyDescent="0.25">
      <c r="A11" s="243" t="s">
        <v>291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293</v>
      </c>
      <c r="J11" s="243"/>
      <c r="M11" s="360"/>
      <c r="N11" s="243" t="s">
        <v>226</v>
      </c>
      <c r="O11" s="243" t="s">
        <v>244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231</v>
      </c>
      <c r="T11" s="245" t="s">
        <v>231</v>
      </c>
      <c r="U11" s="243">
        <f>Q11*B14</f>
        <v>5.1005160550458708</v>
      </c>
      <c r="V11" s="249">
        <f>Q11/$O$3</f>
        <v>0.1</v>
      </c>
      <c r="Z11" s="360"/>
      <c r="AD11" s="367" t="s">
        <v>410</v>
      </c>
      <c r="AE11" s="367"/>
      <c r="AF11" s="367"/>
      <c r="AG11" s="367"/>
      <c r="AH11" s="367"/>
      <c r="AN11" s="242"/>
    </row>
    <row r="12" spans="1:40" x14ac:dyDescent="0.2">
      <c r="A12" s="243" t="s">
        <v>293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294</v>
      </c>
      <c r="J12" s="243">
        <f>305/3.37</f>
        <v>90.504451038575667</v>
      </c>
      <c r="M12" s="360"/>
      <c r="N12" s="243" t="s">
        <v>324</v>
      </c>
      <c r="O12" s="243" t="s">
        <v>244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60"/>
      <c r="AD12" s="243" t="s">
        <v>396</v>
      </c>
      <c r="AE12" s="243" t="s">
        <v>178</v>
      </c>
      <c r="AF12" s="243" t="s">
        <v>143</v>
      </c>
      <c r="AG12" s="243" t="s">
        <v>179</v>
      </c>
      <c r="AH12" s="243" t="s">
        <v>397</v>
      </c>
      <c r="AI12" s="243" t="s">
        <v>222</v>
      </c>
      <c r="AJ12" s="243" t="s">
        <v>411</v>
      </c>
      <c r="AN12" s="242"/>
    </row>
    <row r="13" spans="1:40" ht="14.25" customHeight="1" x14ac:dyDescent="0.2">
      <c r="A13" s="243" t="s">
        <v>294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400</v>
      </c>
      <c r="J13" s="243">
        <f>(C29+C30)/2</f>
        <v>64.481351981351992</v>
      </c>
      <c r="M13" s="360"/>
      <c r="N13" s="243" t="s">
        <v>228</v>
      </c>
      <c r="O13" s="243" t="s">
        <v>412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60"/>
      <c r="AD13" s="243" t="s">
        <v>226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295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60"/>
      <c r="N14" s="243" t="s">
        <v>229</v>
      </c>
      <c r="O14" s="243" t="s">
        <v>412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60"/>
      <c r="AA14" s="252"/>
      <c r="AD14" s="243" t="s">
        <v>324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296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60"/>
      <c r="N15" s="255" t="s">
        <v>239</v>
      </c>
      <c r="O15" s="255" t="s">
        <v>413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60"/>
      <c r="AD15" s="243" t="s">
        <v>228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60"/>
      <c r="Q16" s="257"/>
      <c r="R16" s="257"/>
      <c r="Z16" s="360"/>
      <c r="AD16" s="243" t="s">
        <v>229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62" t="s">
        <v>297</v>
      </c>
      <c r="B17" s="362"/>
      <c r="C17" s="362"/>
      <c r="M17" s="360"/>
      <c r="Q17" s="258"/>
      <c r="Z17" s="360"/>
      <c r="AD17" s="243" t="s">
        <v>239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235</v>
      </c>
      <c r="C18" s="243" t="s">
        <v>43</v>
      </c>
      <c r="M18" s="360"/>
      <c r="Z18" s="360"/>
      <c r="AN18" s="242"/>
    </row>
    <row r="19" spans="1:40" ht="15" x14ac:dyDescent="0.25">
      <c r="A19" s="243" t="s">
        <v>226</v>
      </c>
      <c r="B19" s="243">
        <v>0.3</v>
      </c>
      <c r="C19" s="243" t="s">
        <v>236</v>
      </c>
      <c r="J19" s="254"/>
      <c r="M19" s="360"/>
      <c r="Z19" s="360"/>
      <c r="AA19" s="359" t="s">
        <v>414</v>
      </c>
      <c r="AB19" s="359"/>
      <c r="AC19" s="359"/>
      <c r="AD19" s="359"/>
      <c r="AE19" s="359"/>
      <c r="AF19" s="359"/>
      <c r="AG19" s="359"/>
      <c r="AH19" s="359"/>
      <c r="AI19" s="359"/>
      <c r="AJ19" s="359"/>
      <c r="AK19" s="359"/>
      <c r="AL19" s="359"/>
      <c r="AN19" s="242"/>
    </row>
    <row r="20" spans="1:40" ht="15" x14ac:dyDescent="0.25">
      <c r="A20" s="243" t="s">
        <v>227</v>
      </c>
      <c r="B20" s="243">
        <v>0.15</v>
      </c>
      <c r="C20" s="243" t="s">
        <v>237</v>
      </c>
      <c r="J20" s="259"/>
      <c r="M20" s="360"/>
      <c r="N20" s="359" t="s">
        <v>415</v>
      </c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60"/>
      <c r="AN20" s="242"/>
    </row>
    <row r="21" spans="1:40" x14ac:dyDescent="0.2">
      <c r="A21" s="243" t="s">
        <v>228</v>
      </c>
      <c r="B21" s="243">
        <v>4.53</v>
      </c>
      <c r="C21" s="243" t="s">
        <v>238</v>
      </c>
      <c r="M21" s="360"/>
      <c r="N21" s="243"/>
      <c r="O21" s="243" t="s">
        <v>178</v>
      </c>
      <c r="P21" s="243" t="s">
        <v>143</v>
      </c>
      <c r="Q21" s="243" t="s">
        <v>179</v>
      </c>
      <c r="R21" s="243" t="s">
        <v>397</v>
      </c>
      <c r="Z21" s="360"/>
      <c r="AJ21" s="260"/>
      <c r="AN21" s="242"/>
    </row>
    <row r="22" spans="1:40" x14ac:dyDescent="0.2">
      <c r="A22" s="243" t="s">
        <v>229</v>
      </c>
      <c r="B22" s="243">
        <v>1.77</v>
      </c>
      <c r="C22" s="243" t="s">
        <v>238</v>
      </c>
      <c r="M22" s="360"/>
      <c r="N22" s="243" t="s">
        <v>226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60"/>
      <c r="AJ22" s="260"/>
      <c r="AN22" s="242"/>
    </row>
    <row r="23" spans="1:40" x14ac:dyDescent="0.2">
      <c r="M23" s="360"/>
      <c r="N23" s="243" t="s">
        <v>416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60"/>
      <c r="AJ23" s="260"/>
      <c r="AN23" s="242"/>
    </row>
    <row r="24" spans="1:40" x14ac:dyDescent="0.2">
      <c r="M24" s="360"/>
      <c r="N24" s="243" t="s">
        <v>228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60"/>
      <c r="AJ24" s="260"/>
      <c r="AN24" s="242"/>
    </row>
    <row r="25" spans="1:40" x14ac:dyDescent="0.2">
      <c r="A25" s="362" t="s">
        <v>417</v>
      </c>
      <c r="B25" s="362"/>
      <c r="C25" s="362"/>
      <c r="M25" s="360"/>
      <c r="N25" s="243" t="s">
        <v>229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60"/>
      <c r="AN25" s="242"/>
    </row>
    <row r="26" spans="1:40" x14ac:dyDescent="0.2">
      <c r="A26" s="243"/>
      <c r="B26" s="243" t="s">
        <v>418</v>
      </c>
      <c r="C26" s="243" t="s">
        <v>405</v>
      </c>
      <c r="M26" s="360"/>
      <c r="N26" s="243" t="s">
        <v>239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60"/>
      <c r="AN26" s="242"/>
    </row>
    <row r="27" spans="1:40" x14ac:dyDescent="0.2">
      <c r="A27" s="243" t="s">
        <v>178</v>
      </c>
      <c r="B27" s="245" t="s">
        <v>231</v>
      </c>
      <c r="C27" s="243"/>
      <c r="M27" s="360"/>
      <c r="Z27" s="360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60"/>
      <c r="Z28" s="360"/>
      <c r="AN28" s="242"/>
    </row>
    <row r="29" spans="1:40" x14ac:dyDescent="0.2">
      <c r="A29" s="243" t="s">
        <v>232</v>
      </c>
      <c r="B29" s="243">
        <v>109000</v>
      </c>
      <c r="C29" s="243">
        <f>109/1.56</f>
        <v>69.871794871794876</v>
      </c>
      <c r="M29" s="360"/>
      <c r="Z29" s="360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60"/>
      <c r="Z30" s="360"/>
      <c r="AN30" s="242"/>
    </row>
    <row r="31" spans="1:40" x14ac:dyDescent="0.2">
      <c r="M31" s="360"/>
      <c r="Z31" s="360"/>
      <c r="AN31" s="242"/>
    </row>
    <row r="32" spans="1:40" x14ac:dyDescent="0.2">
      <c r="A32" s="368" t="s">
        <v>419</v>
      </c>
      <c r="B32" s="368"/>
      <c r="C32" s="368"/>
      <c r="M32" s="360"/>
      <c r="Z32" s="360"/>
      <c r="AN32" s="242"/>
    </row>
    <row r="33" spans="1:40" x14ac:dyDescent="0.2">
      <c r="A33" s="243" t="s">
        <v>242</v>
      </c>
      <c r="B33" s="243" t="s">
        <v>243</v>
      </c>
      <c r="M33" s="360"/>
      <c r="Z33" s="360"/>
      <c r="AN33" s="242"/>
    </row>
    <row r="34" spans="1:40" x14ac:dyDescent="0.2">
      <c r="A34" s="243" t="s">
        <v>244</v>
      </c>
      <c r="B34" s="261">
        <v>3.0000000000000001E-6</v>
      </c>
      <c r="M34" s="360"/>
      <c r="Z34" s="360"/>
      <c r="AN34" s="242"/>
    </row>
    <row r="35" spans="1:40" x14ac:dyDescent="0.2">
      <c r="A35" s="243" t="s">
        <v>245</v>
      </c>
      <c r="B35" s="250">
        <v>1.4999999999999999E-4</v>
      </c>
      <c r="M35" s="360"/>
      <c r="Z35" s="360"/>
      <c r="AN35" s="242"/>
    </row>
    <row r="36" spans="1:40" x14ac:dyDescent="0.2">
      <c r="A36" s="243" t="s">
        <v>246</v>
      </c>
      <c r="B36" s="250">
        <v>2E-3</v>
      </c>
      <c r="M36" s="360"/>
      <c r="Z36" s="360"/>
      <c r="AN36" s="242"/>
    </row>
    <row r="37" spans="1:40" x14ac:dyDescent="0.2">
      <c r="A37" s="243" t="s">
        <v>247</v>
      </c>
      <c r="B37" s="250">
        <v>0.5</v>
      </c>
      <c r="M37" s="360"/>
      <c r="Z37" s="360"/>
      <c r="AN37" s="242"/>
    </row>
    <row r="38" spans="1:40" x14ac:dyDescent="0.2">
      <c r="A38" s="243" t="s">
        <v>248</v>
      </c>
      <c r="B38" s="250">
        <v>0.99950000000000006</v>
      </c>
      <c r="M38" s="360"/>
      <c r="Z38" s="360"/>
      <c r="AN38" s="242"/>
    </row>
    <row r="39" spans="1:40" x14ac:dyDescent="0.2">
      <c r="M39" s="360"/>
      <c r="Z39" s="360"/>
      <c r="AN39" s="242"/>
    </row>
    <row r="40" spans="1:40" x14ac:dyDescent="0.2">
      <c r="M40" s="360"/>
      <c r="Z40" s="360"/>
      <c r="AN40" s="242"/>
    </row>
    <row r="41" spans="1:40" x14ac:dyDescent="0.2">
      <c r="A41" s="262" t="s">
        <v>420</v>
      </c>
      <c r="M41" s="360"/>
      <c r="Z41" s="360"/>
      <c r="AN41" s="242"/>
    </row>
    <row r="42" spans="1:40" x14ac:dyDescent="0.2">
      <c r="M42" s="360"/>
      <c r="Z42" s="360"/>
      <c r="AN42" s="242"/>
    </row>
    <row r="43" spans="1:40" x14ac:dyDescent="0.2">
      <c r="A43" s="243"/>
      <c r="B43" s="243" t="s">
        <v>226</v>
      </c>
      <c r="C43" s="243" t="s">
        <v>416</v>
      </c>
      <c r="D43" s="243" t="s">
        <v>421</v>
      </c>
      <c r="M43" s="360"/>
      <c r="Z43" s="360"/>
      <c r="AN43" s="242"/>
    </row>
    <row r="44" spans="1:40" x14ac:dyDescent="0.2">
      <c r="A44" s="243" t="s">
        <v>422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60"/>
      <c r="Z44" s="360"/>
      <c r="AN44" s="242"/>
    </row>
    <row r="45" spans="1:40" x14ac:dyDescent="0.2">
      <c r="A45" s="243" t="s">
        <v>423</v>
      </c>
      <c r="B45" s="246">
        <v>299</v>
      </c>
      <c r="C45" s="246">
        <v>299</v>
      </c>
      <c r="D45" s="246">
        <v>299</v>
      </c>
      <c r="M45" s="360"/>
      <c r="Z45" s="360"/>
      <c r="AN45" s="242"/>
    </row>
    <row r="46" spans="1:40" x14ac:dyDescent="0.2">
      <c r="A46" s="243" t="s">
        <v>424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60"/>
      <c r="Z46" s="360"/>
      <c r="AN46" s="242"/>
    </row>
    <row r="47" spans="1:40" x14ac:dyDescent="0.2">
      <c r="M47" s="360"/>
      <c r="Z47" s="360"/>
      <c r="AN47" s="242"/>
    </row>
    <row r="48" spans="1:40" x14ac:dyDescent="0.2">
      <c r="M48" s="360"/>
      <c r="Z48" s="360"/>
      <c r="AN48" s="242"/>
    </row>
    <row r="49" spans="13:40" x14ac:dyDescent="0.2">
      <c r="M49" s="360"/>
      <c r="Z49" s="360"/>
      <c r="AN49" s="242"/>
    </row>
    <row r="50" spans="13:40" x14ac:dyDescent="0.2">
      <c r="M50" s="360"/>
      <c r="Z50" s="360"/>
      <c r="AN50" s="242"/>
    </row>
    <row r="51" spans="13:40" ht="15" x14ac:dyDescent="0.25">
      <c r="M51" s="360"/>
      <c r="N51" s="369" t="s">
        <v>425</v>
      </c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0"/>
      <c r="AA51" s="359" t="s">
        <v>426</v>
      </c>
      <c r="AB51" s="359"/>
      <c r="AC51" s="359"/>
      <c r="AD51" s="359"/>
      <c r="AE51" s="359"/>
      <c r="AF51" s="359"/>
      <c r="AG51" s="359"/>
      <c r="AH51" s="359"/>
      <c r="AI51" s="359"/>
      <c r="AJ51" s="359"/>
      <c r="AK51" s="359"/>
      <c r="AL51" s="359"/>
      <c r="AN51" s="242"/>
    </row>
    <row r="52" spans="13:40" x14ac:dyDescent="0.2">
      <c r="M52" s="360"/>
      <c r="Z52" s="360"/>
      <c r="AN52" s="242"/>
    </row>
    <row r="53" spans="13:40" x14ac:dyDescent="0.2">
      <c r="M53" s="360"/>
      <c r="N53" s="243"/>
      <c r="O53" s="243" t="s">
        <v>226</v>
      </c>
      <c r="P53" s="243" t="s">
        <v>324</v>
      </c>
      <c r="Q53" s="243" t="s">
        <v>228</v>
      </c>
      <c r="R53" s="243" t="s">
        <v>229</v>
      </c>
      <c r="S53" s="243" t="s">
        <v>239</v>
      </c>
      <c r="T53" s="240" t="s">
        <v>222</v>
      </c>
      <c r="Z53" s="360"/>
      <c r="AA53" s="243"/>
      <c r="AB53" s="243" t="s">
        <v>226</v>
      </c>
      <c r="AC53" s="243" t="s">
        <v>416</v>
      </c>
      <c r="AD53" s="243" t="s">
        <v>228</v>
      </c>
      <c r="AE53" s="243" t="s">
        <v>229</v>
      </c>
      <c r="AF53" s="243" t="s">
        <v>239</v>
      </c>
      <c r="AG53" s="263" t="s">
        <v>427</v>
      </c>
      <c r="AI53" s="240" t="s">
        <v>428</v>
      </c>
      <c r="AN53" s="242"/>
    </row>
    <row r="54" spans="13:40" x14ac:dyDescent="0.2">
      <c r="M54" s="360"/>
      <c r="N54" s="243" t="s">
        <v>429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60"/>
      <c r="AA54" s="243" t="s">
        <v>430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430</v>
      </c>
      <c r="AJ54" s="243">
        <f>SUM(AE5:AE8)</f>
        <v>45.116782313954005</v>
      </c>
      <c r="AN54" s="242"/>
    </row>
    <row r="55" spans="13:40" x14ac:dyDescent="0.2">
      <c r="M55" s="360"/>
      <c r="N55" s="243" t="s">
        <v>431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60"/>
      <c r="AA55" s="243" t="s">
        <v>432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433</v>
      </c>
      <c r="AJ55" s="243">
        <f>SUM(AE5:AE6)+AE9</f>
        <v>38.796919840329764</v>
      </c>
      <c r="AN55" s="242"/>
    </row>
    <row r="56" spans="13:40" x14ac:dyDescent="0.2">
      <c r="M56" s="360"/>
      <c r="Z56" s="360"/>
      <c r="AH56" s="258"/>
      <c r="AN56" s="242"/>
    </row>
    <row r="57" spans="13:40" x14ac:dyDescent="0.2">
      <c r="M57" s="360"/>
      <c r="Z57" s="360"/>
      <c r="AN57" s="242"/>
    </row>
    <row r="58" spans="13:40" x14ac:dyDescent="0.2">
      <c r="M58" s="360"/>
      <c r="R58" s="258"/>
      <c r="V58" s="264"/>
      <c r="Z58" s="360"/>
      <c r="AN58" s="242"/>
    </row>
    <row r="59" spans="13:40" x14ac:dyDescent="0.2">
      <c r="M59" s="360"/>
      <c r="V59" s="264"/>
      <c r="Z59" s="360"/>
      <c r="AA59" s="243"/>
      <c r="AB59" s="243" t="s">
        <v>226</v>
      </c>
      <c r="AC59" s="243" t="s">
        <v>416</v>
      </c>
      <c r="AD59" s="243" t="s">
        <v>228</v>
      </c>
      <c r="AE59" s="243" t="s">
        <v>229</v>
      </c>
      <c r="AF59" s="243" t="s">
        <v>239</v>
      </c>
      <c r="AG59" s="243"/>
      <c r="AN59" s="242"/>
    </row>
    <row r="60" spans="13:40" x14ac:dyDescent="0.2">
      <c r="M60" s="360"/>
      <c r="Z60" s="360"/>
      <c r="AA60" s="243" t="s">
        <v>429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60"/>
      <c r="Z61" s="360"/>
      <c r="AA61" s="243" t="s">
        <v>434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60"/>
      <c r="Z62" s="360"/>
      <c r="AN62" s="242"/>
    </row>
    <row r="63" spans="13:40" x14ac:dyDescent="0.2">
      <c r="M63" s="360"/>
      <c r="Z63" s="360"/>
      <c r="AN63" s="242"/>
    </row>
    <row r="64" spans="13:40" x14ac:dyDescent="0.2">
      <c r="M64" s="360"/>
      <c r="Z64" s="360"/>
      <c r="AN64" s="242"/>
    </row>
    <row r="65" spans="13:40" x14ac:dyDescent="0.2">
      <c r="M65" s="360"/>
      <c r="Z65" s="360"/>
      <c r="AN65" s="242"/>
    </row>
    <row r="66" spans="13:40" x14ac:dyDescent="0.2">
      <c r="M66" s="360"/>
      <c r="Z66" s="360"/>
      <c r="AN66" s="242"/>
    </row>
    <row r="67" spans="13:40" x14ac:dyDescent="0.2">
      <c r="M67" s="360"/>
      <c r="Z67" s="360"/>
      <c r="AN67" s="242"/>
    </row>
    <row r="68" spans="13:40" x14ac:dyDescent="0.2">
      <c r="M68" s="360"/>
      <c r="Z68" s="360"/>
      <c r="AN68" s="242"/>
    </row>
    <row r="69" spans="13:40" x14ac:dyDescent="0.2">
      <c r="M69" s="360"/>
      <c r="Z69" s="360"/>
      <c r="AN69" s="242"/>
    </row>
    <row r="70" spans="13:40" x14ac:dyDescent="0.2">
      <c r="M70" s="360"/>
      <c r="Z70" s="360"/>
      <c r="AN70" s="242"/>
    </row>
    <row r="71" spans="13:40" x14ac:dyDescent="0.2">
      <c r="M71" s="360"/>
      <c r="Z71" s="360"/>
      <c r="AN71" s="242"/>
    </row>
    <row r="72" spans="13:40" x14ac:dyDescent="0.2">
      <c r="M72" s="360"/>
      <c r="Z72" s="360"/>
      <c r="AN72" s="242"/>
    </row>
    <row r="73" spans="13:40" x14ac:dyDescent="0.2">
      <c r="M73" s="360"/>
      <c r="Z73" s="360"/>
      <c r="AN73" s="242"/>
    </row>
    <row r="74" spans="13:40" x14ac:dyDescent="0.2">
      <c r="M74" s="360"/>
      <c r="Z74" s="360"/>
      <c r="AN74" s="242"/>
    </row>
    <row r="75" spans="13:40" x14ac:dyDescent="0.2">
      <c r="M75" s="360"/>
      <c r="Z75" s="360"/>
      <c r="AN75" s="242"/>
    </row>
    <row r="76" spans="13:40" x14ac:dyDescent="0.2">
      <c r="M76" s="360"/>
      <c r="Z76" s="360"/>
      <c r="AN76" s="242"/>
    </row>
    <row r="77" spans="13:40" x14ac:dyDescent="0.2">
      <c r="M77" s="360"/>
      <c r="Z77" s="360"/>
      <c r="AN77" s="242"/>
    </row>
    <row r="78" spans="13:40" x14ac:dyDescent="0.2">
      <c r="M78" s="360"/>
      <c r="Z78" s="360"/>
      <c r="AN78" s="242"/>
    </row>
    <row r="79" spans="13:40" x14ac:dyDescent="0.2">
      <c r="M79" s="360"/>
      <c r="Z79" s="360"/>
      <c r="AN79" s="242"/>
    </row>
    <row r="80" spans="13:40" x14ac:dyDescent="0.2">
      <c r="M80" s="360"/>
      <c r="Z80" s="360"/>
      <c r="AN80" s="242"/>
    </row>
    <row r="81" spans="13:40" x14ac:dyDescent="0.2">
      <c r="M81" s="360"/>
      <c r="Z81" s="360"/>
      <c r="AN81" s="242"/>
    </row>
    <row r="82" spans="13:40" x14ac:dyDescent="0.2">
      <c r="M82" s="360"/>
      <c r="Z82" s="360"/>
      <c r="AN82" s="242"/>
    </row>
    <row r="83" spans="13:40" x14ac:dyDescent="0.2">
      <c r="Z83" s="360"/>
      <c r="AN83" s="242"/>
    </row>
    <row r="84" spans="13:40" x14ac:dyDescent="0.2">
      <c r="Z84" s="360"/>
      <c r="AN84" s="242"/>
    </row>
    <row r="85" spans="13:40" x14ac:dyDescent="0.2">
      <c r="AN85" s="242"/>
    </row>
  </sheetData>
  <mergeCells count="21">
    <mergeCell ref="N20:Y20"/>
    <mergeCell ref="A25:C25"/>
    <mergeCell ref="A32:C32"/>
    <mergeCell ref="N51:Y51"/>
    <mergeCell ref="AA51:AL51"/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sheetPr codeName="Sheet34"/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451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523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524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525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sheetPr codeName="Sheet35"/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436</v>
      </c>
      <c r="H2" s="266" t="s">
        <v>437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438</v>
      </c>
      <c r="H3" s="267" t="s">
        <v>131</v>
      </c>
      <c r="I3" s="266" t="s">
        <v>439</v>
      </c>
      <c r="J3" s="266" t="s">
        <v>440</v>
      </c>
      <c r="K3" s="266" t="s">
        <v>441</v>
      </c>
      <c r="M3" s="266" t="s">
        <v>442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273</v>
      </c>
      <c r="I4" s="266">
        <f>X24</f>
        <v>260</v>
      </c>
      <c r="S4" s="266" t="s">
        <v>443</v>
      </c>
    </row>
    <row r="5" spans="5:19" x14ac:dyDescent="0.25">
      <c r="E5" s="266" t="s">
        <v>186</v>
      </c>
      <c r="F5" s="268">
        <f>SUM('[1]2017 SATIM EB'!$R$31:$R$40)</f>
        <v>4.5246489747494749</v>
      </c>
      <c r="G5" s="266">
        <f t="shared" ref="G5:G8" si="0">F5/$F$8</f>
        <v>0.10324980511857614</v>
      </c>
      <c r="J5" s="266">
        <f>F5/I4</f>
        <v>1.740249605672875E-2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39.297699837949885</v>
      </c>
      <c r="G6" s="266">
        <f t="shared" si="0"/>
        <v>0.89675019488142382</v>
      </c>
      <c r="J6" s="266">
        <f>F6/I4</f>
        <v>0.15114499937673032</v>
      </c>
      <c r="K6" s="266">
        <f>(F6+F5/2)/I4</f>
        <v>0.15984624740509468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222</v>
      </c>
      <c r="F8" s="266">
        <f>SUM(F4:F7)</f>
        <v>43.82234881269936</v>
      </c>
      <c r="G8" s="266">
        <f t="shared" si="0"/>
        <v>1</v>
      </c>
    </row>
    <row r="19" spans="17:24" x14ac:dyDescent="0.25">
      <c r="V19" s="266" t="s">
        <v>444</v>
      </c>
      <c r="W19" s="266" t="s">
        <v>445</v>
      </c>
      <c r="X19" s="266" t="s">
        <v>446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447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448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9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529</v>
      </c>
      <c r="E1" s="1" t="s">
        <v>349</v>
      </c>
    </row>
    <row r="2" spans="3:5" ht="96" customHeight="1" x14ac:dyDescent="0.2">
      <c r="C2" s="305" t="s">
        <v>543</v>
      </c>
      <c r="D2" s="92" t="s">
        <v>530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20">
    <tabColor theme="9"/>
  </sheetPr>
  <dimension ref="B3:Q27"/>
  <sheetViews>
    <sheetView workbookViewId="0">
      <selection activeCell="E12" sqref="E1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7" ht="18" thickBot="1" x14ac:dyDescent="0.35">
      <c r="B3" s="93" t="s">
        <v>152</v>
      </c>
      <c r="C3" s="93"/>
      <c r="D3" s="93"/>
      <c r="E3" s="92" t="s">
        <v>155</v>
      </c>
    </row>
    <row r="4" spans="2:17" ht="13.5" thickTop="1" x14ac:dyDescent="0.2"/>
    <row r="5" spans="2:17" x14ac:dyDescent="0.2">
      <c r="B5" s="92" t="s">
        <v>153</v>
      </c>
      <c r="C5" s="92" t="s">
        <v>15</v>
      </c>
      <c r="D5" s="92" t="s">
        <v>156</v>
      </c>
    </row>
    <row r="6" spans="2:17" ht="15" x14ac:dyDescent="0.25">
      <c r="B6" s="92" t="s">
        <v>154</v>
      </c>
      <c r="C6" s="92" t="s">
        <v>157</v>
      </c>
      <c r="E6" s="121">
        <v>1</v>
      </c>
    </row>
    <row r="7" spans="2:17" x14ac:dyDescent="0.2">
      <c r="D7" t="str">
        <f ca="1">Commodities_BASE!A2</f>
        <v>Commodities_BASE</v>
      </c>
      <c r="E7" s="122">
        <f>$E$6</f>
        <v>1</v>
      </c>
    </row>
    <row r="8" spans="2:17" x14ac:dyDescent="0.2">
      <c r="D8" t="str">
        <f ca="1">CommData_BASE!A2</f>
        <v>CommData_BASE</v>
      </c>
      <c r="E8" s="122">
        <f>$E$6</f>
        <v>1</v>
      </c>
      <c r="L8" s="92" t="s">
        <v>584</v>
      </c>
    </row>
    <row r="9" spans="2:17" x14ac:dyDescent="0.2">
      <c r="D9" t="str">
        <f ca="1">Processes_BASE!A2</f>
        <v>Processes_BASE</v>
      </c>
      <c r="E9" s="122">
        <f>$E$6</f>
        <v>1</v>
      </c>
    </row>
    <row r="10" spans="2:17" x14ac:dyDescent="0.2">
      <c r="D10" t="str">
        <f ca="1">ProcData_PGM!A2</f>
        <v>ProcData_PGM</v>
      </c>
      <c r="E10" s="122">
        <f>$E$6</f>
        <v>1</v>
      </c>
      <c r="L10" s="92" t="s">
        <v>585</v>
      </c>
      <c r="M10" t="b">
        <v>0</v>
      </c>
    </row>
    <row r="11" spans="2:17" x14ac:dyDescent="0.2">
      <c r="D11" t="str">
        <f ca="1">ProcData_PGMexports!A2</f>
        <v>ProcData_PGMexports</v>
      </c>
      <c r="E11" s="122">
        <v>1</v>
      </c>
      <c r="L11" s="92" t="s">
        <v>586</v>
      </c>
      <c r="M11" t="s">
        <v>587</v>
      </c>
    </row>
    <row r="12" spans="2:17" x14ac:dyDescent="0.2">
      <c r="E12" s="122"/>
      <c r="F12" s="92"/>
    </row>
    <row r="13" spans="2:17" x14ac:dyDescent="0.2">
      <c r="E13" s="122"/>
      <c r="N13" s="92" t="s">
        <v>589</v>
      </c>
      <c r="Q13" s="92" t="s">
        <v>590</v>
      </c>
    </row>
    <row r="14" spans="2:17" x14ac:dyDescent="0.2">
      <c r="E14" s="122"/>
      <c r="L14" s="92" t="s">
        <v>587</v>
      </c>
      <c r="N14" s="335">
        <v>0.05</v>
      </c>
      <c r="O14" s="338" t="s">
        <v>592</v>
      </c>
      <c r="Q14" s="335">
        <f>'[1]PAMS central control panel'!$P$47</f>
        <v>0.04</v>
      </c>
    </row>
    <row r="15" spans="2:17" x14ac:dyDescent="0.2">
      <c r="E15" s="122"/>
      <c r="L15" s="92" t="s">
        <v>588</v>
      </c>
      <c r="N15" s="337">
        <f>N14/2</f>
        <v>2.5000000000000001E-2</v>
      </c>
      <c r="Q15">
        <f>Q14/2</f>
        <v>0.02</v>
      </c>
    </row>
    <row r="16" spans="2:17" x14ac:dyDescent="0.2">
      <c r="E16" s="122"/>
      <c r="L16" s="92" t="s">
        <v>591</v>
      </c>
      <c r="N16">
        <f>INDEX(N14:N15,MATCH($M$11,$L$14:$L$15,0))</f>
        <v>0.05</v>
      </c>
      <c r="Q16">
        <f>INDEX(Q14:Q15,MATCH($M$11,$L$14:$L$15,0))</f>
        <v>0.04</v>
      </c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dataValidations count="2">
    <dataValidation type="list" allowBlank="1" showInputMessage="1" showErrorMessage="1" sqref="M10" xr:uid="{77357846-1F86-48AB-AA7B-8565983D6854}">
      <formula1>"TRUE,FALSE"</formula1>
    </dataValidation>
    <dataValidation type="list" allowBlank="1" showInputMessage="1" showErrorMessage="1" sqref="M11" xr:uid="{8FB983AD-6D33-4A11-AF69-737BC8A94B74}">
      <formula1>$L$14:$L$15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/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186</v>
      </c>
      <c r="G2" s="270" t="s">
        <v>173</v>
      </c>
      <c r="H2" s="137"/>
      <c r="I2" s="137"/>
      <c r="J2" s="89"/>
      <c r="K2" s="90"/>
      <c r="L2" s="91"/>
      <c r="M2" s="70"/>
      <c r="O2" s="265" t="s">
        <v>435</v>
      </c>
      <c r="P2" s="145" t="s">
        <v>174</v>
      </c>
      <c r="U2" s="137"/>
      <c r="V2" s="137"/>
      <c r="W2" s="265" t="s">
        <v>549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459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569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460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563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568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527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565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564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566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567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D35" sqref="D35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  <c r="G18" s="92" t="s">
        <v>584</v>
      </c>
    </row>
    <row r="19" spans="2:32" x14ac:dyDescent="0.2">
      <c r="C19" s="1">
        <v>2012</v>
      </c>
      <c r="D19" s="1">
        <v>2017</v>
      </c>
      <c r="G19" s="1">
        <v>2030</v>
      </c>
    </row>
    <row r="20" spans="2:32" x14ac:dyDescent="0.2">
      <c r="B20" t="s">
        <v>143</v>
      </c>
      <c r="D20" s="152">
        <f>'PGM methodology'!L52</f>
        <v>3.9478462800501317</v>
      </c>
      <c r="G20" s="152">
        <f>'PGM methodology'!O52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G21" s="152">
        <f>'PGM methodology'!O50</f>
        <v>37.548388240547808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  <c r="G22" s="152">
        <f>'PGM methodology'!O53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449</v>
      </c>
      <c r="G23" s="152">
        <f>'PGM methodology'!O51</f>
        <v>4.5246489747494749</v>
      </c>
      <c r="M23" s="92"/>
    </row>
    <row r="24" spans="2:32" x14ac:dyDescent="0.2">
      <c r="D24" s="152">
        <f>SUM(D20:D23)</f>
        <v>48.035942028985502</v>
      </c>
      <c r="G24" s="152">
        <f>'PGM methodology'!O56</f>
        <v>0</v>
      </c>
    </row>
    <row r="25" spans="2:32" x14ac:dyDescent="0.2">
      <c r="M25" s="92"/>
    </row>
    <row r="26" spans="2:32" ht="15" customHeight="1" x14ac:dyDescent="0.2">
      <c r="B26" s="1" t="s">
        <v>571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461</v>
      </c>
      <c r="D28" s="142">
        <f>'PGM methodology'!L4</f>
        <v>260</v>
      </c>
      <c r="E28" s="152"/>
      <c r="G28" s="142">
        <f>D28</f>
        <v>260</v>
      </c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544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570</v>
      </c>
      <c r="M33" s="92"/>
    </row>
    <row r="34" spans="2:13" x14ac:dyDescent="0.2">
      <c r="B34" s="92" t="s">
        <v>572</v>
      </c>
      <c r="D34" s="152">
        <f>'PGM methodology'!L22</f>
        <v>31</v>
      </c>
      <c r="M34" s="92"/>
    </row>
    <row r="35" spans="2:13" x14ac:dyDescent="0.2">
      <c r="B35" s="92" t="s">
        <v>573</v>
      </c>
      <c r="D35" s="152">
        <f>'PGM methodology'!L23</f>
        <v>125.30659928953824</v>
      </c>
      <c r="M35" s="92"/>
    </row>
    <row r="36" spans="2:13" x14ac:dyDescent="0.2">
      <c r="B36" s="92" t="s">
        <v>574</v>
      </c>
      <c r="D36" s="152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workbookViewId="0">
      <selection activeCell="E13" sqref="E1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581</v>
      </c>
    </row>
    <row r="16" spans="1:6" s="18" customFormat="1" ht="12.75" x14ac:dyDescent="0.2">
      <c r="A16" s="48"/>
      <c r="B16" s="48" t="s">
        <v>582</v>
      </c>
      <c r="C16" s="48" t="s">
        <v>583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ProcData_PGM</vt:lpstr>
      <vt:lpstr>Processes_BASE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2022-02-22T08:46:37Z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